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12-Feb-26\"/>
    </mc:Choice>
  </mc:AlternateContent>
  <bookViews>
    <workbookView xWindow="0" yWindow="0" windowWidth="15345" windowHeight="4485" tabRatio="947" activeTab="19"/>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shares'!$A$1:$FA$214</definedName>
    <definedName name="Expry_Roll___20" localSheetId="15">'NIFTY GRP'!$A$1:$EY$51</definedName>
    <definedName name="fii" localSheetId="18">FII!$A$1:$N$16</definedName>
    <definedName name="_xlnm.Print_Area" localSheetId="14">Disclaimar!$A$1:$A$24</definedName>
    <definedName name="stats__2" localSheetId="16">'Data Vlaue (Cr)'!$A$1:$FB$214</definedName>
  </definedNames>
  <calcPr calcId="162913"/>
</workbook>
</file>

<file path=xl/calcChain.xml><?xml version="1.0" encoding="utf-8"?>
<calcChain xmlns="http://schemas.openxmlformats.org/spreadsheetml/2006/main">
  <c r="L3" i="21" l="1"/>
  <c r="A6" i="13"/>
  <c r="A7" i="13"/>
  <c r="B7" i="13" s="1"/>
  <c r="A8" i="13"/>
  <c r="A9" i="13"/>
  <c r="B9" i="13" s="1"/>
  <c r="A10" i="13"/>
  <c r="A11" i="13"/>
  <c r="B11" i="13" s="1"/>
  <c r="A12" i="13"/>
  <c r="A13" i="13"/>
  <c r="B13" i="13" s="1"/>
  <c r="A14" i="13"/>
  <c r="A15" i="13"/>
  <c r="B15" i="13" s="1"/>
  <c r="A16" i="13"/>
  <c r="A17" i="13"/>
  <c r="B17" i="13" s="1"/>
  <c r="A18" i="13"/>
  <c r="A19" i="13"/>
  <c r="B19" i="13" s="1"/>
  <c r="A20" i="13"/>
  <c r="A21" i="13"/>
  <c r="B21" i="13" s="1"/>
  <c r="A22" i="13"/>
  <c r="A23" i="13"/>
  <c r="B23" i="13" s="1"/>
  <c r="A24" i="13"/>
  <c r="A25" i="13"/>
  <c r="B25" i="13" s="1"/>
  <c r="A26" i="13"/>
  <c r="A27" i="13"/>
  <c r="B27" i="13" s="1"/>
  <c r="A28" i="13"/>
  <c r="A29" i="13"/>
  <c r="B29" i="13" s="1"/>
  <c r="A30" i="13"/>
  <c r="A31" i="13"/>
  <c r="B31" i="13" s="1"/>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D89" i="13" s="1"/>
  <c r="A90" i="13"/>
  <c r="C90" i="13" s="1"/>
  <c r="B90" i="13"/>
  <c r="D90" i="13"/>
  <c r="A91" i="13"/>
  <c r="C91" i="13" s="1"/>
  <c r="A92" i="13"/>
  <c r="C92" i="13" s="1"/>
  <c r="A93" i="13"/>
  <c r="C93" i="13" s="1"/>
  <c r="A94" i="13"/>
  <c r="C94" i="13" s="1"/>
  <c r="A95" i="13"/>
  <c r="C95" i="13" s="1"/>
  <c r="A96" i="13"/>
  <c r="C96" i="13" s="1"/>
  <c r="A97" i="13"/>
  <c r="C97" i="13" s="1"/>
  <c r="A98" i="13"/>
  <c r="C98" i="13" s="1"/>
  <c r="A99" i="13"/>
  <c r="C99" i="13" s="1"/>
  <c r="A100" i="13"/>
  <c r="C100" i="13" s="1"/>
  <c r="D100" i="13"/>
  <c r="A101" i="13"/>
  <c r="A102" i="13"/>
  <c r="C102" i="13" s="1"/>
  <c r="A103" i="13"/>
  <c r="C103" i="13" s="1"/>
  <c r="A104" i="13"/>
  <c r="C104" i="13" s="1"/>
  <c r="A105" i="13"/>
  <c r="A106" i="13"/>
  <c r="C106" i="13" s="1"/>
  <c r="A107" i="13"/>
  <c r="C107" i="13" s="1"/>
  <c r="A108" i="13"/>
  <c r="C108" i="13" s="1"/>
  <c r="D108" i="13"/>
  <c r="A109" i="13"/>
  <c r="A110" i="13"/>
  <c r="C110" i="13" s="1"/>
  <c r="A111" i="13"/>
  <c r="C111" i="13" s="1"/>
  <c r="A112" i="13"/>
  <c r="C112" i="13" s="1"/>
  <c r="A113" i="13"/>
  <c r="A114" i="13"/>
  <c r="C114" i="13" s="1"/>
  <c r="A115" i="13"/>
  <c r="C115" i="13" s="1"/>
  <c r="A116" i="13"/>
  <c r="C116" i="13" s="1"/>
  <c r="A117" i="13"/>
  <c r="A118" i="13"/>
  <c r="C118" i="13" s="1"/>
  <c r="A119" i="13"/>
  <c r="C119" i="13" s="1"/>
  <c r="A120" i="13"/>
  <c r="C120" i="13" s="1"/>
  <c r="A121" i="13"/>
  <c r="A122" i="13"/>
  <c r="C122" i="13" s="1"/>
  <c r="A123" i="13"/>
  <c r="C123" i="13" s="1"/>
  <c r="A124" i="13"/>
  <c r="C124" i="13" s="1"/>
  <c r="A125" i="13"/>
  <c r="A126" i="13"/>
  <c r="C126" i="13" s="1"/>
  <c r="A127" i="13"/>
  <c r="C127" i="13" s="1"/>
  <c r="A128" i="13"/>
  <c r="C128" i="13" s="1"/>
  <c r="A129" i="13"/>
  <c r="A130" i="13"/>
  <c r="C130" i="13" s="1"/>
  <c r="A131" i="13"/>
  <c r="C131" i="13" s="1"/>
  <c r="A132" i="13"/>
  <c r="B132" i="13" s="1"/>
  <c r="A133" i="13"/>
  <c r="B133" i="13" s="1"/>
  <c r="A134" i="13"/>
  <c r="B134" i="13" s="1"/>
  <c r="A135" i="13"/>
  <c r="B135" i="13" s="1"/>
  <c r="A136" i="13"/>
  <c r="B136" i="13" s="1"/>
  <c r="A137" i="13"/>
  <c r="B137" i="13" s="1"/>
  <c r="A138" i="13"/>
  <c r="B138" i="13" s="1"/>
  <c r="A139" i="13"/>
  <c r="B139" i="13" s="1"/>
  <c r="A140" i="13"/>
  <c r="B140" i="13" s="1"/>
  <c r="A141" i="13"/>
  <c r="B141" i="13" s="1"/>
  <c r="A142" i="13"/>
  <c r="B142" i="13" s="1"/>
  <c r="A143" i="13"/>
  <c r="B143" i="13" s="1"/>
  <c r="A144" i="13"/>
  <c r="B144" i="13" s="1"/>
  <c r="A145" i="13"/>
  <c r="B145" i="13" s="1"/>
  <c r="A146" i="13"/>
  <c r="B146" i="13" s="1"/>
  <c r="A147" i="13"/>
  <c r="B147" i="13" s="1"/>
  <c r="A148" i="13"/>
  <c r="B148" i="13" s="1"/>
  <c r="A149" i="13"/>
  <c r="B149" i="13" s="1"/>
  <c r="A150" i="13"/>
  <c r="B150" i="13" s="1"/>
  <c r="C150" i="13"/>
  <c r="A151" i="13"/>
  <c r="B151" i="13" s="1"/>
  <c r="A152" i="13"/>
  <c r="B152" i="13" s="1"/>
  <c r="A153" i="13"/>
  <c r="B153" i="13" s="1"/>
  <c r="A154" i="13"/>
  <c r="B154" i="13" s="1"/>
  <c r="A155" i="13"/>
  <c r="B155" i="13" s="1"/>
  <c r="A156" i="13"/>
  <c r="B156" i="13" s="1"/>
  <c r="C156" i="13"/>
  <c r="A157" i="13"/>
  <c r="B157" i="13" s="1"/>
  <c r="A158" i="13"/>
  <c r="B158" i="13" s="1"/>
  <c r="A159" i="13"/>
  <c r="B159" i="13" s="1"/>
  <c r="A160" i="13"/>
  <c r="B160" i="13" s="1"/>
  <c r="A161" i="13"/>
  <c r="B161" i="13" s="1"/>
  <c r="A162" i="13"/>
  <c r="B162" i="13" s="1"/>
  <c r="A163" i="13"/>
  <c r="B163" i="13" s="1"/>
  <c r="A164" i="13"/>
  <c r="B164" i="13" s="1"/>
  <c r="A165" i="13"/>
  <c r="B165" i="13" s="1"/>
  <c r="A166" i="13"/>
  <c r="B166" i="13" s="1"/>
  <c r="A167" i="13"/>
  <c r="B167" i="13" s="1"/>
  <c r="A168" i="13"/>
  <c r="B168" i="13" s="1"/>
  <c r="A169" i="13"/>
  <c r="B169" i="13" s="1"/>
  <c r="A170" i="13"/>
  <c r="B170" i="13" s="1"/>
  <c r="A171" i="13"/>
  <c r="B171" i="13" s="1"/>
  <c r="A172" i="13"/>
  <c r="B172" i="13" s="1"/>
  <c r="A173" i="13"/>
  <c r="B173" i="13" s="1"/>
  <c r="A174" i="13"/>
  <c r="B174" i="13" s="1"/>
  <c r="A175" i="13"/>
  <c r="B175" i="13" s="1"/>
  <c r="A176" i="13"/>
  <c r="B176" i="13" s="1"/>
  <c r="A177" i="13"/>
  <c r="B177" i="13" s="1"/>
  <c r="A178" i="13"/>
  <c r="B178" i="13" s="1"/>
  <c r="A179" i="13"/>
  <c r="B179" i="13" s="1"/>
  <c r="A180" i="13"/>
  <c r="B180" i="13" s="1"/>
  <c r="A181" i="13"/>
  <c r="B181" i="13" s="1"/>
  <c r="A182" i="13"/>
  <c r="B182" i="13" s="1"/>
  <c r="A183" i="13"/>
  <c r="B183" i="13" s="1"/>
  <c r="A184" i="13"/>
  <c r="B184" i="13" s="1"/>
  <c r="A185" i="13"/>
  <c r="B185" i="13" s="1"/>
  <c r="A186" i="13"/>
  <c r="B186" i="13" s="1"/>
  <c r="A187" i="13"/>
  <c r="B187" i="13" s="1"/>
  <c r="A188" i="13"/>
  <c r="B188" i="13" s="1"/>
  <c r="A189" i="13"/>
  <c r="B189" i="13" s="1"/>
  <c r="A190" i="13"/>
  <c r="B190" i="13" s="1"/>
  <c r="A191" i="13"/>
  <c r="B191" i="13" s="1"/>
  <c r="A192" i="13"/>
  <c r="B192" i="13" s="1"/>
  <c r="A193" i="13"/>
  <c r="B193" i="13" s="1"/>
  <c r="A194" i="13"/>
  <c r="B194" i="13" s="1"/>
  <c r="A195" i="13"/>
  <c r="B195" i="13" s="1"/>
  <c r="A196" i="13"/>
  <c r="B196" i="13" s="1"/>
  <c r="A197" i="13"/>
  <c r="B197" i="13" s="1"/>
  <c r="A198" i="13"/>
  <c r="B198" i="13" s="1"/>
  <c r="A199" i="13"/>
  <c r="B199" i="13" s="1"/>
  <c r="A200" i="13"/>
  <c r="B200" i="13" s="1"/>
  <c r="A201" i="13"/>
  <c r="B201" i="13" s="1"/>
  <c r="A202" i="13"/>
  <c r="B202" i="13" s="1"/>
  <c r="A203" i="13"/>
  <c r="B203" i="13" s="1"/>
  <c r="A204" i="13"/>
  <c r="B204" i="13" s="1"/>
  <c r="A205" i="13"/>
  <c r="B205" i="13" s="1"/>
  <c r="A206" i="13"/>
  <c r="B206" i="13" s="1"/>
  <c r="A207" i="13"/>
  <c r="B207" i="13" s="1"/>
  <c r="A208" i="13"/>
  <c r="B208" i="13" s="1"/>
  <c r="A209" i="13"/>
  <c r="B209" i="13" s="1"/>
  <c r="A210" i="13"/>
  <c r="B210" i="13" s="1"/>
  <c r="A211" i="13"/>
  <c r="B211" i="13" s="1"/>
  <c r="A212" i="13"/>
  <c r="B212" i="13" s="1"/>
  <c r="A219" i="3"/>
  <c r="B219" i="3" s="1"/>
  <c r="B114" i="13" l="1"/>
  <c r="D198" i="13"/>
  <c r="C182" i="13"/>
  <c r="C184" i="13"/>
  <c r="D189" i="13"/>
  <c r="D161" i="13"/>
  <c r="C189" i="13"/>
  <c r="C161" i="13"/>
  <c r="D210" i="13"/>
  <c r="C152" i="13"/>
  <c r="D178" i="13"/>
  <c r="D120" i="13"/>
  <c r="D194" i="13"/>
  <c r="D182" i="13"/>
  <c r="C180" i="13"/>
  <c r="C178" i="13"/>
  <c r="C148" i="13"/>
  <c r="C141" i="13"/>
  <c r="C138" i="13"/>
  <c r="C212" i="13"/>
  <c r="C210" i="13"/>
  <c r="C181" i="13"/>
  <c r="D177" i="13"/>
  <c r="C170" i="13"/>
  <c r="C157" i="13"/>
  <c r="C149" i="13"/>
  <c r="C134" i="13"/>
  <c r="N219" i="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J219" i="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11" i="13"/>
  <c r="D207" i="13"/>
  <c r="D203" i="13"/>
  <c r="D199" i="13"/>
  <c r="D195" i="13"/>
  <c r="D191" i="13"/>
  <c r="D187" i="13"/>
  <c r="D183" i="13"/>
  <c r="D179" i="13"/>
  <c r="D171" i="13"/>
  <c r="D167" i="13"/>
  <c r="D159" i="13"/>
  <c r="D155" i="13"/>
  <c r="D151" i="13"/>
  <c r="D147" i="13"/>
  <c r="F219" i="3"/>
  <c r="D212" i="13"/>
  <c r="C211"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Q219" i="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C219" i="3"/>
  <c r="G219" i="3"/>
  <c r="H219" i="3" s="1"/>
  <c r="O219" i="3"/>
  <c r="D219" i="3"/>
  <c r="L219" i="3"/>
  <c r="P219" i="3"/>
  <c r="I219" i="3"/>
  <c r="M219" i="3"/>
  <c r="A213" i="13"/>
  <c r="A214" i="13"/>
  <c r="A215" i="13"/>
  <c r="A216" i="13"/>
  <c r="A217" i="13"/>
  <c r="A219" i="13"/>
  <c r="A220"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J209" i="12" s="1"/>
  <c r="A210" i="12"/>
  <c r="A211" i="12"/>
  <c r="A212" i="12"/>
  <c r="A213" i="12"/>
  <c r="A214" i="12"/>
  <c r="B214" i="12" s="1"/>
  <c r="A215" i="12"/>
  <c r="A216" i="12"/>
  <c r="B216" i="12" s="1"/>
  <c r="A217" i="12"/>
  <c r="D217" i="12" s="1"/>
  <c r="A218" i="12"/>
  <c r="F218" i="12" s="1"/>
  <c r="A220" i="12"/>
  <c r="J220" i="12" s="1"/>
  <c r="A221"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D189" i="11" s="1"/>
  <c r="A190" i="11"/>
  <c r="F190" i="11" s="1"/>
  <c r="A191" i="11"/>
  <c r="D191" i="11" s="1"/>
  <c r="A192" i="11"/>
  <c r="A193" i="11"/>
  <c r="L193" i="11" s="1"/>
  <c r="A194" i="11"/>
  <c r="N194" i="11" s="1"/>
  <c r="A195" i="11"/>
  <c r="H195" i="11" s="1"/>
  <c r="A196" i="11"/>
  <c r="A197" i="11"/>
  <c r="D197" i="11" s="1"/>
  <c r="A198" i="11"/>
  <c r="F198" i="11" s="1"/>
  <c r="A199" i="11"/>
  <c r="D199" i="11" s="1"/>
  <c r="A200" i="11"/>
  <c r="F200" i="11" s="1"/>
  <c r="A201" i="11"/>
  <c r="F201" i="11" s="1"/>
  <c r="A202" i="11"/>
  <c r="H202" i="11" s="1"/>
  <c r="A203" i="11"/>
  <c r="C203" i="11" s="1"/>
  <c r="A204" i="11"/>
  <c r="A205" i="11"/>
  <c r="C205" i="11" s="1"/>
  <c r="A206" i="11"/>
  <c r="D206" i="11" s="1"/>
  <c r="A207" i="11"/>
  <c r="C207" i="11" s="1"/>
  <c r="A208" i="11"/>
  <c r="A209" i="11"/>
  <c r="C209" i="11" s="1"/>
  <c r="A210" i="11"/>
  <c r="H210" i="11" s="1"/>
  <c r="A211" i="11"/>
  <c r="C211" i="11" s="1"/>
  <c r="A212" i="11"/>
  <c r="H212" i="11" s="1"/>
  <c r="A213" i="11"/>
  <c r="C213" i="11" s="1"/>
  <c r="A214" i="11"/>
  <c r="D214" i="11" s="1"/>
  <c r="A215" i="11"/>
  <c r="C215" i="11" s="1"/>
  <c r="A216" i="11"/>
  <c r="H216" i="11" s="1"/>
  <c r="A217" i="11"/>
  <c r="C217" i="11" s="1"/>
  <c r="A218" i="11"/>
  <c r="H218" i="11" s="1"/>
  <c r="A220" i="1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O190" i="10" s="1"/>
  <c r="A191" i="10"/>
  <c r="E191" i="10" s="1"/>
  <c r="A192" i="10"/>
  <c r="G192" i="10" s="1"/>
  <c r="A193" i="10"/>
  <c r="E193" i="10" s="1"/>
  <c r="A194" i="10"/>
  <c r="G194" i="10" s="1"/>
  <c r="A195" i="10"/>
  <c r="M195" i="10" s="1"/>
  <c r="A196" i="10"/>
  <c r="O196" i="10" s="1"/>
  <c r="A197" i="10"/>
  <c r="I197" i="10" s="1"/>
  <c r="A198" i="10"/>
  <c r="O198" i="10" s="1"/>
  <c r="A199" i="10"/>
  <c r="E199" i="10" s="1"/>
  <c r="A200" i="10"/>
  <c r="G200" i="10" s="1"/>
  <c r="A201" i="10"/>
  <c r="E201" i="10" s="1"/>
  <c r="A202" i="10"/>
  <c r="G202" i="10" s="1"/>
  <c r="A203" i="10"/>
  <c r="M203" i="10" s="1"/>
  <c r="A204" i="10"/>
  <c r="O204" i="10" s="1"/>
  <c r="A205" i="10"/>
  <c r="I205" i="10" s="1"/>
  <c r="A206" i="10"/>
  <c r="O206" i="10" s="1"/>
  <c r="A207" i="10"/>
  <c r="E207" i="10" s="1"/>
  <c r="A208" i="10"/>
  <c r="A209" i="10"/>
  <c r="E209" i="10" s="1"/>
  <c r="A210" i="10"/>
  <c r="G210" i="10" s="1"/>
  <c r="A211" i="10"/>
  <c r="D211" i="10" s="1"/>
  <c r="A212" i="10"/>
  <c r="I212" i="10" s="1"/>
  <c r="A213" i="10"/>
  <c r="D213" i="10" s="1"/>
  <c r="A214" i="10"/>
  <c r="B214" i="10" s="1"/>
  <c r="A215" i="10"/>
  <c r="E215" i="10" s="1"/>
  <c r="A216" i="10"/>
  <c r="M216" i="10" s="1"/>
  <c r="A217" i="10"/>
  <c r="D217" i="10" s="1"/>
  <c r="A218" i="10"/>
  <c r="C218" i="10" s="1"/>
  <c r="A220" i="10"/>
  <c r="I220" i="10" s="1"/>
  <c r="A221" i="10"/>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B145" i="14" s="1"/>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C189" i="14" s="1"/>
  <c r="A190" i="14"/>
  <c r="B190" i="14" s="1"/>
  <c r="A191" i="14"/>
  <c r="E191" i="14" s="1"/>
  <c r="A192" i="14"/>
  <c r="A193" i="14"/>
  <c r="E193" i="14" s="1"/>
  <c r="A194" i="14"/>
  <c r="D194" i="14" s="1"/>
  <c r="A195" i="14"/>
  <c r="C195" i="14" s="1"/>
  <c r="A196" i="14"/>
  <c r="A197" i="14"/>
  <c r="C197" i="14" s="1"/>
  <c r="A198" i="14"/>
  <c r="B198" i="14" s="1"/>
  <c r="A199" i="14"/>
  <c r="E199" i="14" s="1"/>
  <c r="A200" i="14"/>
  <c r="A201" i="14"/>
  <c r="A202" i="14"/>
  <c r="D202" i="14" s="1"/>
  <c r="A203" i="14"/>
  <c r="C203" i="14" s="1"/>
  <c r="A204" i="14"/>
  <c r="A205" i="14"/>
  <c r="C205" i="14" s="1"/>
  <c r="A206" i="14"/>
  <c r="B206" i="14" s="1"/>
  <c r="A207" i="14"/>
  <c r="E207" i="14" s="1"/>
  <c r="A208" i="14"/>
  <c r="A209" i="14"/>
  <c r="B209" i="14" s="1"/>
  <c r="A210" i="14"/>
  <c r="B210" i="14" s="1"/>
  <c r="A211" i="14"/>
  <c r="E211" i="14" s="1"/>
  <c r="A212" i="14"/>
  <c r="A213" i="14"/>
  <c r="A214" i="14"/>
  <c r="E214" i="14" s="1"/>
  <c r="A215" i="14"/>
  <c r="D215" i="14" s="1"/>
  <c r="A216" i="14"/>
  <c r="A217" i="14"/>
  <c r="E217" i="14" s="1"/>
  <c r="A218" i="14"/>
  <c r="E218" i="14" s="1"/>
  <c r="A220" i="14"/>
  <c r="F10" i="18"/>
  <c r="F128" i="18"/>
  <c r="F56" i="18"/>
  <c r="F198" i="18"/>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K211" i="6" s="1"/>
  <c r="A212" i="6"/>
  <c r="C212" i="6" s="1"/>
  <c r="A213" i="6"/>
  <c r="E213" i="6" s="1"/>
  <c r="A214" i="6"/>
  <c r="C214" i="6" s="1"/>
  <c r="A215" i="6"/>
  <c r="E215" i="6" s="1"/>
  <c r="A216" i="6"/>
  <c r="C216" i="6" s="1"/>
  <c r="A217" i="6"/>
  <c r="E217" i="6" s="1"/>
  <c r="A218" i="6"/>
  <c r="C218" i="6" s="1"/>
  <c r="A220" i="6"/>
  <c r="C220" i="6" s="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H190" i="7" s="1"/>
  <c r="A191" i="7"/>
  <c r="N191" i="7" s="1"/>
  <c r="A192" i="7"/>
  <c r="H192" i="7" s="1"/>
  <c r="A193" i="7"/>
  <c r="A194" i="7"/>
  <c r="A195" i="7"/>
  <c r="F195" i="7" s="1"/>
  <c r="A196" i="7"/>
  <c r="L196" i="7" s="1"/>
  <c r="A197" i="7"/>
  <c r="J197" i="7" s="1"/>
  <c r="A198" i="7"/>
  <c r="H198" i="7" s="1"/>
  <c r="A199" i="7"/>
  <c r="N199" i="7" s="1"/>
  <c r="A200" i="7"/>
  <c r="D200" i="7" s="1"/>
  <c r="A201" i="7"/>
  <c r="A202" i="7"/>
  <c r="D202" i="7" s="1"/>
  <c r="A203" i="7"/>
  <c r="F203" i="7" s="1"/>
  <c r="A204" i="7"/>
  <c r="L204" i="7" s="1"/>
  <c r="A205" i="7"/>
  <c r="J205" i="7" s="1"/>
  <c r="A206" i="7"/>
  <c r="H206" i="7" s="1"/>
  <c r="A207" i="7"/>
  <c r="J207" i="7" s="1"/>
  <c r="A208" i="7"/>
  <c r="F208" i="7" s="1"/>
  <c r="A209" i="7"/>
  <c r="E209" i="7" s="1"/>
  <c r="A210" i="7"/>
  <c r="F210" i="7" s="1"/>
  <c r="A211" i="7"/>
  <c r="B211" i="7" s="1"/>
  <c r="A212" i="7"/>
  <c r="D212" i="7" s="1"/>
  <c r="A213" i="7"/>
  <c r="E213" i="7" s="1"/>
  <c r="A214" i="7"/>
  <c r="A215" i="7"/>
  <c r="A216" i="7"/>
  <c r="K216" i="7" s="1"/>
  <c r="A217" i="7"/>
  <c r="E217" i="7" s="1"/>
  <c r="A218" i="7"/>
  <c r="A220" i="7"/>
  <c r="G220" i="7" s="1"/>
  <c r="A11" i="2"/>
  <c r="A7" i="3" s="1"/>
  <c r="A12" i="2"/>
  <c r="A8" i="3" s="1"/>
  <c r="A13" i="2"/>
  <c r="A9" i="3" s="1"/>
  <c r="A14" i="2"/>
  <c r="A10" i="3" s="1"/>
  <c r="A15" i="2"/>
  <c r="A11" i="3" s="1"/>
  <c r="A16" i="2"/>
  <c r="A12" i="3" s="1"/>
  <c r="A17" i="2"/>
  <c r="A13" i="3" s="1"/>
  <c r="A18" i="2"/>
  <c r="A14" i="3" s="1"/>
  <c r="A19" i="2"/>
  <c r="A15" i="3" s="1"/>
  <c r="A20" i="2"/>
  <c r="A16" i="3" s="1"/>
  <c r="A21" i="2"/>
  <c r="A17" i="3" s="1"/>
  <c r="A22" i="2"/>
  <c r="A18" i="3" s="1"/>
  <c r="A23" i="2"/>
  <c r="A19" i="3" s="1"/>
  <c r="A24" i="2"/>
  <c r="A20" i="3" s="1"/>
  <c r="A25" i="2"/>
  <c r="A21" i="3" s="1"/>
  <c r="A26" i="2"/>
  <c r="A22" i="3" s="1"/>
  <c r="A27" i="2"/>
  <c r="A23" i="3" s="1"/>
  <c r="A28" i="2"/>
  <c r="A24" i="3" s="1"/>
  <c r="A29" i="2"/>
  <c r="A25" i="3" s="1"/>
  <c r="A30" i="2"/>
  <c r="A26" i="3" s="1"/>
  <c r="A31" i="2"/>
  <c r="A27" i="3" s="1"/>
  <c r="A32" i="2"/>
  <c r="A28" i="3" s="1"/>
  <c r="A33" i="2"/>
  <c r="A29" i="3" s="1"/>
  <c r="A34" i="2"/>
  <c r="A30" i="3" s="1"/>
  <c r="A35" i="2"/>
  <c r="A31" i="3" s="1"/>
  <c r="A36" i="2"/>
  <c r="A32" i="3" s="1"/>
  <c r="A37" i="2"/>
  <c r="A33" i="3" s="1"/>
  <c r="A38" i="2"/>
  <c r="A34" i="3" s="1"/>
  <c r="A39" i="2"/>
  <c r="A35" i="3" s="1"/>
  <c r="A40" i="2"/>
  <c r="A36" i="3" s="1"/>
  <c r="A41" i="2"/>
  <c r="A37" i="3" s="1"/>
  <c r="A42" i="2"/>
  <c r="A38" i="3" s="1"/>
  <c r="A43" i="2"/>
  <c r="A39" i="3" s="1"/>
  <c r="A44" i="2"/>
  <c r="A40" i="3" s="1"/>
  <c r="A45" i="2"/>
  <c r="A41" i="3" s="1"/>
  <c r="A46" i="2"/>
  <c r="A42" i="3" s="1"/>
  <c r="A47" i="2"/>
  <c r="A43" i="3" s="1"/>
  <c r="A48" i="2"/>
  <c r="A44" i="3" s="1"/>
  <c r="A49" i="2"/>
  <c r="A45" i="3" s="1"/>
  <c r="A50" i="2"/>
  <c r="A46" i="3" s="1"/>
  <c r="A51" i="2"/>
  <c r="A47" i="3" s="1"/>
  <c r="A52" i="2"/>
  <c r="A48" i="3" s="1"/>
  <c r="A53" i="2"/>
  <c r="A49" i="3" s="1"/>
  <c r="A54" i="2"/>
  <c r="A50" i="3" s="1"/>
  <c r="A55" i="2"/>
  <c r="A51" i="3" s="1"/>
  <c r="A56" i="2"/>
  <c r="A52" i="3" s="1"/>
  <c r="A57" i="2"/>
  <c r="A53" i="3" s="1"/>
  <c r="A58" i="2"/>
  <c r="A54" i="3" s="1"/>
  <c r="A59" i="2"/>
  <c r="A55" i="3" s="1"/>
  <c r="A60" i="2"/>
  <c r="A56" i="3" s="1"/>
  <c r="A61" i="2"/>
  <c r="A57" i="3" s="1"/>
  <c r="A62" i="2"/>
  <c r="A58" i="3" s="1"/>
  <c r="A63" i="2"/>
  <c r="A59" i="3" s="1"/>
  <c r="A64" i="2"/>
  <c r="A60" i="3" s="1"/>
  <c r="A65" i="2"/>
  <c r="A61" i="3" s="1"/>
  <c r="A66" i="2"/>
  <c r="A62" i="3" s="1"/>
  <c r="A67" i="2"/>
  <c r="A63" i="3" s="1"/>
  <c r="A68" i="2"/>
  <c r="A64" i="3" s="1"/>
  <c r="A69" i="2"/>
  <c r="A65" i="3" s="1"/>
  <c r="A70" i="2"/>
  <c r="A66" i="3" s="1"/>
  <c r="A71" i="2"/>
  <c r="A67" i="3" s="1"/>
  <c r="A72" i="2"/>
  <c r="A68" i="3" s="1"/>
  <c r="A73" i="2"/>
  <c r="A69" i="3" s="1"/>
  <c r="A74" i="2"/>
  <c r="A70" i="3" s="1"/>
  <c r="A75" i="2"/>
  <c r="A71" i="3" s="1"/>
  <c r="A76" i="2"/>
  <c r="A72" i="3" s="1"/>
  <c r="A77" i="2"/>
  <c r="A73" i="3" s="1"/>
  <c r="A78" i="2"/>
  <c r="A74" i="3" s="1"/>
  <c r="A79" i="2"/>
  <c r="A75" i="3" s="1"/>
  <c r="A80" i="2"/>
  <c r="A76" i="3" s="1"/>
  <c r="A81" i="2"/>
  <c r="A77" i="3" s="1"/>
  <c r="A82" i="2"/>
  <c r="A78" i="3" s="1"/>
  <c r="A83" i="2"/>
  <c r="A79" i="3" s="1"/>
  <c r="A84" i="2"/>
  <c r="A80" i="3" s="1"/>
  <c r="A85" i="2"/>
  <c r="A81" i="3" s="1"/>
  <c r="A86" i="2"/>
  <c r="A82" i="3" s="1"/>
  <c r="A87" i="2"/>
  <c r="A83" i="3" s="1"/>
  <c r="A88" i="2"/>
  <c r="A84" i="3" s="1"/>
  <c r="A89" i="2"/>
  <c r="A85" i="3" s="1"/>
  <c r="A90" i="2"/>
  <c r="A86" i="3" s="1"/>
  <c r="A91" i="2"/>
  <c r="A87" i="3" s="1"/>
  <c r="A92" i="2"/>
  <c r="A88" i="3" s="1"/>
  <c r="A93" i="2"/>
  <c r="A89" i="3" s="1"/>
  <c r="A94" i="2"/>
  <c r="A90" i="3" s="1"/>
  <c r="A95" i="2"/>
  <c r="A91" i="3" s="1"/>
  <c r="A96" i="2"/>
  <c r="A92" i="3" s="1"/>
  <c r="A97" i="2"/>
  <c r="A93" i="3" s="1"/>
  <c r="A98" i="2"/>
  <c r="A94" i="3" s="1"/>
  <c r="A99" i="2"/>
  <c r="A95" i="3" s="1"/>
  <c r="A100" i="2"/>
  <c r="A96" i="3" s="1"/>
  <c r="A101" i="2"/>
  <c r="A97" i="3" s="1"/>
  <c r="A102" i="2"/>
  <c r="A98" i="3" s="1"/>
  <c r="A103" i="2"/>
  <c r="A99" i="3" s="1"/>
  <c r="A104" i="2"/>
  <c r="A100" i="3" s="1"/>
  <c r="A105" i="2"/>
  <c r="A101" i="3" s="1"/>
  <c r="A106" i="2"/>
  <c r="A102" i="3" s="1"/>
  <c r="A107" i="2"/>
  <c r="A103" i="3" s="1"/>
  <c r="A108" i="2"/>
  <c r="A104" i="3" s="1"/>
  <c r="A109" i="2"/>
  <c r="A105" i="3" s="1"/>
  <c r="A110" i="2"/>
  <c r="A106" i="3" s="1"/>
  <c r="A111" i="2"/>
  <c r="A107" i="3" s="1"/>
  <c r="A112" i="2"/>
  <c r="A108" i="3" s="1"/>
  <c r="A113" i="2"/>
  <c r="A109" i="3" s="1"/>
  <c r="A114" i="2"/>
  <c r="A110" i="3" s="1"/>
  <c r="A115" i="2"/>
  <c r="A111" i="3" s="1"/>
  <c r="A116" i="2"/>
  <c r="A112" i="3" s="1"/>
  <c r="A117" i="2"/>
  <c r="A113" i="3" s="1"/>
  <c r="A118" i="2"/>
  <c r="A114" i="3" s="1"/>
  <c r="A119" i="2"/>
  <c r="A115" i="3" s="1"/>
  <c r="A120" i="2"/>
  <c r="A116" i="3" s="1"/>
  <c r="A121" i="2"/>
  <c r="A117" i="3" s="1"/>
  <c r="A122" i="2"/>
  <c r="A118" i="3" s="1"/>
  <c r="A123" i="2"/>
  <c r="A119" i="3" s="1"/>
  <c r="A124" i="2"/>
  <c r="A120" i="3" s="1"/>
  <c r="A125" i="2"/>
  <c r="A121" i="3" s="1"/>
  <c r="A126" i="2"/>
  <c r="A122" i="3" s="1"/>
  <c r="A127" i="2"/>
  <c r="A123" i="3" s="1"/>
  <c r="A128" i="2"/>
  <c r="A124" i="3" s="1"/>
  <c r="A129" i="2"/>
  <c r="A125" i="3" s="1"/>
  <c r="A130" i="2"/>
  <c r="A126" i="3" s="1"/>
  <c r="A131" i="2"/>
  <c r="A127" i="3" s="1"/>
  <c r="A132" i="2"/>
  <c r="A128" i="3" s="1"/>
  <c r="A133" i="2"/>
  <c r="A129" i="3" s="1"/>
  <c r="A134" i="2"/>
  <c r="A130" i="3" s="1"/>
  <c r="A135" i="2"/>
  <c r="A131" i="3" s="1"/>
  <c r="A136" i="2"/>
  <c r="A132" i="3" s="1"/>
  <c r="A137" i="2"/>
  <c r="A133" i="3" s="1"/>
  <c r="A138" i="2"/>
  <c r="A134" i="3" s="1"/>
  <c r="A139" i="2"/>
  <c r="A135" i="3" s="1"/>
  <c r="A140" i="2"/>
  <c r="A136" i="3" s="1"/>
  <c r="A141" i="2"/>
  <c r="A137" i="3" s="1"/>
  <c r="A142" i="2"/>
  <c r="A138" i="3" s="1"/>
  <c r="A143" i="2"/>
  <c r="A139" i="3" s="1"/>
  <c r="A144" i="2"/>
  <c r="A140" i="3" s="1"/>
  <c r="A145" i="2"/>
  <c r="A141" i="3" s="1"/>
  <c r="A146" i="2"/>
  <c r="A142" i="3" s="1"/>
  <c r="A147" i="2"/>
  <c r="A143" i="3" s="1"/>
  <c r="A148" i="2"/>
  <c r="A144" i="3" s="1"/>
  <c r="A149" i="2"/>
  <c r="A145" i="3" s="1"/>
  <c r="A150" i="2"/>
  <c r="A146" i="3" s="1"/>
  <c r="A151" i="2"/>
  <c r="A147" i="3" s="1"/>
  <c r="A152" i="2"/>
  <c r="A148" i="3" s="1"/>
  <c r="A153" i="2"/>
  <c r="A149" i="3" s="1"/>
  <c r="A154" i="2"/>
  <c r="A150" i="3" s="1"/>
  <c r="A155" i="2"/>
  <c r="A151" i="3" s="1"/>
  <c r="A156" i="2"/>
  <c r="A152" i="3" s="1"/>
  <c r="A157" i="2"/>
  <c r="A153" i="3" s="1"/>
  <c r="A158" i="2"/>
  <c r="A154" i="3" s="1"/>
  <c r="A159" i="2"/>
  <c r="A155" i="3" s="1"/>
  <c r="A160" i="2"/>
  <c r="A156" i="3" s="1"/>
  <c r="A161" i="2"/>
  <c r="A157" i="3" s="1"/>
  <c r="A162" i="2"/>
  <c r="A158" i="3" s="1"/>
  <c r="A163" i="2"/>
  <c r="A159" i="3" s="1"/>
  <c r="A164" i="2"/>
  <c r="A160" i="3" s="1"/>
  <c r="A165" i="2"/>
  <c r="A161" i="3" s="1"/>
  <c r="A166" i="2"/>
  <c r="A162" i="3" s="1"/>
  <c r="A167" i="2"/>
  <c r="A163" i="3" s="1"/>
  <c r="A168" i="2"/>
  <c r="A164" i="3" s="1"/>
  <c r="A169" i="2"/>
  <c r="A165" i="3" s="1"/>
  <c r="A170" i="2"/>
  <c r="A166" i="3" s="1"/>
  <c r="A171" i="2"/>
  <c r="A167" i="3" s="1"/>
  <c r="A172" i="2"/>
  <c r="A168" i="3" s="1"/>
  <c r="A173" i="2"/>
  <c r="A169" i="3" s="1"/>
  <c r="A174" i="2"/>
  <c r="A170" i="3" s="1"/>
  <c r="A175" i="2"/>
  <c r="A171" i="3" s="1"/>
  <c r="A176" i="2"/>
  <c r="A172" i="3" s="1"/>
  <c r="A177" i="2"/>
  <c r="A173" i="3" s="1"/>
  <c r="A178" i="2"/>
  <c r="A174" i="3" s="1"/>
  <c r="A179" i="2"/>
  <c r="A175" i="3" s="1"/>
  <c r="A180" i="2"/>
  <c r="A176" i="3" s="1"/>
  <c r="A181" i="2"/>
  <c r="A177" i="3" s="1"/>
  <c r="A182" i="2"/>
  <c r="A178" i="3" s="1"/>
  <c r="A183" i="2"/>
  <c r="A179" i="3" s="1"/>
  <c r="A184" i="2"/>
  <c r="A180" i="3" s="1"/>
  <c r="A185" i="2"/>
  <c r="A181" i="3" s="1"/>
  <c r="A186" i="2"/>
  <c r="A182" i="3" s="1"/>
  <c r="A187" i="2"/>
  <c r="A183" i="3" s="1"/>
  <c r="A188" i="2"/>
  <c r="A184" i="3" s="1"/>
  <c r="A189" i="2"/>
  <c r="A185" i="3" s="1"/>
  <c r="A190" i="2"/>
  <c r="A186" i="3" s="1"/>
  <c r="A191" i="2"/>
  <c r="A187" i="3" s="1"/>
  <c r="A192" i="2"/>
  <c r="A188" i="3" s="1"/>
  <c r="A193" i="2"/>
  <c r="A189" i="3" s="1"/>
  <c r="C189" i="3" s="1"/>
  <c r="A194" i="2"/>
  <c r="A190" i="3" s="1"/>
  <c r="G190" i="3" s="1"/>
  <c r="A195" i="2"/>
  <c r="A196" i="2"/>
  <c r="A192" i="3" s="1"/>
  <c r="A197" i="2"/>
  <c r="A198" i="2"/>
  <c r="A199" i="2"/>
  <c r="A200" i="2"/>
  <c r="A196" i="3" s="1"/>
  <c r="I196" i="3" s="1"/>
  <c r="A201" i="2"/>
  <c r="A197" i="3" s="1"/>
  <c r="C197" i="3" s="1"/>
  <c r="A202" i="2"/>
  <c r="A203" i="2"/>
  <c r="A204" i="2"/>
  <c r="A200" i="3" s="1"/>
  <c r="I200" i="3" s="1"/>
  <c r="A205" i="2"/>
  <c r="A206" i="2"/>
  <c r="A202" i="3" s="1"/>
  <c r="L202" i="3" s="1"/>
  <c r="A207" i="2"/>
  <c r="A208" i="2"/>
  <c r="A209" i="2"/>
  <c r="A210" i="2"/>
  <c r="A211" i="2"/>
  <c r="A212" i="2"/>
  <c r="A208" i="3" s="1"/>
  <c r="B208" i="3" s="1"/>
  <c r="A213" i="2"/>
  <c r="A214" i="2"/>
  <c r="A215" i="2"/>
  <c r="A216" i="2"/>
  <c r="A212" i="3" s="1"/>
  <c r="O212" i="3" s="1"/>
  <c r="A217" i="2"/>
  <c r="A218" i="2"/>
  <c r="A219" i="2"/>
  <c r="A220" i="2"/>
  <c r="A221" i="2"/>
  <c r="A222" i="2"/>
  <c r="K219" i="3" l="1"/>
  <c r="I213" i="2"/>
  <c r="A209" i="3"/>
  <c r="C209" i="3" s="1"/>
  <c r="Q220" i="2"/>
  <c r="A216" i="3"/>
  <c r="E208" i="2"/>
  <c r="A204" i="3"/>
  <c r="D221" i="2"/>
  <c r="A217" i="3"/>
  <c r="B209" i="2"/>
  <c r="A205" i="3"/>
  <c r="C205" i="3" s="1"/>
  <c r="E219" i="2"/>
  <c r="A215" i="3"/>
  <c r="C207" i="2"/>
  <c r="A203" i="3"/>
  <c r="I203" i="3" s="1"/>
  <c r="R217" i="2"/>
  <c r="A213" i="3"/>
  <c r="C213" i="3" s="1"/>
  <c r="M205" i="2"/>
  <c r="A201" i="3"/>
  <c r="C201" i="3" s="1"/>
  <c r="Q197" i="2"/>
  <c r="A193" i="3"/>
  <c r="C193" i="3" s="1"/>
  <c r="H215" i="2"/>
  <c r="A211" i="3"/>
  <c r="M211" i="3" s="1"/>
  <c r="R211" i="2"/>
  <c r="A207" i="3"/>
  <c r="I207" i="3" s="1"/>
  <c r="E203" i="2"/>
  <c r="A199" i="3"/>
  <c r="D199" i="3" s="1"/>
  <c r="H199" i="2"/>
  <c r="A195" i="3"/>
  <c r="N195" i="3" s="1"/>
  <c r="R195" i="2"/>
  <c r="A191" i="3"/>
  <c r="N191" i="3" s="1"/>
  <c r="C222" i="2"/>
  <c r="A218" i="3"/>
  <c r="E218" i="2"/>
  <c r="A214" i="3"/>
  <c r="C214" i="3" s="1"/>
  <c r="C214" i="2"/>
  <c r="A210" i="3"/>
  <c r="L210" i="3" s="1"/>
  <c r="L210" i="2"/>
  <c r="A206" i="3"/>
  <c r="P206" i="3" s="1"/>
  <c r="M202" i="2"/>
  <c r="A198" i="3"/>
  <c r="G198" i="3" s="1"/>
  <c r="C198" i="2"/>
  <c r="A194" i="3"/>
  <c r="C194" i="3" s="1"/>
  <c r="E219" i="3"/>
  <c r="L207" i="7"/>
  <c r="I201" i="10"/>
  <c r="C215" i="2"/>
  <c r="D203" i="3"/>
  <c r="D214" i="14"/>
  <c r="F215" i="11"/>
  <c r="E198" i="14"/>
  <c r="G198" i="14" s="1"/>
  <c r="I218" i="10"/>
  <c r="F209" i="11"/>
  <c r="G214" i="3"/>
  <c r="M191" i="3"/>
  <c r="M211" i="7"/>
  <c r="E214" i="10"/>
  <c r="J200" i="11"/>
  <c r="N211" i="3"/>
  <c r="Q199" i="3"/>
  <c r="E211" i="7"/>
  <c r="E210" i="14"/>
  <c r="G210" i="14" s="1"/>
  <c r="C194" i="14"/>
  <c r="O217" i="10"/>
  <c r="C213" i="10"/>
  <c r="K194" i="10"/>
  <c r="J213" i="11"/>
  <c r="B207" i="11"/>
  <c r="L194" i="3"/>
  <c r="O212" i="7"/>
  <c r="D192" i="7"/>
  <c r="E206" i="14"/>
  <c r="G206" i="14" s="1"/>
  <c r="E190" i="14"/>
  <c r="G190" i="14" s="1"/>
  <c r="H215" i="10"/>
  <c r="C211" i="10"/>
  <c r="F205" i="11"/>
  <c r="P214" i="3"/>
  <c r="P198" i="3"/>
  <c r="G212" i="7"/>
  <c r="K208" i="7"/>
  <c r="D218" i="14"/>
  <c r="C202" i="14"/>
  <c r="N214" i="10"/>
  <c r="J217" i="11"/>
  <c r="F211" i="11"/>
  <c r="B203" i="11"/>
  <c r="C204" i="3"/>
  <c r="I204" i="3"/>
  <c r="C192" i="3"/>
  <c r="J192" i="3"/>
  <c r="I212" i="3"/>
  <c r="F208" i="3"/>
  <c r="J196" i="3"/>
  <c r="K196" i="3" s="1"/>
  <c r="B220" i="14"/>
  <c r="E220" i="14"/>
  <c r="C212" i="14"/>
  <c r="B212" i="14"/>
  <c r="F212" i="14"/>
  <c r="E204" i="14"/>
  <c r="D204" i="14"/>
  <c r="E196" i="14"/>
  <c r="D196" i="14"/>
  <c r="E188" i="14"/>
  <c r="D188" i="14"/>
  <c r="B211" i="3"/>
  <c r="I211" i="3"/>
  <c r="B203" i="3"/>
  <c r="N203" i="3"/>
  <c r="B199" i="3"/>
  <c r="M199" i="3"/>
  <c r="B195" i="3"/>
  <c r="B191" i="3"/>
  <c r="D191" i="3"/>
  <c r="Q191" i="3"/>
  <c r="F212" i="3"/>
  <c r="D211" i="3"/>
  <c r="O208" i="3"/>
  <c r="N204" i="3"/>
  <c r="Q203" i="3"/>
  <c r="J200" i="3"/>
  <c r="K200" i="3" s="1"/>
  <c r="N199" i="3"/>
  <c r="M195" i="3"/>
  <c r="F192" i="3"/>
  <c r="I191" i="3"/>
  <c r="D220" i="7"/>
  <c r="B220" i="7"/>
  <c r="J220" i="7"/>
  <c r="C220" i="7"/>
  <c r="K220" i="7"/>
  <c r="F220" i="7"/>
  <c r="N220" i="7"/>
  <c r="D216" i="7"/>
  <c r="F216" i="7"/>
  <c r="N216" i="7"/>
  <c r="G216" i="7"/>
  <c r="O216" i="7"/>
  <c r="B216" i="7"/>
  <c r="J216" i="7"/>
  <c r="C216" i="7"/>
  <c r="E216" i="10"/>
  <c r="C208" i="3"/>
  <c r="J208" i="3"/>
  <c r="C196" i="3"/>
  <c r="B196" i="3"/>
  <c r="N196" i="3"/>
  <c r="C216" i="14"/>
  <c r="B216" i="14"/>
  <c r="F216" i="14"/>
  <c r="D208" i="14"/>
  <c r="C208" i="14"/>
  <c r="C200" i="14"/>
  <c r="B200" i="14"/>
  <c r="F200" i="14"/>
  <c r="C192" i="14"/>
  <c r="B192" i="14"/>
  <c r="F192" i="14"/>
  <c r="D214" i="3"/>
  <c r="L214" i="3"/>
  <c r="D206" i="3"/>
  <c r="C206" i="3"/>
  <c r="D202" i="3"/>
  <c r="P202" i="3"/>
  <c r="L198" i="3"/>
  <c r="D194" i="3"/>
  <c r="E194" i="3" s="1"/>
  <c r="G194" i="3"/>
  <c r="D190" i="3"/>
  <c r="C190" i="3"/>
  <c r="Q211" i="3"/>
  <c r="N208" i="3"/>
  <c r="N207" i="3"/>
  <c r="L206" i="3"/>
  <c r="J204" i="3"/>
  <c r="M203" i="3"/>
  <c r="G202" i="3"/>
  <c r="I199" i="3"/>
  <c r="F196" i="3"/>
  <c r="D195" i="3"/>
  <c r="O192" i="3"/>
  <c r="B192" i="3"/>
  <c r="P190" i="3"/>
  <c r="B215" i="7"/>
  <c r="D215" i="7"/>
  <c r="L215" i="7"/>
  <c r="E215" i="7"/>
  <c r="M215" i="7"/>
  <c r="H215" i="7"/>
  <c r="I215" i="7"/>
  <c r="E220" i="11"/>
  <c r="D220" i="11"/>
  <c r="H220" i="11"/>
  <c r="E216" i="11"/>
  <c r="L216" i="11"/>
  <c r="D216" i="11"/>
  <c r="E212" i="11"/>
  <c r="L212" i="11"/>
  <c r="D212" i="11"/>
  <c r="E208" i="11"/>
  <c r="H208" i="11"/>
  <c r="L208" i="11"/>
  <c r="E204" i="11"/>
  <c r="H204" i="11"/>
  <c r="L204" i="11"/>
  <c r="N196" i="11"/>
  <c r="B196" i="11"/>
  <c r="F192" i="11"/>
  <c r="J192" i="11"/>
  <c r="L220" i="11"/>
  <c r="D204" i="11"/>
  <c r="C212" i="3"/>
  <c r="B212" i="3"/>
  <c r="N212" i="3"/>
  <c r="C200" i="3"/>
  <c r="F200" i="3"/>
  <c r="O200" i="3"/>
  <c r="O204" i="3"/>
  <c r="B204" i="3"/>
  <c r="N200" i="3"/>
  <c r="I192" i="3"/>
  <c r="J212" i="3"/>
  <c r="I208" i="3"/>
  <c r="G206" i="3"/>
  <c r="F204" i="3"/>
  <c r="C202" i="3"/>
  <c r="E202" i="3" s="1"/>
  <c r="B200" i="3"/>
  <c r="O196" i="3"/>
  <c r="P194" i="3"/>
  <c r="N192" i="3"/>
  <c r="L190" i="3"/>
  <c r="C218" i="7"/>
  <c r="J218" i="7"/>
  <c r="N218" i="7"/>
  <c r="B218" i="7"/>
  <c r="C214" i="7"/>
  <c r="B214" i="7"/>
  <c r="F214" i="7"/>
  <c r="J214" i="7"/>
  <c r="C210" i="7"/>
  <c r="J210" i="7"/>
  <c r="N210" i="7"/>
  <c r="B210" i="7"/>
  <c r="D194" i="7"/>
  <c r="H194" i="7"/>
  <c r="H194" i="12" s="1"/>
  <c r="O220" i="7"/>
  <c r="F218" i="7"/>
  <c r="N214" i="7"/>
  <c r="H202" i="7"/>
  <c r="H202" i="12" s="1"/>
  <c r="D208" i="11"/>
  <c r="N212" i="7"/>
  <c r="F212" i="7"/>
  <c r="L211" i="7"/>
  <c r="D211" i="7"/>
  <c r="J208" i="7"/>
  <c r="B207" i="7"/>
  <c r="H200" i="7"/>
  <c r="H200" i="12" s="1"/>
  <c r="J195" i="7"/>
  <c r="B191" i="7"/>
  <c r="F209" i="14"/>
  <c r="N218" i="10"/>
  <c r="F218" i="10"/>
  <c r="K217" i="10"/>
  <c r="O215" i="10"/>
  <c r="G215" i="10"/>
  <c r="M214" i="10"/>
  <c r="O213" i="10"/>
  <c r="O211" i="10"/>
  <c r="M210" i="10"/>
  <c r="C206" i="10"/>
  <c r="I193" i="10"/>
  <c r="F217" i="11"/>
  <c r="B215" i="11"/>
  <c r="F213" i="11"/>
  <c r="B211" i="11"/>
  <c r="B209" i="11"/>
  <c r="N207" i="11"/>
  <c r="H206" i="11"/>
  <c r="B205" i="11"/>
  <c r="N203" i="11"/>
  <c r="N201" i="11"/>
  <c r="H199" i="11"/>
  <c r="K212" i="7"/>
  <c r="C212" i="7"/>
  <c r="I211" i="7"/>
  <c r="O208" i="7"/>
  <c r="G208" i="7"/>
  <c r="F203" i="14"/>
  <c r="F195" i="14"/>
  <c r="M218" i="10"/>
  <c r="E218" i="10"/>
  <c r="G217" i="10"/>
  <c r="L215" i="10"/>
  <c r="D215" i="10"/>
  <c r="J214" i="10"/>
  <c r="K213" i="10"/>
  <c r="K211" i="10"/>
  <c r="H210" i="10"/>
  <c r="C198" i="10"/>
  <c r="B217" i="11"/>
  <c r="N215" i="11"/>
  <c r="H214" i="11"/>
  <c r="B213" i="11"/>
  <c r="N211" i="11"/>
  <c r="N209" i="11"/>
  <c r="J207" i="11"/>
  <c r="N205" i="11"/>
  <c r="J203" i="11"/>
  <c r="J201" i="11"/>
  <c r="J212" i="7"/>
  <c r="B212" i="7"/>
  <c r="H211" i="7"/>
  <c r="N208" i="7"/>
  <c r="J203" i="7"/>
  <c r="B199" i="7"/>
  <c r="C215" i="14"/>
  <c r="D211" i="14"/>
  <c r="D207" i="14"/>
  <c r="B203" i="14"/>
  <c r="D199" i="14"/>
  <c r="B195" i="14"/>
  <c r="D191" i="14"/>
  <c r="J218" i="10"/>
  <c r="B218" i="10"/>
  <c r="C217" i="10"/>
  <c r="K215" i="10"/>
  <c r="C215" i="10"/>
  <c r="I214" i="10"/>
  <c r="G213" i="10"/>
  <c r="G211" i="10"/>
  <c r="I209" i="10"/>
  <c r="K202" i="10"/>
  <c r="C190" i="10"/>
  <c r="N217" i="11"/>
  <c r="J215" i="11"/>
  <c r="N213" i="11"/>
  <c r="J211" i="11"/>
  <c r="J209" i="11"/>
  <c r="F207" i="11"/>
  <c r="J205" i="11"/>
  <c r="F203" i="11"/>
  <c r="H191" i="11"/>
  <c r="O213" i="3"/>
  <c r="J209" i="3"/>
  <c r="J205" i="3"/>
  <c r="F205" i="3"/>
  <c r="B205" i="3"/>
  <c r="J201" i="3"/>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17" i="7"/>
  <c r="H217" i="7"/>
  <c r="D217" i="7"/>
  <c r="L209" i="7"/>
  <c r="H209" i="7"/>
  <c r="D209" i="7"/>
  <c r="N205" i="7"/>
  <c r="O214" i="3"/>
  <c r="J214" i="3"/>
  <c r="F214" i="3"/>
  <c r="H214" i="3" s="1"/>
  <c r="B214" i="3"/>
  <c r="Q212" i="3"/>
  <c r="M212" i="3"/>
  <c r="D212" i="3"/>
  <c r="P211" i="3"/>
  <c r="L211" i="3"/>
  <c r="G211" i="3"/>
  <c r="C211" i="3"/>
  <c r="J210" i="3"/>
  <c r="N209" i="3"/>
  <c r="I209" i="3"/>
  <c r="K209" i="3" s="1"/>
  <c r="Q208" i="3"/>
  <c r="M208" i="3"/>
  <c r="D208" i="3"/>
  <c r="P207" i="3"/>
  <c r="O206" i="3"/>
  <c r="J206" i="3"/>
  <c r="F206" i="3"/>
  <c r="B206" i="3"/>
  <c r="N205" i="3"/>
  <c r="I205" i="3"/>
  <c r="Q204" i="3"/>
  <c r="M204" i="3"/>
  <c r="D204" i="3"/>
  <c r="P203" i="3"/>
  <c r="L203" i="3"/>
  <c r="G203" i="3"/>
  <c r="C203" i="3"/>
  <c r="O202" i="3"/>
  <c r="J202" i="3"/>
  <c r="F202" i="3"/>
  <c r="B202" i="3"/>
  <c r="N201" i="3"/>
  <c r="I201" i="3"/>
  <c r="Q200" i="3"/>
  <c r="M200" i="3"/>
  <c r="D200" i="3"/>
  <c r="P199" i="3"/>
  <c r="L199" i="3"/>
  <c r="G199" i="3"/>
  <c r="C199" i="3"/>
  <c r="E199" i="3" s="1"/>
  <c r="F198" i="3"/>
  <c r="H198" i="3" s="1"/>
  <c r="N197" i="3"/>
  <c r="I197" i="3"/>
  <c r="Q196" i="3"/>
  <c r="M196" i="3"/>
  <c r="D196" i="3"/>
  <c r="L195" i="3"/>
  <c r="O194" i="3"/>
  <c r="J194" i="3"/>
  <c r="F194" i="3"/>
  <c r="B194" i="3"/>
  <c r="I193" i="3"/>
  <c r="Q192" i="3"/>
  <c r="M192" i="3"/>
  <c r="D192" i="3"/>
  <c r="P191"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O196" i="7"/>
  <c r="E192" i="7"/>
  <c r="I192" i="7"/>
  <c r="I192" i="12" s="1"/>
  <c r="M192" i="7"/>
  <c r="B192" i="7"/>
  <c r="F192" i="7"/>
  <c r="J192" i="7"/>
  <c r="N192" i="7"/>
  <c r="C192" i="7"/>
  <c r="G192" i="7"/>
  <c r="K192" i="7"/>
  <c r="J192" i="12" s="1"/>
  <c r="O192" i="7"/>
  <c r="M220" i="7"/>
  <c r="I220" i="7"/>
  <c r="E220" i="7"/>
  <c r="M218" i="7"/>
  <c r="I218" i="7"/>
  <c r="E218" i="7"/>
  <c r="O217" i="7"/>
  <c r="K217" i="7"/>
  <c r="G217" i="7"/>
  <c r="C217" i="7"/>
  <c r="M216" i="7"/>
  <c r="I216" i="7"/>
  <c r="E216" i="7"/>
  <c r="O215" i="7"/>
  <c r="K215" i="7"/>
  <c r="G215" i="7"/>
  <c r="C215" i="7"/>
  <c r="M214" i="7"/>
  <c r="I214" i="7"/>
  <c r="E214" i="7"/>
  <c r="O213" i="7"/>
  <c r="K213" i="7"/>
  <c r="G213" i="7"/>
  <c r="C213" i="7"/>
  <c r="M212" i="7"/>
  <c r="I212" i="7"/>
  <c r="E212" i="7"/>
  <c r="O211" i="7"/>
  <c r="K211" i="7"/>
  <c r="G211" i="7"/>
  <c r="C211" i="7"/>
  <c r="M210" i="7"/>
  <c r="I210" i="7"/>
  <c r="E210" i="7"/>
  <c r="O209" i="7"/>
  <c r="K209" i="7"/>
  <c r="G209" i="7"/>
  <c r="C209" i="7"/>
  <c r="M208" i="7"/>
  <c r="I208" i="7"/>
  <c r="D208" i="7"/>
  <c r="L206" i="7"/>
  <c r="K206" i="12" s="1"/>
  <c r="H204" i="7"/>
  <c r="H204" i="12" s="1"/>
  <c r="B201" i="7"/>
  <c r="L198" i="7"/>
  <c r="K198" i="12" s="1"/>
  <c r="H196" i="7"/>
  <c r="H196" i="12" s="1"/>
  <c r="B193" i="7"/>
  <c r="L190" i="7"/>
  <c r="M220" i="10"/>
  <c r="M212" i="10"/>
  <c r="O209" i="3"/>
  <c r="F209" i="3"/>
  <c r="B209" i="3"/>
  <c r="O201" i="3"/>
  <c r="F201" i="3"/>
  <c r="B201" i="3"/>
  <c r="O197" i="3"/>
  <c r="J197" i="3"/>
  <c r="F197" i="3"/>
  <c r="B197" i="3"/>
  <c r="O193"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L213" i="7"/>
  <c r="H213" i="7"/>
  <c r="D213" i="7"/>
  <c r="F201" i="7"/>
  <c r="N197" i="7"/>
  <c r="F193" i="7"/>
  <c r="N214" i="3"/>
  <c r="I214" i="3"/>
  <c r="M213" i="3"/>
  <c r="D213" i="3"/>
  <c r="E213" i="3" s="1"/>
  <c r="P212" i="3"/>
  <c r="L212" i="3"/>
  <c r="G212" i="3"/>
  <c r="O211" i="3"/>
  <c r="J211" i="3"/>
  <c r="F211" i="3"/>
  <c r="I210" i="3"/>
  <c r="Q209" i="3"/>
  <c r="M209" i="3"/>
  <c r="D209" i="3"/>
  <c r="P208" i="3"/>
  <c r="L208" i="3"/>
  <c r="G208" i="3"/>
  <c r="J207" i="3"/>
  <c r="K207" i="3" s="1"/>
  <c r="N206" i="3"/>
  <c r="I206" i="3"/>
  <c r="Q205" i="3"/>
  <c r="M205" i="3"/>
  <c r="D205" i="3"/>
  <c r="P204" i="3"/>
  <c r="L204" i="3"/>
  <c r="G204" i="3"/>
  <c r="O203" i="3"/>
  <c r="J203" i="3"/>
  <c r="K203" i="3" s="1"/>
  <c r="F203" i="3"/>
  <c r="N202" i="3"/>
  <c r="I202" i="3"/>
  <c r="Q201" i="3"/>
  <c r="M201" i="3"/>
  <c r="D201" i="3"/>
  <c r="P200" i="3"/>
  <c r="L200" i="3"/>
  <c r="G200" i="3"/>
  <c r="O199" i="3"/>
  <c r="J199" i="3"/>
  <c r="F199" i="3"/>
  <c r="N198" i="3"/>
  <c r="Q197" i="3"/>
  <c r="M197" i="3"/>
  <c r="D197" i="3"/>
  <c r="E197" i="3" s="1"/>
  <c r="P196" i="3"/>
  <c r="L196" i="3"/>
  <c r="G196" i="3"/>
  <c r="O195" i="3"/>
  <c r="N194" i="3"/>
  <c r="I194" i="3"/>
  <c r="D193" i="3"/>
  <c r="E193" i="3" s="1"/>
  <c r="P192" i="3"/>
  <c r="L192" i="3"/>
  <c r="G192" i="3"/>
  <c r="O191" i="3"/>
  <c r="J191" i="3"/>
  <c r="F191" i="3"/>
  <c r="N190" i="3"/>
  <c r="I190" i="3"/>
  <c r="Q189" i="3"/>
  <c r="M189" i="3"/>
  <c r="D189" i="3"/>
  <c r="E189" i="3" s="1"/>
  <c r="C207" i="7"/>
  <c r="G207" i="7"/>
  <c r="K207" i="7"/>
  <c r="O207" i="7"/>
  <c r="D207" i="7"/>
  <c r="E207" i="7"/>
  <c r="I207" i="7"/>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20" i="7"/>
  <c r="H220" i="7"/>
  <c r="L218" i="7"/>
  <c r="H218" i="7"/>
  <c r="D218" i="7"/>
  <c r="N217" i="7"/>
  <c r="J217" i="7"/>
  <c r="F217" i="7"/>
  <c r="B217" i="7"/>
  <c r="L216" i="7"/>
  <c r="H216" i="7"/>
  <c r="N215" i="7"/>
  <c r="J215" i="7"/>
  <c r="F215" i="7"/>
  <c r="L214" i="7"/>
  <c r="H214" i="7"/>
  <c r="D214" i="7"/>
  <c r="N213" i="7"/>
  <c r="J213" i="7"/>
  <c r="F213" i="7"/>
  <c r="B213" i="7"/>
  <c r="L212" i="7"/>
  <c r="H212" i="7"/>
  <c r="N211" i="7"/>
  <c r="J211" i="7"/>
  <c r="F211" i="7"/>
  <c r="L210" i="7"/>
  <c r="H210" i="7"/>
  <c r="D210" i="7"/>
  <c r="N209" i="7"/>
  <c r="J209" i="7"/>
  <c r="F209" i="7"/>
  <c r="B209" i="7"/>
  <c r="L208" i="7"/>
  <c r="H208" i="7"/>
  <c r="B208" i="7"/>
  <c r="H207" i="7"/>
  <c r="F205" i="7"/>
  <c r="D204" i="7"/>
  <c r="B203" i="7"/>
  <c r="N201" i="7"/>
  <c r="L200" i="7"/>
  <c r="K200" i="12" s="1"/>
  <c r="J199" i="7"/>
  <c r="F197" i="7"/>
  <c r="D196" i="7"/>
  <c r="B195" i="7"/>
  <c r="N193" i="7"/>
  <c r="L192" i="7"/>
  <c r="K192" i="12" s="1"/>
  <c r="J191" i="7"/>
  <c r="O205" i="3"/>
  <c r="P221" i="2"/>
  <c r="Q214" i="3"/>
  <c r="M214" i="3"/>
  <c r="P213" i="3"/>
  <c r="L213" i="3"/>
  <c r="G213" i="3"/>
  <c r="Q210" i="3"/>
  <c r="M210" i="3"/>
  <c r="P209" i="3"/>
  <c r="L209" i="3"/>
  <c r="G209" i="3"/>
  <c r="Q206" i="3"/>
  <c r="M206" i="3"/>
  <c r="P205" i="3"/>
  <c r="L205" i="3"/>
  <c r="G205" i="3"/>
  <c r="Q202" i="3"/>
  <c r="M202" i="3"/>
  <c r="P201" i="3"/>
  <c r="L201" i="3"/>
  <c r="G201" i="3"/>
  <c r="Q198" i="3"/>
  <c r="M198" i="3"/>
  <c r="P197" i="3"/>
  <c r="L197" i="3"/>
  <c r="G197" i="3"/>
  <c r="Q194" i="3"/>
  <c r="M194" i="3"/>
  <c r="P193" i="3"/>
  <c r="L193"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8" i="7"/>
  <c r="K218" i="7"/>
  <c r="G218" i="7"/>
  <c r="M217" i="7"/>
  <c r="I217" i="7"/>
  <c r="O214" i="7"/>
  <c r="K214" i="7"/>
  <c r="G214" i="7"/>
  <c r="M213" i="7"/>
  <c r="I213" i="7"/>
  <c r="O210" i="7"/>
  <c r="K210" i="7"/>
  <c r="G210" i="7"/>
  <c r="M209" i="7"/>
  <c r="I209" i="7"/>
  <c r="N207" i="7"/>
  <c r="F207" i="7"/>
  <c r="D206" i="7"/>
  <c r="B205" i="7"/>
  <c r="N203" i="7"/>
  <c r="L202" i="7"/>
  <c r="K202" i="12" s="1"/>
  <c r="J201" i="7"/>
  <c r="F199" i="7"/>
  <c r="D198" i="7"/>
  <c r="B197" i="7"/>
  <c r="N195" i="7"/>
  <c r="L194" i="7"/>
  <c r="K194" i="12" s="1"/>
  <c r="J193" i="7"/>
  <c r="F191" i="7"/>
  <c r="D190" i="7"/>
  <c r="B217" i="14"/>
  <c r="G217" i="14" s="1"/>
  <c r="F217" i="14"/>
  <c r="C217" i="14"/>
  <c r="D217" i="14"/>
  <c r="B213" i="14"/>
  <c r="F213" i="14"/>
  <c r="C213" i="14"/>
  <c r="D213" i="14"/>
  <c r="C209" i="14"/>
  <c r="D209" i="14"/>
  <c r="E209" i="14"/>
  <c r="G209" i="14" s="1"/>
  <c r="D205" i="14"/>
  <c r="E205" i="14"/>
  <c r="B205" i="14"/>
  <c r="F205" i="14"/>
  <c r="B201" i="14"/>
  <c r="F201" i="14"/>
  <c r="C201" i="14"/>
  <c r="D201" i="14"/>
  <c r="D197" i="14"/>
  <c r="E197" i="14"/>
  <c r="B197" i="14"/>
  <c r="F197" i="14"/>
  <c r="B193" i="14"/>
  <c r="G193" i="14" s="1"/>
  <c r="F193" i="14"/>
  <c r="C193" i="14"/>
  <c r="D193" i="14"/>
  <c r="D189" i="14"/>
  <c r="E189" i="14"/>
  <c r="B189" i="14"/>
  <c r="F189" i="14"/>
  <c r="E213" i="14"/>
  <c r="E201" i="14"/>
  <c r="B220" i="10"/>
  <c r="F220" i="10"/>
  <c r="J220" i="10"/>
  <c r="N220" i="10"/>
  <c r="C220" i="10"/>
  <c r="G220" i="10"/>
  <c r="K220" i="10"/>
  <c r="O220" i="10"/>
  <c r="D220" i="10"/>
  <c r="H220" i="10"/>
  <c r="L220" i="10"/>
  <c r="B216" i="10"/>
  <c r="F216" i="10"/>
  <c r="J216" i="10"/>
  <c r="N216" i="10"/>
  <c r="C216" i="10"/>
  <c r="G216" i="10"/>
  <c r="K216" i="10"/>
  <c r="O216" i="10"/>
  <c r="D216" i="10"/>
  <c r="H216" i="10"/>
  <c r="L216" i="10"/>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20" i="10"/>
  <c r="I216" i="10"/>
  <c r="E212" i="10"/>
  <c r="G208" i="10"/>
  <c r="D220" i="14"/>
  <c r="C218" i="14"/>
  <c r="E216" i="14"/>
  <c r="F215" i="14"/>
  <c r="B215" i="14"/>
  <c r="C214" i="14"/>
  <c r="E212" i="14"/>
  <c r="C211" i="14"/>
  <c r="D210" i="14"/>
  <c r="F208" i="14"/>
  <c r="B208" i="14"/>
  <c r="C207" i="14"/>
  <c r="D206" i="14"/>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L218" i="10"/>
  <c r="H218" i="10"/>
  <c r="D218" i="10"/>
  <c r="N217" i="10"/>
  <c r="J217" i="10"/>
  <c r="F217" i="10"/>
  <c r="B217" i="10"/>
  <c r="N215" i="10"/>
  <c r="J215" i="10"/>
  <c r="F215" i="10"/>
  <c r="B215" i="10"/>
  <c r="L214" i="10"/>
  <c r="H214" i="10"/>
  <c r="D214" i="10"/>
  <c r="N213" i="10"/>
  <c r="J213" i="10"/>
  <c r="F213" i="10"/>
  <c r="B213" i="10"/>
  <c r="N211" i="10"/>
  <c r="J211" i="10"/>
  <c r="F211" i="10"/>
  <c r="B211" i="10"/>
  <c r="L210" i="10"/>
  <c r="M205" i="10"/>
  <c r="I203" i="10"/>
  <c r="M197" i="10"/>
  <c r="I195" i="10"/>
  <c r="L218" i="11"/>
  <c r="L210" i="11"/>
  <c r="L202" i="11"/>
  <c r="C220" i="14"/>
  <c r="F218" i="14"/>
  <c r="B218" i="14"/>
  <c r="G218" i="14" s="1"/>
  <c r="D216" i="14"/>
  <c r="E215" i="14"/>
  <c r="F214" i="14"/>
  <c r="B214" i="14"/>
  <c r="G214" i="14" s="1"/>
  <c r="D212" i="14"/>
  <c r="F211" i="14"/>
  <c r="B211" i="14"/>
  <c r="G211" i="14" s="1"/>
  <c r="C210" i="14"/>
  <c r="E208" i="14"/>
  <c r="F207" i="14"/>
  <c r="B207" i="14"/>
  <c r="G207" i="14" s="1"/>
  <c r="C206" i="14"/>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O218" i="10"/>
  <c r="K218" i="10"/>
  <c r="G218" i="10"/>
  <c r="M217" i="10"/>
  <c r="I217" i="10"/>
  <c r="E217" i="10"/>
  <c r="M215" i="10"/>
  <c r="I215" i="10"/>
  <c r="O214" i="10"/>
  <c r="K214" i="10"/>
  <c r="G214" i="10"/>
  <c r="C214" i="10"/>
  <c r="M213" i="10"/>
  <c r="I213" i="10"/>
  <c r="E213" i="10"/>
  <c r="M211" i="10"/>
  <c r="I211" i="10"/>
  <c r="E211" i="10"/>
  <c r="O210" i="10"/>
  <c r="K210" i="10"/>
  <c r="C210" i="10"/>
  <c r="M207" i="10"/>
  <c r="K206" i="10"/>
  <c r="E203" i="10"/>
  <c r="C202" i="10"/>
  <c r="M199" i="10"/>
  <c r="K198" i="10"/>
  <c r="E195" i="10"/>
  <c r="C194" i="10"/>
  <c r="M191" i="10"/>
  <c r="K190" i="10"/>
  <c r="F220" i="14"/>
  <c r="F210" i="14"/>
  <c r="F206" i="14"/>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7" i="10"/>
  <c r="H217" i="10"/>
  <c r="F214" i="10"/>
  <c r="L213" i="10"/>
  <c r="H213" i="10"/>
  <c r="L211" i="10"/>
  <c r="H211" i="10"/>
  <c r="N210" i="10"/>
  <c r="J210" i="10"/>
  <c r="M209" i="10"/>
  <c r="I207" i="10"/>
  <c r="G206" i="10"/>
  <c r="E205" i="10"/>
  <c r="O202" i="10"/>
  <c r="M201" i="10"/>
  <c r="I199" i="10"/>
  <c r="G198" i="10"/>
  <c r="E197" i="10"/>
  <c r="O194" i="10"/>
  <c r="M193" i="10"/>
  <c r="I191" i="10"/>
  <c r="G190" i="10"/>
  <c r="E218" i="11"/>
  <c r="I218" i="11"/>
  <c r="M218" i="11"/>
  <c r="B218" i="11"/>
  <c r="F218" i="11"/>
  <c r="J218" i="11"/>
  <c r="N218" i="11"/>
  <c r="C218" i="11"/>
  <c r="G218" i="11"/>
  <c r="K218" i="11"/>
  <c r="O218" i="11"/>
  <c r="E214" i="11"/>
  <c r="I214" i="11"/>
  <c r="M214" i="11"/>
  <c r="B214" i="11"/>
  <c r="F214" i="11"/>
  <c r="J214" i="11"/>
  <c r="N214" i="11"/>
  <c r="C214" i="11"/>
  <c r="G214" i="11"/>
  <c r="K214" i="11"/>
  <c r="O214" i="11"/>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E217" i="12"/>
  <c r="I217" i="12"/>
  <c r="B217" i="12"/>
  <c r="F217" i="12"/>
  <c r="J217" i="12"/>
  <c r="C217" i="12"/>
  <c r="G217" i="12"/>
  <c r="K217" i="12"/>
  <c r="H217" i="12"/>
  <c r="C213" i="12"/>
  <c r="G213" i="12"/>
  <c r="K213" i="12"/>
  <c r="D213" i="12"/>
  <c r="H213" i="12"/>
  <c r="E213" i="12"/>
  <c r="I213" i="12"/>
  <c r="F213" i="12"/>
  <c r="J213" i="12"/>
  <c r="B213" i="12"/>
  <c r="C209" i="12"/>
  <c r="G209" i="12"/>
  <c r="K209" i="12"/>
  <c r="D209" i="12"/>
  <c r="H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B219" i="13"/>
  <c r="F219" i="13"/>
  <c r="C219" i="13"/>
  <c r="G219" i="13"/>
  <c r="D219" i="13"/>
  <c r="E219" i="13"/>
  <c r="B215" i="13"/>
  <c r="F215" i="13"/>
  <c r="C215" i="13"/>
  <c r="G215" i="13"/>
  <c r="D215" i="13"/>
  <c r="E215" i="13"/>
  <c r="F211" i="13"/>
  <c r="G211" i="13"/>
  <c r="E211" i="13"/>
  <c r="F207" i="13"/>
  <c r="G207" i="13"/>
  <c r="E207" i="13"/>
  <c r="F203" i="13"/>
  <c r="G203" i="13"/>
  <c r="E203" i="13"/>
  <c r="F199" i="13"/>
  <c r="G199" i="13"/>
  <c r="E199" i="13"/>
  <c r="F195" i="13"/>
  <c r="G195" i="13"/>
  <c r="E195" i="13"/>
  <c r="F191" i="13"/>
  <c r="G191" i="13"/>
  <c r="E191" i="13"/>
  <c r="F187" i="13"/>
  <c r="G187" i="13"/>
  <c r="E187" i="13"/>
  <c r="D218" i="11"/>
  <c r="L214" i="11"/>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C220" i="12"/>
  <c r="G220" i="12"/>
  <c r="K220" i="12"/>
  <c r="D220" i="12"/>
  <c r="H220" i="12"/>
  <c r="E220" i="12"/>
  <c r="I220" i="12"/>
  <c r="C216" i="12"/>
  <c r="G216" i="12"/>
  <c r="K216" i="12"/>
  <c r="D216" i="12"/>
  <c r="H216" i="12"/>
  <c r="E216" i="12"/>
  <c r="I216" i="12"/>
  <c r="E212" i="12"/>
  <c r="I212" i="12"/>
  <c r="B212" i="12"/>
  <c r="F212" i="12"/>
  <c r="J212" i="12"/>
  <c r="C212" i="12"/>
  <c r="G212" i="12"/>
  <c r="K212" i="12"/>
  <c r="D212" i="12"/>
  <c r="H212" i="12"/>
  <c r="E208" i="12"/>
  <c r="I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J196" i="12"/>
  <c r="G196" i="12"/>
  <c r="K196" i="12"/>
  <c r="D192" i="12"/>
  <c r="H192" i="12"/>
  <c r="E192" i="12"/>
  <c r="B192" i="12"/>
  <c r="F192" i="12"/>
  <c r="C192" i="12"/>
  <c r="G192" i="12"/>
  <c r="D188" i="12"/>
  <c r="E188" i="12"/>
  <c r="B188" i="12"/>
  <c r="F188" i="12"/>
  <c r="G188" i="12"/>
  <c r="C188" i="12"/>
  <c r="D214" i="13"/>
  <c r="E214" i="13"/>
  <c r="B214" i="13"/>
  <c r="F214" i="13"/>
  <c r="C214" i="13"/>
  <c r="G214" i="13"/>
  <c r="E210" i="13"/>
  <c r="F210" i="13"/>
  <c r="G210" i="13"/>
  <c r="E206" i="13"/>
  <c r="F206" i="13"/>
  <c r="G206" i="13"/>
  <c r="E202" i="13"/>
  <c r="F202" i="13"/>
  <c r="G202" i="13"/>
  <c r="E198" i="13"/>
  <c r="F198" i="13"/>
  <c r="G198" i="13"/>
  <c r="E194" i="13"/>
  <c r="F194" i="13"/>
  <c r="G194" i="13"/>
  <c r="E190" i="13"/>
  <c r="F190" i="13"/>
  <c r="G190" i="13"/>
  <c r="O220" i="11"/>
  <c r="K220" i="11"/>
  <c r="G220" i="11"/>
  <c r="C220" i="11"/>
  <c r="M217" i="11"/>
  <c r="I217" i="11"/>
  <c r="E217" i="11"/>
  <c r="O216" i="11"/>
  <c r="K216" i="11"/>
  <c r="G216" i="11"/>
  <c r="C216" i="11"/>
  <c r="M215" i="11"/>
  <c r="I215" i="11"/>
  <c r="E215" i="11"/>
  <c r="M213" i="11"/>
  <c r="I213" i="11"/>
  <c r="E213" i="11"/>
  <c r="O212" i="11"/>
  <c r="K212" i="11"/>
  <c r="G212" i="11"/>
  <c r="C212" i="11"/>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F220" i="12"/>
  <c r="B218" i="12"/>
  <c r="H208" i="12"/>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15" i="12"/>
  <c r="G215" i="12"/>
  <c r="K215" i="12"/>
  <c r="E215" i="12"/>
  <c r="I215" i="12"/>
  <c r="F215" i="12"/>
  <c r="H215" i="12"/>
  <c r="B215" i="12"/>
  <c r="J215" i="12"/>
  <c r="C211" i="12"/>
  <c r="G211" i="12"/>
  <c r="K211" i="12"/>
  <c r="D211" i="12"/>
  <c r="H211" i="12"/>
  <c r="E211" i="12"/>
  <c r="I211" i="12"/>
  <c r="B211" i="12"/>
  <c r="F211" i="12"/>
  <c r="J211" i="12"/>
  <c r="C207" i="12"/>
  <c r="G207" i="12"/>
  <c r="K207" i="12"/>
  <c r="D207" i="12"/>
  <c r="H207" i="12"/>
  <c r="E207" i="12"/>
  <c r="I207" i="12"/>
  <c r="J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B217" i="13"/>
  <c r="F217" i="13"/>
  <c r="C217" i="13"/>
  <c r="G217" i="13"/>
  <c r="D217" i="13"/>
  <c r="E217" i="13"/>
  <c r="B213" i="13"/>
  <c r="F213" i="13"/>
  <c r="C213" i="13"/>
  <c r="G213" i="13"/>
  <c r="D213" i="13"/>
  <c r="E213" i="13"/>
  <c r="F209" i="13"/>
  <c r="G209" i="13"/>
  <c r="E209" i="13"/>
  <c r="F205" i="13"/>
  <c r="G205" i="13"/>
  <c r="E205" i="13"/>
  <c r="F201" i="13"/>
  <c r="G201" i="13"/>
  <c r="E201" i="13"/>
  <c r="F197" i="13"/>
  <c r="G197" i="13"/>
  <c r="F193" i="13"/>
  <c r="G193" i="13"/>
  <c r="E193" i="13"/>
  <c r="F189" i="13"/>
  <c r="G189" i="13"/>
  <c r="E189" i="13"/>
  <c r="N220" i="11"/>
  <c r="J220" i="11"/>
  <c r="F220" i="11"/>
  <c r="B220" i="11"/>
  <c r="L217" i="11"/>
  <c r="H217" i="11"/>
  <c r="D217" i="11"/>
  <c r="N216" i="11"/>
  <c r="J216" i="11"/>
  <c r="F216" i="11"/>
  <c r="B216" i="11"/>
  <c r="L215" i="11"/>
  <c r="H215" i="11"/>
  <c r="D215" i="11"/>
  <c r="L213" i="11"/>
  <c r="H213" i="11"/>
  <c r="D213" i="11"/>
  <c r="N212" i="11"/>
  <c r="J212" i="11"/>
  <c r="F212" i="11"/>
  <c r="B212" i="11"/>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B220" i="12"/>
  <c r="J216" i="12"/>
  <c r="D215" i="12"/>
  <c r="N211" i="12"/>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C218" i="12"/>
  <c r="G218" i="12"/>
  <c r="K218" i="12"/>
  <c r="D218" i="12"/>
  <c r="H218" i="12"/>
  <c r="E218" i="12"/>
  <c r="I218" i="12"/>
  <c r="E214" i="12"/>
  <c r="I214" i="12"/>
  <c r="C214" i="12"/>
  <c r="G214" i="12"/>
  <c r="K214" i="12"/>
  <c r="D214" i="12"/>
  <c r="F214" i="12"/>
  <c r="H214" i="12"/>
  <c r="E210" i="12"/>
  <c r="I210" i="12"/>
  <c r="B210" i="12"/>
  <c r="F210" i="12"/>
  <c r="J210" i="12"/>
  <c r="C210" i="12"/>
  <c r="G210" i="12"/>
  <c r="K210" i="12"/>
  <c r="D210" i="12"/>
  <c r="H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K190" i="12"/>
  <c r="C190" i="12"/>
  <c r="G190" i="12"/>
  <c r="D216" i="13"/>
  <c r="E216" i="13"/>
  <c r="B216" i="13"/>
  <c r="F216" i="13"/>
  <c r="G216" i="13"/>
  <c r="C216" i="13"/>
  <c r="E212" i="13"/>
  <c r="F212" i="13"/>
  <c r="G212" i="13"/>
  <c r="E208" i="13"/>
  <c r="F208" i="13"/>
  <c r="G208" i="13"/>
  <c r="E204" i="13"/>
  <c r="F204" i="13"/>
  <c r="G204" i="13"/>
  <c r="E200" i="13"/>
  <c r="F200" i="13"/>
  <c r="G200" i="13"/>
  <c r="E196" i="13"/>
  <c r="F196" i="13"/>
  <c r="G196" i="13"/>
  <c r="E192" i="13"/>
  <c r="F192" i="13"/>
  <c r="G192" i="13"/>
  <c r="E188" i="13"/>
  <c r="F188" i="13"/>
  <c r="G188" i="13"/>
  <c r="M220" i="11"/>
  <c r="I220" i="11"/>
  <c r="O217" i="11"/>
  <c r="K217" i="11"/>
  <c r="G217" i="11"/>
  <c r="M216" i="11"/>
  <c r="I216" i="11"/>
  <c r="O215" i="11"/>
  <c r="K215" i="11"/>
  <c r="G215" i="11"/>
  <c r="O213" i="11"/>
  <c r="K213" i="11"/>
  <c r="G213" i="11"/>
  <c r="M212" i="11"/>
  <c r="I212" i="11"/>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J218" i="12"/>
  <c r="F216" i="12"/>
  <c r="J214" i="12"/>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N220" i="6"/>
  <c r="J220" i="6"/>
  <c r="F220" i="6"/>
  <c r="B220" i="6"/>
  <c r="N218" i="6"/>
  <c r="J218" i="6"/>
  <c r="F218" i="6"/>
  <c r="B218" i="6"/>
  <c r="L217" i="6"/>
  <c r="O217" i="12" s="1"/>
  <c r="H217" i="6"/>
  <c r="L217" i="12" s="1"/>
  <c r="D217" i="6"/>
  <c r="N216" i="6"/>
  <c r="J216" i="6"/>
  <c r="F216" i="6"/>
  <c r="B216" i="6"/>
  <c r="L215" i="6"/>
  <c r="O215" i="12" s="1"/>
  <c r="H215" i="6"/>
  <c r="L215" i="12" s="1"/>
  <c r="D215" i="6"/>
  <c r="N214" i="6"/>
  <c r="J214" i="6"/>
  <c r="F214" i="6"/>
  <c r="B214" i="6"/>
  <c r="L213" i="6"/>
  <c r="O213" i="12" s="1"/>
  <c r="H213" i="6"/>
  <c r="L213" i="12" s="1"/>
  <c r="D213" i="6"/>
  <c r="N212" i="6"/>
  <c r="J212" i="6"/>
  <c r="F212" i="6"/>
  <c r="B212" i="6"/>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M220" i="6"/>
  <c r="I220" i="6"/>
  <c r="M220" i="12" s="1"/>
  <c r="E220" i="6"/>
  <c r="M218" i="6"/>
  <c r="I218" i="6"/>
  <c r="M218" i="12" s="1"/>
  <c r="E218" i="6"/>
  <c r="O217" i="6"/>
  <c r="K217" i="6"/>
  <c r="N217" i="12" s="1"/>
  <c r="G217" i="6"/>
  <c r="C217" i="6"/>
  <c r="M216" i="6"/>
  <c r="I216" i="6"/>
  <c r="M216" i="12" s="1"/>
  <c r="E216" i="6"/>
  <c r="O215" i="6"/>
  <c r="K215" i="6"/>
  <c r="N215" i="12" s="1"/>
  <c r="G215" i="6"/>
  <c r="C215" i="6"/>
  <c r="M214" i="6"/>
  <c r="I214" i="6"/>
  <c r="M214" i="12" s="1"/>
  <c r="E214" i="6"/>
  <c r="O213" i="6"/>
  <c r="K213" i="6"/>
  <c r="N213" i="12" s="1"/>
  <c r="G213" i="6"/>
  <c r="C213" i="6"/>
  <c r="M212" i="6"/>
  <c r="I212" i="6"/>
  <c r="M212" i="12" s="1"/>
  <c r="E212" i="6"/>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L220" i="6"/>
  <c r="O220" i="12" s="1"/>
  <c r="H220" i="6"/>
  <c r="L220" i="12" s="1"/>
  <c r="D220" i="6"/>
  <c r="L218" i="6"/>
  <c r="O218" i="12" s="1"/>
  <c r="H218" i="6"/>
  <c r="L218" i="12" s="1"/>
  <c r="D218" i="6"/>
  <c r="N217" i="6"/>
  <c r="J217" i="6"/>
  <c r="F217" i="6"/>
  <c r="B217" i="6"/>
  <c r="L216" i="6"/>
  <c r="O216" i="12" s="1"/>
  <c r="H216" i="6"/>
  <c r="L216" i="12" s="1"/>
  <c r="D216" i="6"/>
  <c r="N215" i="6"/>
  <c r="J215" i="6"/>
  <c r="F215" i="6"/>
  <c r="B215" i="6"/>
  <c r="L214" i="6"/>
  <c r="O214" i="12" s="1"/>
  <c r="H214" i="6"/>
  <c r="L214" i="12" s="1"/>
  <c r="D214" i="6"/>
  <c r="N213" i="6"/>
  <c r="J213" i="6"/>
  <c r="F213" i="6"/>
  <c r="B213" i="6"/>
  <c r="L212" i="6"/>
  <c r="O212" i="12" s="1"/>
  <c r="H212" i="6"/>
  <c r="L212" i="12" s="1"/>
  <c r="D212" i="6"/>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O220" i="6"/>
  <c r="K220" i="6"/>
  <c r="N220" i="12" s="1"/>
  <c r="G220" i="6"/>
  <c r="O218" i="6"/>
  <c r="K218" i="6"/>
  <c r="N218" i="12" s="1"/>
  <c r="G218" i="6"/>
  <c r="M217" i="6"/>
  <c r="I217" i="6"/>
  <c r="M217" i="12" s="1"/>
  <c r="O216" i="6"/>
  <c r="K216" i="6"/>
  <c r="N216" i="12" s="1"/>
  <c r="G216" i="6"/>
  <c r="M215" i="6"/>
  <c r="I215" i="6"/>
  <c r="M215" i="12" s="1"/>
  <c r="O214" i="6"/>
  <c r="K214" i="6"/>
  <c r="N214" i="12" s="1"/>
  <c r="G214" i="6"/>
  <c r="M213" i="6"/>
  <c r="I213" i="6"/>
  <c r="M213" i="12" s="1"/>
  <c r="O212" i="6"/>
  <c r="K212" i="6"/>
  <c r="N212" i="12" s="1"/>
  <c r="G212" i="6"/>
  <c r="M211" i="6"/>
  <c r="I211" i="6"/>
  <c r="M211" i="12" s="1"/>
  <c r="L221" i="2"/>
  <c r="Q213" i="2"/>
  <c r="M219" i="2"/>
  <c r="D205" i="2"/>
  <c r="C217" i="2"/>
  <c r="I197" i="2"/>
  <c r="H208" i="2"/>
  <c r="M216" i="2"/>
  <c r="B216" i="2"/>
  <c r="P216" i="2"/>
  <c r="C212" i="2"/>
  <c r="R212" i="2"/>
  <c r="I204" i="2"/>
  <c r="L204" i="2"/>
  <c r="M200" i="2"/>
  <c r="P200" i="2"/>
  <c r="C196" i="2"/>
  <c r="D196" i="2"/>
  <c r="R196" i="2"/>
  <c r="B200" i="2"/>
  <c r="D220" i="2"/>
  <c r="C220" i="2"/>
  <c r="I220" i="2"/>
  <c r="D212" i="2"/>
  <c r="I219" i="2"/>
  <c r="E211" i="2"/>
  <c r="P207" i="2"/>
  <c r="L199" i="2"/>
  <c r="H221" i="2"/>
  <c r="D219" i="2"/>
  <c r="S209" i="2"/>
  <c r="H207" i="2"/>
  <c r="R203" i="2"/>
  <c r="C199" i="2"/>
  <c r="C221" i="2"/>
  <c r="Q219" i="2"/>
  <c r="L215" i="2"/>
  <c r="E195" i="2"/>
  <c r="D206" i="2"/>
  <c r="L206" i="2"/>
  <c r="R206" i="2"/>
  <c r="E206" i="2"/>
  <c r="M206" i="2"/>
  <c r="S206" i="2"/>
  <c r="B194" i="2"/>
  <c r="H194" i="2"/>
  <c r="P194" i="2"/>
  <c r="C194" i="2"/>
  <c r="I194" i="2"/>
  <c r="Q194" i="2"/>
  <c r="L218" i="2"/>
  <c r="C206" i="2"/>
  <c r="S202" i="2"/>
  <c r="D217" i="2"/>
  <c r="I217"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S222" i="2"/>
  <c r="M222" i="2"/>
  <c r="E222" i="2"/>
  <c r="S221" i="2"/>
  <c r="B221" i="2"/>
  <c r="P220" i="2"/>
  <c r="H220" i="2"/>
  <c r="B220" i="2"/>
  <c r="P219" i="2"/>
  <c r="L219" i="2"/>
  <c r="H219" i="2"/>
  <c r="C219" i="2"/>
  <c r="Q218" i="2"/>
  <c r="I218" i="2"/>
  <c r="C218" i="2"/>
  <c r="Q217" i="2"/>
  <c r="M217" i="2"/>
  <c r="H217" i="2"/>
  <c r="B217" i="2"/>
  <c r="S215" i="2"/>
  <c r="B215" i="2"/>
  <c r="H214" i="2"/>
  <c r="P213" i="2"/>
  <c r="H213" i="2"/>
  <c r="J213" i="2" s="1"/>
  <c r="K213" i="2" s="1"/>
  <c r="Q212" i="2"/>
  <c r="M211" i="2"/>
  <c r="D211" i="2"/>
  <c r="R209" i="2"/>
  <c r="S208" i="2"/>
  <c r="P206" i="2"/>
  <c r="B206" i="2"/>
  <c r="L205" i="2"/>
  <c r="N205" i="2" s="1"/>
  <c r="O205" i="2" s="1"/>
  <c r="C205" i="2"/>
  <c r="F205" i="2" s="1"/>
  <c r="Q203" i="2"/>
  <c r="I203" i="2"/>
  <c r="R202" i="2"/>
  <c r="D202" i="2"/>
  <c r="E201" i="2"/>
  <c r="S199" i="2"/>
  <c r="B199" i="2"/>
  <c r="H198" i="2"/>
  <c r="P197" i="2"/>
  <c r="H197" i="2"/>
  <c r="J197" i="2" s="1"/>
  <c r="K197" i="2" s="1"/>
  <c r="Q196" i="2"/>
  <c r="M195" i="2"/>
  <c r="D195" i="2"/>
  <c r="L194" i="2"/>
  <c r="B210" i="2"/>
  <c r="H210" i="2"/>
  <c r="P210" i="2"/>
  <c r="C210" i="2"/>
  <c r="I210" i="2"/>
  <c r="Q210" i="2"/>
  <c r="P222" i="2"/>
  <c r="H222" i="2"/>
  <c r="B222" i="2"/>
  <c r="Q206" i="2"/>
  <c r="C216" i="2"/>
  <c r="I216" i="2"/>
  <c r="D216" i="2"/>
  <c r="L216" i="2"/>
  <c r="R21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R222" i="2"/>
  <c r="L222" i="2"/>
  <c r="D222" i="2"/>
  <c r="R221" i="2"/>
  <c r="E221" i="2"/>
  <c r="S220" i="2"/>
  <c r="M220" i="2"/>
  <c r="E220" i="2"/>
  <c r="S219" i="2"/>
  <c r="B219" i="2"/>
  <c r="P218" i="2"/>
  <c r="H218" i="2"/>
  <c r="B218" i="2"/>
  <c r="P217" i="2"/>
  <c r="L217" i="2"/>
  <c r="S216" i="2"/>
  <c r="H216" i="2"/>
  <c r="P215" i="2"/>
  <c r="Q214" i="2"/>
  <c r="M213" i="2"/>
  <c r="D213" i="2"/>
  <c r="L212" i="2"/>
  <c r="S210" i="2"/>
  <c r="E210" i="2"/>
  <c r="P208" i="2"/>
  <c r="B208" i="2"/>
  <c r="L207" i="2"/>
  <c r="I206" i="2"/>
  <c r="Q205" i="2"/>
  <c r="I205" i="2"/>
  <c r="R204" i="2"/>
  <c r="D204" i="2"/>
  <c r="S201" i="2"/>
  <c r="B201" i="2"/>
  <c r="H200" i="2"/>
  <c r="P199" i="2"/>
  <c r="Q198" i="2"/>
  <c r="M197" i="2"/>
  <c r="D197" i="2"/>
  <c r="L196" i="2"/>
  <c r="N196" i="2" s="1"/>
  <c r="O196" i="2" s="1"/>
  <c r="S194" i="2"/>
  <c r="E194" i="2"/>
  <c r="D214" i="2"/>
  <c r="L214" i="2"/>
  <c r="R214" i="2"/>
  <c r="E214" i="2"/>
  <c r="M214" i="2"/>
  <c r="S214" i="2"/>
  <c r="B202" i="2"/>
  <c r="H202" i="2"/>
  <c r="P202" i="2"/>
  <c r="C202" i="2"/>
  <c r="I202" i="2"/>
  <c r="Q202" i="2"/>
  <c r="D198" i="2"/>
  <c r="F198" i="2" s="1"/>
  <c r="L198" i="2"/>
  <c r="R198" i="2"/>
  <c r="E198" i="2"/>
  <c r="M198" i="2"/>
  <c r="S198" i="2"/>
  <c r="R218" i="2"/>
  <c r="D218" i="2"/>
  <c r="G218" i="2" s="1"/>
  <c r="I214" i="2"/>
  <c r="M210" i="2"/>
  <c r="N210" i="2" s="1"/>
  <c r="O210" i="2" s="1"/>
  <c r="E202" i="2"/>
  <c r="I198" i="2"/>
  <c r="M194" i="2"/>
  <c r="D215" i="2"/>
  <c r="I215" i="2"/>
  <c r="J215" i="2" s="1"/>
  <c r="K215" i="2" s="1"/>
  <c r="M215" i="2"/>
  <c r="Q215" i="2"/>
  <c r="E215" i="2"/>
  <c r="R215"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Q222" i="2"/>
  <c r="I222" i="2"/>
  <c r="Q221" i="2"/>
  <c r="M221" i="2"/>
  <c r="I221" i="2"/>
  <c r="R220" i="2"/>
  <c r="L220" i="2"/>
  <c r="R219" i="2"/>
  <c r="S218" i="2"/>
  <c r="M218" i="2"/>
  <c r="S217" i="2"/>
  <c r="E217" i="2"/>
  <c r="Q216" i="2"/>
  <c r="E216"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L4" i="21"/>
  <c r="E205" i="3" l="1"/>
  <c r="E201" i="3"/>
  <c r="E209" i="3"/>
  <c r="E214" i="3"/>
  <c r="G221" i="2"/>
  <c r="J199" i="2"/>
  <c r="K199" i="2" s="1"/>
  <c r="F221" i="2"/>
  <c r="F214" i="2"/>
  <c r="F222" i="2"/>
  <c r="G219" i="2"/>
  <c r="E203" i="3"/>
  <c r="O207" i="3"/>
  <c r="N210" i="3"/>
  <c r="B193" i="3"/>
  <c r="N193" i="3"/>
  <c r="P195" i="3"/>
  <c r="J198" i="3"/>
  <c r="C207" i="3"/>
  <c r="O210" i="3"/>
  <c r="I213" i="3"/>
  <c r="B213" i="3"/>
  <c r="D198" i="3"/>
  <c r="Q207" i="3"/>
  <c r="Q195" i="3"/>
  <c r="M193" i="3"/>
  <c r="F195" i="3"/>
  <c r="Q213" i="3"/>
  <c r="F193" i="3"/>
  <c r="H193" i="3" s="1"/>
  <c r="C195" i="3"/>
  <c r="E195" i="3" s="1"/>
  <c r="O198" i="3"/>
  <c r="G207" i="3"/>
  <c r="B210" i="3"/>
  <c r="E212" i="3"/>
  <c r="N213" i="3"/>
  <c r="F213" i="3"/>
  <c r="C198" i="3"/>
  <c r="E198" i="3" s="1"/>
  <c r="P210" i="3"/>
  <c r="G210" i="3"/>
  <c r="D207" i="3"/>
  <c r="C210" i="3"/>
  <c r="Q193" i="3"/>
  <c r="J195" i="3"/>
  <c r="I198" i="3"/>
  <c r="F207" i="3"/>
  <c r="H207" i="3" s="1"/>
  <c r="K211" i="3"/>
  <c r="J193" i="3"/>
  <c r="G195" i="3"/>
  <c r="B198" i="3"/>
  <c r="L207" i="3"/>
  <c r="F210" i="3"/>
  <c r="J213" i="3"/>
  <c r="D210" i="3"/>
  <c r="I195" i="3"/>
  <c r="B207" i="3"/>
  <c r="M207" i="3"/>
  <c r="J217" i="2"/>
  <c r="K217" i="2" s="1"/>
  <c r="C218" i="3"/>
  <c r="D218" i="3"/>
  <c r="M218" i="3"/>
  <c r="N218" i="3"/>
  <c r="P218" i="3"/>
  <c r="O218" i="3"/>
  <c r="J218" i="3"/>
  <c r="I218" i="3"/>
  <c r="G218" i="3"/>
  <c r="F218" i="3"/>
  <c r="Q218" i="3"/>
  <c r="L218" i="3"/>
  <c r="B218" i="3"/>
  <c r="C215" i="3"/>
  <c r="D215" i="3"/>
  <c r="L215" i="3"/>
  <c r="Q215" i="3"/>
  <c r="F215" i="3"/>
  <c r="M215" i="3"/>
  <c r="O215" i="3"/>
  <c r="B215" i="3"/>
  <c r="P215" i="3"/>
  <c r="G215" i="3"/>
  <c r="J215" i="3"/>
  <c r="N215" i="3"/>
  <c r="I215" i="3"/>
  <c r="B217" i="3"/>
  <c r="D217" i="3"/>
  <c r="L217" i="3"/>
  <c r="M217" i="3"/>
  <c r="P217" i="3"/>
  <c r="C217" i="3"/>
  <c r="J217" i="3"/>
  <c r="Q217" i="3"/>
  <c r="F217" i="3"/>
  <c r="I217" i="3"/>
  <c r="O217" i="3"/>
  <c r="G217" i="3"/>
  <c r="N217" i="3"/>
  <c r="B216" i="3"/>
  <c r="M216" i="3"/>
  <c r="Q216" i="3"/>
  <c r="C216" i="3"/>
  <c r="I216" i="3"/>
  <c r="P216" i="3"/>
  <c r="N216" i="3"/>
  <c r="L216" i="3"/>
  <c r="O216" i="3"/>
  <c r="J216" i="3"/>
  <c r="D216" i="3"/>
  <c r="G216" i="3"/>
  <c r="F216" i="3"/>
  <c r="F219" i="2"/>
  <c r="H191" i="3"/>
  <c r="H199" i="3"/>
  <c r="E211" i="3"/>
  <c r="J207" i="2"/>
  <c r="K207" i="2" s="1"/>
  <c r="N199" i="2"/>
  <c r="O199" i="2" s="1"/>
  <c r="F218" i="2"/>
  <c r="K198" i="3"/>
  <c r="K214" i="3"/>
  <c r="K201" i="3"/>
  <c r="G212" i="14"/>
  <c r="H203" i="3"/>
  <c r="F213" i="2"/>
  <c r="F195" i="2"/>
  <c r="F200" i="2"/>
  <c r="E207" i="3"/>
  <c r="E190" i="3"/>
  <c r="E206" i="3"/>
  <c r="J218" i="2"/>
  <c r="K218" i="2" s="1"/>
  <c r="F208" i="2"/>
  <c r="J204" i="2"/>
  <c r="K204" i="2" s="1"/>
  <c r="H204" i="3"/>
  <c r="K208" i="3"/>
  <c r="K192" i="3"/>
  <c r="K191" i="3"/>
  <c r="N221" i="2"/>
  <c r="O221" i="2" s="1"/>
  <c r="N206" i="2"/>
  <c r="O206" i="2" s="1"/>
  <c r="G208" i="14"/>
  <c r="G220" i="14"/>
  <c r="G200" i="14"/>
  <c r="H200" i="3"/>
  <c r="H194" i="3"/>
  <c r="H210" i="3"/>
  <c r="G216" i="14"/>
  <c r="F211" i="2"/>
  <c r="J221" i="2"/>
  <c r="K221" i="2" s="1"/>
  <c r="G197" i="2"/>
  <c r="J200" i="2"/>
  <c r="K200" i="2" s="1"/>
  <c r="N217" i="2"/>
  <c r="O217" i="2" s="1"/>
  <c r="H208" i="3"/>
  <c r="H202" i="3"/>
  <c r="K190" i="3"/>
  <c r="H196" i="3"/>
  <c r="K206" i="3"/>
  <c r="H212" i="3"/>
  <c r="E204" i="3"/>
  <c r="G215" i="14"/>
  <c r="H195" i="3"/>
  <c r="H211" i="3"/>
  <c r="G188" i="14"/>
  <c r="G204" i="14"/>
  <c r="H192" i="3"/>
  <c r="G195" i="14"/>
  <c r="E196" i="3"/>
  <c r="G192" i="14"/>
  <c r="E200" i="3"/>
  <c r="K199" i="3"/>
  <c r="K195" i="3"/>
  <c r="K202" i="3"/>
  <c r="E191" i="3"/>
  <c r="J208" i="2"/>
  <c r="K208" i="2" s="1"/>
  <c r="G196" i="14"/>
  <c r="G203" i="14"/>
  <c r="G201" i="14"/>
  <c r="E192" i="3"/>
  <c r="E208" i="3"/>
  <c r="K204" i="3"/>
  <c r="N215" i="2"/>
  <c r="O215" i="2" s="1"/>
  <c r="J220" i="2"/>
  <c r="K220" i="2" s="1"/>
  <c r="H206" i="3"/>
  <c r="K212" i="3"/>
  <c r="K194" i="3"/>
  <c r="K210" i="3"/>
  <c r="K189" i="3"/>
  <c r="K205" i="3"/>
  <c r="K197" i="3"/>
  <c r="H189" i="3"/>
  <c r="H205" i="3"/>
  <c r="H213" i="3"/>
  <c r="H209" i="3"/>
  <c r="F210" i="2"/>
  <c r="J203" i="2"/>
  <c r="K203" i="2" s="1"/>
  <c r="G213" i="2"/>
  <c r="N200" i="2"/>
  <c r="O200" i="2" s="1"/>
  <c r="N219" i="2"/>
  <c r="O219" i="2" s="1"/>
  <c r="G206" i="2"/>
  <c r="G202" i="14"/>
  <c r="G189" i="14"/>
  <c r="G197" i="14"/>
  <c r="G205" i="14"/>
  <c r="H197" i="3"/>
  <c r="H201" i="3"/>
  <c r="J210" i="2"/>
  <c r="K210" i="2" s="1"/>
  <c r="G202" i="2"/>
  <c r="F212" i="2"/>
  <c r="G205" i="2"/>
  <c r="G194" i="14"/>
  <c r="G213" i="14"/>
  <c r="K193" i="3"/>
  <c r="F194" i="2"/>
  <c r="J205" i="2"/>
  <c r="K205" i="2" s="1"/>
  <c r="F199" i="2"/>
  <c r="N216" i="2"/>
  <c r="O216" i="2" s="1"/>
  <c r="J219" i="2"/>
  <c r="K219" i="2" s="1"/>
  <c r="N207" i="2"/>
  <c r="O207" i="2" s="1"/>
  <c r="G198" i="2"/>
  <c r="G212" i="2"/>
  <c r="N197" i="2"/>
  <c r="O197" i="2" s="1"/>
  <c r="G220" i="2"/>
  <c r="F216" i="2"/>
  <c r="G195" i="2"/>
  <c r="F196" i="2"/>
  <c r="G214" i="2"/>
  <c r="F197" i="2"/>
  <c r="G207" i="2"/>
  <c r="J202" i="2"/>
  <c r="K202" i="2" s="1"/>
  <c r="F220" i="2"/>
  <c r="G194" i="2"/>
  <c r="G211" i="2"/>
  <c r="J198" i="2"/>
  <c r="K198" i="2" s="1"/>
  <c r="G196" i="2"/>
  <c r="G210" i="2"/>
  <c r="G222" i="2"/>
  <c r="N195" i="2"/>
  <c r="O195" i="2" s="1"/>
  <c r="N198" i="2"/>
  <c r="O198" i="2" s="1"/>
  <c r="N214" i="2"/>
  <c r="O214" i="2" s="1"/>
  <c r="F204" i="2"/>
  <c r="N204" i="2"/>
  <c r="O204" i="2" s="1"/>
  <c r="G215" i="2"/>
  <c r="F215" i="2"/>
  <c r="J196" i="2"/>
  <c r="K196" i="2" s="1"/>
  <c r="J212" i="2"/>
  <c r="K212" i="2" s="1"/>
  <c r="F202" i="2"/>
  <c r="N201" i="2"/>
  <c r="O201" i="2" s="1"/>
  <c r="N209" i="2"/>
  <c r="O209" i="2" s="1"/>
  <c r="G217" i="2"/>
  <c r="F217" i="2"/>
  <c r="G199" i="2"/>
  <c r="N213" i="2"/>
  <c r="O213" i="2" s="1"/>
  <c r="J206" i="2"/>
  <c r="K206" i="2" s="1"/>
  <c r="N203" i="2"/>
  <c r="O203" i="2" s="1"/>
  <c r="N211" i="2"/>
  <c r="O211" i="2" s="1"/>
  <c r="N212" i="2"/>
  <c r="O212" i="2" s="1"/>
  <c r="N222" i="2"/>
  <c r="O222" i="2" s="1"/>
  <c r="J201" i="2"/>
  <c r="K201" i="2" s="1"/>
  <c r="J209" i="2"/>
  <c r="K209" i="2" s="1"/>
  <c r="N218" i="2"/>
  <c r="O218" i="2" s="1"/>
  <c r="F206" i="2"/>
  <c r="F203" i="2"/>
  <c r="J214" i="2"/>
  <c r="K214" i="2" s="1"/>
  <c r="G204" i="2"/>
  <c r="G200" i="2"/>
  <c r="G208" i="2"/>
  <c r="G216" i="2"/>
  <c r="N220" i="2"/>
  <c r="O220" i="2" s="1"/>
  <c r="J195" i="2"/>
  <c r="K195" i="2" s="1"/>
  <c r="J211" i="2"/>
  <c r="K211" i="2" s="1"/>
  <c r="J216" i="2"/>
  <c r="K216" i="2" s="1"/>
  <c r="N208" i="2"/>
  <c r="O208" i="2" s="1"/>
  <c r="J222" i="2"/>
  <c r="K222" i="2" s="1"/>
  <c r="N194" i="2"/>
  <c r="O194" i="2" s="1"/>
  <c r="G201" i="2"/>
  <c r="F201" i="2"/>
  <c r="G209" i="2"/>
  <c r="F209" i="2"/>
  <c r="J194" i="2"/>
  <c r="K194" i="2" s="1"/>
  <c r="F207" i="2"/>
  <c r="F86" i="18"/>
  <c r="E210" i="3" l="1"/>
  <c r="K213" i="3"/>
  <c r="E217" i="3"/>
  <c r="K215" i="3"/>
  <c r="E218" i="3"/>
  <c r="E216" i="3"/>
  <c r="H217" i="3"/>
  <c r="H216" i="3"/>
  <c r="K216" i="3"/>
  <c r="K217" i="3"/>
  <c r="K218" i="3"/>
  <c r="H215" i="3"/>
  <c r="E215" i="3"/>
  <c r="H218" i="3"/>
  <c r="F81" i="18"/>
  <c r="F28" i="18"/>
  <c r="F122" i="18"/>
  <c r="F173" i="18"/>
  <c r="F62" i="18"/>
  <c r="F79" i="18"/>
  <c r="F144" i="18"/>
  <c r="F124" i="18"/>
  <c r="F153" i="18"/>
  <c r="F100" i="18"/>
  <c r="F66" i="18"/>
  <c r="F36" i="18"/>
  <c r="F195" i="18"/>
  <c r="F188" i="18"/>
  <c r="F193" i="18"/>
  <c r="F182" i="18"/>
  <c r="F53" i="18"/>
  <c r="F91" i="18"/>
  <c r="F48" i="18"/>
  <c r="F148" i="18"/>
  <c r="F134" i="18"/>
  <c r="F97" i="18"/>
  <c r="F140" i="18"/>
  <c r="F211" i="18"/>
  <c r="F171" i="18"/>
  <c r="F83" i="18"/>
  <c r="F108" i="18"/>
  <c r="F65" i="18"/>
  <c r="F15" i="18"/>
  <c r="F133" i="18"/>
  <c r="F116" i="18"/>
  <c r="F166" i="18"/>
  <c r="F50" i="18"/>
  <c r="F19" i="18"/>
  <c r="F6" i="18"/>
  <c r="F119" i="18"/>
  <c r="F139" i="18"/>
  <c r="F67" i="18"/>
  <c r="F52" i="18"/>
  <c r="F143" i="18"/>
  <c r="F63" i="18"/>
  <c r="F54" i="18"/>
  <c r="F34" i="18"/>
  <c r="F164" i="18"/>
  <c r="F105" i="18"/>
  <c r="F7" i="18"/>
  <c r="F37" i="18"/>
  <c r="F78" i="18"/>
  <c r="F125" i="18"/>
  <c r="F157" i="18"/>
  <c r="F98" i="18"/>
  <c r="F101" i="18"/>
  <c r="F8" i="18"/>
  <c r="F150" i="18"/>
  <c r="F39" i="18"/>
  <c r="F155" i="18"/>
  <c r="F167" i="18"/>
  <c r="F176" i="18"/>
  <c r="F18" i="18"/>
  <c r="F77" i="18"/>
  <c r="F46" i="18"/>
  <c r="F25" i="18"/>
  <c r="F186" i="18"/>
  <c r="F165" i="18"/>
  <c r="F136" i="18"/>
  <c r="F16" i="18"/>
  <c r="F185" i="18"/>
  <c r="F93" i="18"/>
  <c r="F172" i="18"/>
  <c r="F104" i="18"/>
  <c r="F159" i="18"/>
  <c r="F33" i="18"/>
  <c r="F84" i="18"/>
  <c r="F23" i="18"/>
  <c r="F142" i="18"/>
  <c r="F5" i="18"/>
  <c r="F43" i="18"/>
  <c r="F121" i="18"/>
  <c r="F17" i="18"/>
  <c r="F151" i="18"/>
  <c r="F175" i="18"/>
  <c r="F24" i="18"/>
  <c r="F26" i="18"/>
  <c r="F123" i="18"/>
  <c r="F38" i="18"/>
  <c r="F12" i="18"/>
  <c r="F147" i="18"/>
  <c r="F200" i="18"/>
  <c r="F109" i="18"/>
  <c r="F183" i="18"/>
  <c r="F152" i="18"/>
  <c r="F71" i="18"/>
  <c r="F184" i="18"/>
  <c r="F111" i="18"/>
  <c r="F64" i="18"/>
  <c r="F107" i="18"/>
  <c r="F179" i="18"/>
  <c r="F154" i="18"/>
  <c r="F163" i="18"/>
  <c r="F58" i="18"/>
  <c r="F204" i="18"/>
  <c r="F106" i="18"/>
  <c r="F45" i="18"/>
  <c r="F181" i="18"/>
  <c r="F35" i="18"/>
  <c r="F156" i="18"/>
  <c r="F126" i="18"/>
  <c r="F103" i="18"/>
  <c r="F202" i="18"/>
  <c r="F192" i="18"/>
  <c r="F137" i="18"/>
  <c r="F49" i="18"/>
  <c r="F61" i="18"/>
  <c r="F199" i="18"/>
  <c r="F187" i="18"/>
  <c r="F205" i="18"/>
  <c r="F13" i="18"/>
  <c r="F60" i="18"/>
  <c r="F72" i="18"/>
  <c r="F59" i="18"/>
  <c r="F177" i="18"/>
  <c r="F210" i="18"/>
  <c r="F74" i="18"/>
  <c r="F130" i="18"/>
  <c r="F9" i="18"/>
  <c r="F170" i="18"/>
  <c r="F95" i="18"/>
  <c r="F73" i="18"/>
  <c r="F82" i="18"/>
  <c r="F22" i="18"/>
  <c r="F88" i="18"/>
  <c r="F168" i="18"/>
  <c r="F117" i="18"/>
  <c r="F161" i="18"/>
  <c r="F129" i="18"/>
  <c r="F174" i="18"/>
  <c r="F96" i="18"/>
  <c r="F194" i="18"/>
  <c r="F94" i="18"/>
  <c r="F138" i="18"/>
  <c r="F206" i="18"/>
  <c r="F113" i="18"/>
  <c r="F191" i="18"/>
  <c r="F114" i="18"/>
  <c r="F115" i="18"/>
  <c r="F132" i="18"/>
  <c r="F127" i="18"/>
  <c r="F51" i="18"/>
  <c r="F42" i="18"/>
  <c r="F55" i="18"/>
  <c r="F70" i="18"/>
  <c r="F27" i="18"/>
  <c r="F102" i="18"/>
  <c r="F41" i="18"/>
  <c r="F29" i="18"/>
  <c r="F189" i="18"/>
  <c r="F31" i="18"/>
  <c r="F207" i="18"/>
  <c r="F92" i="18"/>
  <c r="F146" i="18"/>
  <c r="F131" i="18"/>
  <c r="F196" i="18"/>
  <c r="F89" i="18"/>
  <c r="F44" i="18"/>
  <c r="F90" i="18"/>
  <c r="F75" i="18"/>
  <c r="F69" i="18"/>
  <c r="F190" i="18"/>
  <c r="F203" i="18"/>
  <c r="F20" i="18"/>
  <c r="F110" i="18"/>
  <c r="F40" i="18"/>
  <c r="F180" i="18"/>
  <c r="F209" i="18"/>
  <c r="F99" i="18"/>
  <c r="F47" i="18"/>
  <c r="F169" i="18"/>
  <c r="F68" i="18"/>
  <c r="F32" i="18"/>
  <c r="F30" i="18"/>
  <c r="F158" i="18"/>
  <c r="F160" i="18"/>
  <c r="F120" i="18"/>
  <c r="F11" i="18"/>
  <c r="F112" i="18"/>
  <c r="F80" i="18"/>
  <c r="F76" i="18"/>
  <c r="F21" i="18"/>
  <c r="F197" i="18"/>
  <c r="F141" i="18"/>
  <c r="F14" i="18"/>
  <c r="F135" i="18"/>
  <c r="F201" i="18"/>
  <c r="F145" i="18"/>
  <c r="F149" i="18"/>
  <c r="F87" i="18"/>
  <c r="F208" i="18"/>
  <c r="F118" i="18"/>
  <c r="F178" i="18"/>
  <c r="F57" i="18"/>
  <c r="F162" i="18"/>
  <c r="E160"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97" i="18"/>
  <c r="E5" i="18"/>
  <c r="E105" i="18"/>
  <c r="E188" i="18"/>
  <c r="E151" i="18"/>
  <c r="E141" i="18"/>
  <c r="E165" i="18"/>
  <c r="E169" i="18"/>
  <c r="E150" i="18"/>
  <c r="E24" i="18"/>
  <c r="E183" i="18"/>
  <c r="E18" i="18"/>
  <c r="E33" i="18"/>
  <c r="E76" i="18"/>
  <c r="E159" i="18"/>
  <c r="E196" i="18"/>
  <c r="E179" i="18"/>
  <c r="E48" i="18"/>
  <c r="E57" i="18"/>
  <c r="E59" i="18"/>
  <c r="E30" i="18"/>
  <c r="E63" i="18"/>
  <c r="E81" i="18"/>
  <c r="E68" i="18"/>
  <c r="E89" i="18"/>
  <c r="E138" i="18"/>
  <c r="E70" i="18"/>
  <c r="E192" i="18"/>
  <c r="E20" i="18"/>
  <c r="E45" i="18"/>
  <c r="E25" i="18"/>
  <c r="E64" i="18"/>
  <c r="E210" i="18"/>
  <c r="E62" i="18"/>
  <c r="E71" i="18"/>
  <c r="E82" i="18"/>
  <c r="E155" i="18"/>
  <c r="E107" i="18"/>
  <c r="E162" i="18"/>
  <c r="E60" i="18"/>
  <c r="E167" i="18"/>
  <c r="E103" i="18"/>
  <c r="E139" i="18"/>
  <c r="E47" i="18"/>
  <c r="E54" i="18"/>
  <c r="E171" i="18"/>
  <c r="E34" i="18"/>
  <c r="E164" i="18"/>
  <c r="E16" i="18"/>
  <c r="E7" i="18"/>
  <c r="E120" i="18"/>
  <c r="E199" i="18"/>
  <c r="E180" i="18"/>
  <c r="E181" i="18"/>
  <c r="E126" i="18"/>
  <c r="E26" i="18"/>
  <c r="E61" i="18"/>
  <c r="E49" i="18"/>
  <c r="E190" i="18"/>
  <c r="E15" i="18"/>
  <c r="E129" i="18"/>
  <c r="E123" i="18"/>
  <c r="E32" i="18"/>
  <c r="E147" i="18"/>
  <c r="E175" i="18"/>
  <c r="E145" i="18"/>
  <c r="E191" i="18"/>
  <c r="E98" i="18"/>
  <c r="E8" i="18"/>
  <c r="E94" i="18"/>
  <c r="E108" i="18"/>
  <c r="E102" i="18"/>
  <c r="E209" i="18"/>
  <c r="E79" i="18"/>
  <c r="E112" i="18"/>
  <c r="E11" i="18"/>
  <c r="E148" i="18"/>
  <c r="E202" i="18"/>
  <c r="E43" i="18"/>
  <c r="E186" i="18"/>
  <c r="E50" i="18"/>
  <c r="E87" i="18"/>
  <c r="E39" i="18"/>
  <c r="E163" i="18"/>
  <c r="E100" i="18"/>
  <c r="E83" i="18"/>
  <c r="E72" i="18"/>
  <c r="E166" i="18"/>
  <c r="E119" i="18"/>
  <c r="E29" i="18"/>
  <c r="E106" i="18"/>
  <c r="E136" i="18"/>
  <c r="E200" i="18"/>
  <c r="E178" i="18"/>
  <c r="E172" i="18"/>
  <c r="E176" i="18"/>
  <c r="E117" i="18"/>
  <c r="E58" i="18"/>
  <c r="E161" i="18"/>
  <c r="E197" i="18"/>
  <c r="E116" i="18"/>
  <c r="E6" i="18"/>
  <c r="E152" i="18"/>
  <c r="E122" i="18"/>
  <c r="E207" i="18"/>
  <c r="E73" i="18"/>
  <c r="E185" i="18"/>
  <c r="E69" i="18"/>
  <c r="E19" i="18"/>
  <c r="E44" i="18"/>
  <c r="E53" i="18"/>
  <c r="E37" i="18"/>
  <c r="E205" i="18"/>
  <c r="E93" i="18"/>
  <c r="E109" i="18"/>
  <c r="E146" i="18"/>
  <c r="E13" i="18"/>
  <c r="E173" i="18"/>
  <c r="E158" i="18"/>
  <c r="E104" i="18"/>
  <c r="E211" i="18"/>
  <c r="E135" i="18"/>
  <c r="E111" i="18"/>
  <c r="E170" i="18"/>
  <c r="E36" i="18"/>
  <c r="E41" i="18"/>
  <c r="E137" i="18"/>
  <c r="E149" i="18"/>
  <c r="E35" i="18"/>
  <c r="E131" i="18"/>
  <c r="E121" i="18"/>
  <c r="E74" i="18"/>
  <c r="E12" i="18"/>
  <c r="E85" i="18"/>
  <c r="F85" i="18"/>
  <c r="E184" i="18"/>
  <c r="E28" i="18"/>
  <c r="E177" i="18"/>
  <c r="E23" i="18"/>
  <c r="E208" i="18"/>
  <c r="E66" i="18"/>
  <c r="E84" i="18"/>
  <c r="E168" i="18"/>
  <c r="E206" i="18"/>
  <c r="E51" i="18"/>
  <c r="E95" i="18"/>
  <c r="E22" i="18"/>
  <c r="E132" i="18"/>
  <c r="E46" i="18"/>
  <c r="E77" i="18"/>
  <c r="E88" i="18"/>
  <c r="E55" i="18"/>
  <c r="E154" i="18"/>
  <c r="E17" i="18"/>
  <c r="E194" i="18"/>
  <c r="E174" i="18"/>
  <c r="E96" i="18"/>
  <c r="E142" i="18"/>
  <c r="E156" i="18"/>
  <c r="E65" i="18"/>
  <c r="E189" i="18"/>
  <c r="E91" i="18"/>
  <c r="E201" i="18"/>
  <c r="E203" i="18"/>
  <c r="E42" i="18"/>
  <c r="E125" i="18"/>
  <c r="E118" i="18"/>
  <c r="E143" i="18"/>
  <c r="E92" i="18"/>
  <c r="E113" i="18"/>
  <c r="E182" i="18"/>
  <c r="E204" i="18"/>
  <c r="E52" i="18"/>
  <c r="E115" i="18"/>
  <c r="E153" i="18"/>
  <c r="E144" i="18"/>
  <c r="E134" i="18"/>
  <c r="E114" i="18"/>
  <c r="E133" i="18"/>
  <c r="E195" i="18"/>
  <c r="E127" i="18"/>
  <c r="E67" i="18"/>
  <c r="E124" i="18"/>
  <c r="E75" i="18"/>
  <c r="E101" i="18"/>
  <c r="E90" i="18"/>
  <c r="E130" i="18"/>
  <c r="E38" i="18"/>
  <c r="E99" i="18"/>
  <c r="E21" i="18"/>
  <c r="E31" i="18"/>
  <c r="E78" i="18"/>
  <c r="E80"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G54" i="8"/>
  <c r="D55" i="8"/>
  <c r="F56"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43" i="2"/>
  <c r="C244" i="2"/>
  <c r="D244" i="2"/>
  <c r="F244" i="2"/>
  <c r="G244" i="2"/>
  <c r="C245" i="2"/>
  <c r="D245" i="2"/>
  <c r="F245" i="2"/>
  <c r="G245" i="2"/>
  <c r="C246" i="2"/>
  <c r="D246" i="2"/>
  <c r="F246" i="2"/>
  <c r="G246" i="2"/>
  <c r="C247" i="2"/>
  <c r="D247" i="2"/>
  <c r="F247" i="2"/>
  <c r="G247"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243" i="2"/>
  <c r="F243"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46" i="2"/>
  <c r="O32" i="3"/>
  <c r="N69" i="3"/>
  <c r="O93" i="5"/>
  <c r="L145" i="10"/>
  <c r="I33" i="10"/>
  <c r="I18" i="8"/>
  <c r="C84" i="14"/>
  <c r="O73" i="5"/>
  <c r="F167" i="12"/>
  <c r="F161" i="14"/>
  <c r="M167" i="6"/>
  <c r="K132" i="10"/>
  <c r="M109" i="6"/>
  <c r="H247"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45"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E68" i="5" s="1"/>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E93" i="5" s="1"/>
  <c r="Q92" i="3"/>
  <c r="G92" i="3"/>
  <c r="E92" i="5" s="1"/>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G125"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3" i="21" s="1"/>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I3" i="21" s="1"/>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L75" i="5" s="1"/>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6" i="2"/>
  <c r="F248"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P107" i="5" s="1"/>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G143" i="14" s="1"/>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E162" i="5" s="1"/>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E151" i="5" s="1"/>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E116" i="5" s="1"/>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G59" i="6"/>
  <c r="L55" i="6"/>
  <c r="H55" i="6"/>
  <c r="D55" i="6"/>
  <c r="D51" i="6"/>
  <c r="H51" i="6"/>
  <c r="P51" i="12" s="1"/>
  <c r="L51" i="6"/>
  <c r="O51" i="12" s="1"/>
  <c r="C50" i="6"/>
  <c r="L50" i="5" s="1"/>
  <c r="N50" i="6"/>
  <c r="L48" i="6"/>
  <c r="O48" i="12" s="1"/>
  <c r="M47" i="6"/>
  <c r="H47" i="6"/>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4" i="2"/>
  <c r="G248"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G3" i="21"/>
  <c r="F145" i="14"/>
  <c r="C145" i="14"/>
  <c r="D145" i="14"/>
  <c r="E145" i="14"/>
  <c r="F3" i="21" s="1"/>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8" i="2"/>
  <c r="H244" i="2"/>
  <c r="B192" i="2"/>
  <c r="R192" i="2"/>
  <c r="D192" i="2"/>
  <c r="H192" i="2"/>
  <c r="L192" i="2"/>
  <c r="P192" i="2"/>
  <c r="E247"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L150" i="2"/>
  <c r="P150" i="2"/>
  <c r="B150" i="2"/>
  <c r="M150" i="2"/>
  <c r="R150" i="2"/>
  <c r="E150" i="2"/>
  <c r="J3" i="21" s="1"/>
  <c r="Q148" i="2"/>
  <c r="Q146" i="2"/>
  <c r="B144" i="2"/>
  <c r="R144" i="2"/>
  <c r="E144" i="2"/>
  <c r="G144" i="2" s="1"/>
  <c r="P144" i="2"/>
  <c r="C144" i="2"/>
  <c r="F144" i="2" s="1"/>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3" i="21" s="1"/>
  <c r="E145" i="2"/>
  <c r="G145" i="2" s="1"/>
  <c r="P145" i="2"/>
  <c r="D3" i="21" s="1"/>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J4" i="21" s="1"/>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5" i="2"/>
  <c r="L164" i="2"/>
  <c r="D162" i="2"/>
  <c r="H162" i="2"/>
  <c r="L162" i="2"/>
  <c r="P162" i="2"/>
  <c r="E162" i="2"/>
  <c r="B162" i="2"/>
  <c r="M162" i="2"/>
  <c r="R162" i="2"/>
  <c r="L156" i="2"/>
  <c r="D154" i="2"/>
  <c r="H154" i="2"/>
  <c r="L154" i="2"/>
  <c r="P154" i="2"/>
  <c r="E154" i="2"/>
  <c r="B154" i="2"/>
  <c r="M154" i="2"/>
  <c r="R154" i="2"/>
  <c r="B148" i="2"/>
  <c r="R148" i="2"/>
  <c r="C148" i="2"/>
  <c r="F148" i="2" s="1"/>
  <c r="H148" i="2"/>
  <c r="M148" i="2"/>
  <c r="S148" i="2"/>
  <c r="E148" i="2"/>
  <c r="G148" i="2" s="1"/>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H3" i="21" s="1"/>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B6" i="28" s="1"/>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J57" i="2" s="1"/>
  <c r="K57" i="2" s="1"/>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8"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E43" i="5"/>
  <c r="F43" i="5" s="1"/>
  <c r="G43" i="5" s="1"/>
  <c r="E13" i="5"/>
  <c r="F13" i="5" s="1"/>
  <c r="G13"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E87" i="3" s="1"/>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O65"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27" i="12"/>
  <c r="R127" i="12"/>
  <c r="P119"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O89" i="6"/>
  <c r="K89" i="6"/>
  <c r="N89" i="12" s="1"/>
  <c r="G89" i="6"/>
  <c r="C89" i="6"/>
  <c r="L89" i="5" s="1"/>
  <c r="O85" i="6"/>
  <c r="K85" i="6"/>
  <c r="N85" i="12" s="1"/>
  <c r="G85" i="6"/>
  <c r="C85" i="6"/>
  <c r="L85" i="5" s="1"/>
  <c r="P83" i="12"/>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P47" i="12"/>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N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K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R12" i="12"/>
  <c r="D12" i="12"/>
  <c r="B8" i="12"/>
  <c r="F8" i="12"/>
  <c r="D8" i="12"/>
  <c r="O35" i="12"/>
  <c r="G35" i="12"/>
  <c r="G31" i="12"/>
  <c r="S27"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G184" i="14" s="1"/>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E101" i="5" l="1"/>
  <c r="P7" i="5"/>
  <c r="G172" i="14"/>
  <c r="P98" i="5"/>
  <c r="G79" i="14"/>
  <c r="G97" i="14"/>
  <c r="H108" i="3"/>
  <c r="P8" i="5"/>
  <c r="P20" i="5"/>
  <c r="P125" i="5"/>
  <c r="N86" i="12"/>
  <c r="L160" i="12"/>
  <c r="N102" i="12"/>
  <c r="J149" i="2"/>
  <c r="K149" i="2" s="1"/>
  <c r="B3" i="21"/>
  <c r="K93" i="3"/>
  <c r="H58" i="3"/>
  <c r="E85" i="3"/>
  <c r="K109" i="3"/>
  <c r="K182" i="3"/>
  <c r="E153" i="3"/>
  <c r="H42" i="3"/>
  <c r="E101" i="3"/>
  <c r="K132" i="3"/>
  <c r="K112" i="3"/>
  <c r="J27" i="5"/>
  <c r="G57" i="2"/>
  <c r="P139" i="5"/>
  <c r="P149" i="5"/>
  <c r="E227" i="11"/>
  <c r="J227" i="11"/>
  <c r="H227" i="11"/>
  <c r="N120" i="2"/>
  <c r="O120" i="2" s="1"/>
  <c r="D227" i="11"/>
  <c r="G227" i="11"/>
  <c r="I228" i="2"/>
  <c r="H228" i="2"/>
  <c r="K227" i="11"/>
  <c r="M227" i="11"/>
  <c r="N227" i="11"/>
  <c r="I60" i="8"/>
  <c r="F60" i="8"/>
  <c r="F61" i="8" s="1"/>
  <c r="C8" i="28"/>
  <c r="E50" i="5"/>
  <c r="E60" i="8"/>
  <c r="E61" i="8" s="1"/>
  <c r="E64" i="5"/>
  <c r="H60" i="8"/>
  <c r="H13" i="3"/>
  <c r="H36" i="3"/>
  <c r="E7" i="5"/>
  <c r="F7" i="5" s="1"/>
  <c r="G7" i="5" s="1"/>
  <c r="G231" i="3"/>
  <c r="G232" i="3" s="1"/>
  <c r="E81" i="5"/>
  <c r="E84" i="5"/>
  <c r="E21" i="5"/>
  <c r="F21" i="5" s="1"/>
  <c r="G21" i="5" s="1"/>
  <c r="E51" i="5"/>
  <c r="F51" i="5" s="1"/>
  <c r="G51" i="5" s="1"/>
  <c r="E76" i="5"/>
  <c r="I231" i="3"/>
  <c r="J231" i="3"/>
  <c r="E132" i="5"/>
  <c r="F132" i="5" s="1"/>
  <c r="G132" i="5" s="1"/>
  <c r="H43" i="3"/>
  <c r="F231" i="3"/>
  <c r="E149" i="5"/>
  <c r="E19" i="5"/>
  <c r="F19" i="5" s="1"/>
  <c r="G19" i="5" s="1"/>
  <c r="E227" i="6"/>
  <c r="C227" i="6"/>
  <c r="S7" i="12"/>
  <c r="L227" i="6"/>
  <c r="M7" i="12"/>
  <c r="I227" i="6"/>
  <c r="L7" i="12"/>
  <c r="H227" i="6"/>
  <c r="F227" i="6"/>
  <c r="G227" i="6" s="1"/>
  <c r="N227" i="6"/>
  <c r="B227" i="6"/>
  <c r="K227"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M64" i="5"/>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M22"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N47" i="12"/>
  <c r="L39" i="12"/>
  <c r="S46" i="12"/>
  <c r="M100" i="12"/>
  <c r="L153" i="12"/>
  <c r="O123" i="12"/>
  <c r="O97" i="12"/>
  <c r="E158" i="5"/>
  <c r="M39" i="12"/>
  <c r="L55" i="5"/>
  <c r="O85" i="12"/>
  <c r="O115" i="12"/>
  <c r="N180" i="12"/>
  <c r="O144" i="12"/>
  <c r="L119" i="12"/>
  <c r="L31" i="5"/>
  <c r="M31" i="5" s="1"/>
  <c r="M176" i="12"/>
  <c r="E48" i="5"/>
  <c r="F48" i="5" s="1"/>
  <c r="G48" i="5" s="1"/>
  <c r="E134" i="5"/>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L152" i="5"/>
  <c r="M152" i="5" s="1"/>
  <c r="E150" i="5"/>
  <c r="L46" i="5"/>
  <c r="M46" i="5" s="1"/>
  <c r="L126" i="5"/>
  <c r="M126" i="5" s="1"/>
  <c r="Q35" i="12"/>
  <c r="Q43" i="12"/>
  <c r="M93" i="12"/>
  <c r="L105" i="12"/>
  <c r="L160" i="5"/>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N69" i="7"/>
  <c r="K95" i="12"/>
  <c r="F25" i="7"/>
  <c r="L35" i="7"/>
  <c r="M90" i="7"/>
  <c r="H160" i="7"/>
  <c r="H160" i="12" s="1"/>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I96" i="12" s="1"/>
  <c r="O88" i="7"/>
  <c r="H134" i="7"/>
  <c r="G35" i="7"/>
  <c r="E28" i="3"/>
  <c r="D33" i="7"/>
  <c r="L104" i="12"/>
  <c r="R24" i="12"/>
  <c r="N156" i="12"/>
  <c r="L135" i="12"/>
  <c r="I90" i="7"/>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25" i="12" s="1"/>
  <c r="I51" i="7"/>
  <c r="E90" i="7"/>
  <c r="C134" i="7"/>
  <c r="K90" i="7"/>
  <c r="M53" i="7"/>
  <c r="E98" i="7"/>
  <c r="K158" i="3"/>
  <c r="L6" i="3"/>
  <c r="C53" i="7"/>
  <c r="E96" i="7"/>
  <c r="F96" i="7"/>
  <c r="L88" i="7"/>
  <c r="D134" i="7"/>
  <c r="I155" i="7"/>
  <c r="O183" i="7"/>
  <c r="K147" i="3"/>
  <c r="M35" i="7"/>
  <c r="H25" i="7"/>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36" i="2"/>
  <c r="L10" i="7"/>
  <c r="K10" i="12" s="1"/>
  <c r="M56" i="5"/>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5"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K15" i="12" s="1"/>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F69" i="7"/>
  <c r="J86" i="5"/>
  <c r="K13" i="3"/>
  <c r="H74" i="3"/>
  <c r="K170" i="7"/>
  <c r="G61" i="2"/>
  <c r="C24" i="7"/>
  <c r="J43" i="7"/>
  <c r="B91" i="7"/>
  <c r="G187" i="2"/>
  <c r="G123" i="14"/>
  <c r="E38" i="7"/>
  <c r="D52" i="7"/>
  <c r="I60" i="7"/>
  <c r="I60" i="12" s="1"/>
  <c r="F62" i="7"/>
  <c r="J118" i="7"/>
  <c r="L52" i="7"/>
  <c r="K52" i="12" s="1"/>
  <c r="H86" i="7"/>
  <c r="H86" i="12" s="1"/>
  <c r="J169" i="7"/>
  <c r="G33" i="7"/>
  <c r="C4" i="21" s="1"/>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G188" i="7"/>
  <c r="C170" i="7"/>
  <c r="E27" i="3"/>
  <c r="K164" i="3"/>
  <c r="N85" i="2"/>
  <c r="O85" i="2" s="1"/>
  <c r="F106" i="2"/>
  <c r="P84" i="5"/>
  <c r="K52" i="7"/>
  <c r="J52" i="12" s="1"/>
  <c r="C11" i="7"/>
  <c r="G60" i="7"/>
  <c r="N24" i="7"/>
  <c r="J60" i="7"/>
  <c r="D129" i="7"/>
  <c r="K56" i="3"/>
  <c r="E170" i="3"/>
  <c r="M67" i="5"/>
  <c r="I38" i="7"/>
  <c r="I38" i="12" s="1"/>
  <c r="L65" i="7"/>
  <c r="K65" i="12" s="1"/>
  <c r="O164" i="7"/>
  <c r="H38" i="7"/>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6"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37"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M118" i="5"/>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I47" i="12" s="1"/>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34"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5"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35" i="2"/>
  <c r="L179" i="12"/>
  <c r="S170" i="12"/>
  <c r="L161" i="5"/>
  <c r="M161" i="5" s="1"/>
  <c r="J112" i="12"/>
  <c r="P95" i="5"/>
  <c r="F166" i="5"/>
  <c r="G166" i="5" s="1"/>
  <c r="E102" i="5"/>
  <c r="F102" i="5" s="1"/>
  <c r="G102" i="5" s="1"/>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35"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6" i="2"/>
  <c r="O164" i="12"/>
  <c r="N171" i="12"/>
  <c r="L176" i="12"/>
  <c r="L185" i="12"/>
  <c r="B234"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6"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34"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4" i="2"/>
  <c r="O34" i="12"/>
  <c r="O37" i="12"/>
  <c r="P86" i="12"/>
  <c r="L91" i="12"/>
  <c r="L102" i="12"/>
  <c r="N121" i="12"/>
  <c r="N127" i="12"/>
  <c r="Q32" i="12"/>
  <c r="M35" i="12"/>
  <c r="N70" i="12"/>
  <c r="N78" i="12"/>
  <c r="L100" i="12"/>
  <c r="L127" i="12"/>
  <c r="I58" i="12"/>
  <c r="O145" i="12"/>
  <c r="J90"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7"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K3" i="2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J98"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H155" i="12" s="1"/>
  <c r="F157" i="5"/>
  <c r="G157" i="5" s="1"/>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K146" i="12"/>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62" i="5"/>
  <c r="G162" i="5" s="1"/>
  <c r="E11" i="3"/>
  <c r="F97" i="2"/>
  <c r="N153" i="2"/>
  <c r="O153" i="2" s="1"/>
  <c r="N177" i="2"/>
  <c r="O177" i="2" s="1"/>
  <c r="N145" i="12"/>
  <c r="N113" i="12"/>
  <c r="F92" i="5"/>
  <c r="G92" i="5" s="1"/>
  <c r="J80" i="2"/>
  <c r="K80" i="2" s="1"/>
  <c r="G91" i="14"/>
  <c r="N133" i="12"/>
  <c r="G144" i="14"/>
  <c r="P34" i="12"/>
  <c r="S133" i="12"/>
  <c r="S165" i="12"/>
  <c r="M163" i="12"/>
  <c r="F97" i="5"/>
  <c r="G97" i="5" s="1"/>
  <c r="F158" i="5"/>
  <c r="G158" i="5" s="1"/>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K103" i="3"/>
  <c r="E62" i="5"/>
  <c r="F62" i="5" s="1"/>
  <c r="E22" i="3"/>
  <c r="E86" i="3"/>
  <c r="E110" i="5"/>
  <c r="F110" i="5" s="1"/>
  <c r="G110" i="5" s="1"/>
  <c r="H148" i="3"/>
  <c r="E248" i="2"/>
  <c r="J14" i="2"/>
  <c r="K14" i="2" s="1"/>
  <c r="N58" i="2"/>
  <c r="O58" i="2" s="1"/>
  <c r="F100" i="2"/>
  <c r="G127" i="14"/>
  <c r="F140" i="5"/>
  <c r="G140" i="5" s="1"/>
  <c r="P18" i="12"/>
  <c r="M120" i="12"/>
  <c r="L82" i="12"/>
  <c r="F103" i="5"/>
  <c r="G103" i="5" s="1"/>
  <c r="F145" i="5"/>
  <c r="G145" i="5" s="1"/>
  <c r="F150" i="5"/>
  <c r="G150" i="5" s="1"/>
  <c r="J160" i="5"/>
  <c r="G171" i="14"/>
  <c r="P50" i="12"/>
  <c r="M123" i="12"/>
  <c r="L74" i="12"/>
  <c r="R40" i="12"/>
  <c r="F76" i="5"/>
  <c r="G76" i="5" s="1"/>
  <c r="M132" i="5"/>
  <c r="H21" i="3"/>
  <c r="H79" i="3"/>
  <c r="H130" i="3"/>
  <c r="E169" i="3"/>
  <c r="H248"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K228" i="11"/>
  <c r="N228" i="11"/>
  <c r="N232" i="10"/>
  <c r="Q38" i="12"/>
  <c r="P54" i="12"/>
  <c r="R65" i="12"/>
  <c r="R97" i="12"/>
  <c r="Q15" i="12"/>
  <c r="R117" i="12"/>
  <c r="Q114" i="12"/>
  <c r="O227" i="6"/>
  <c r="N167" i="12"/>
  <c r="N101" i="12"/>
  <c r="L78" i="12"/>
  <c r="N53" i="12"/>
  <c r="N82" i="12"/>
  <c r="N74" i="12"/>
  <c r="M54" i="12"/>
  <c r="M40" i="12"/>
  <c r="M32" i="12"/>
  <c r="P7" i="12"/>
  <c r="L38" i="12"/>
  <c r="L15" i="12"/>
  <c r="M37" i="12"/>
  <c r="C12" i="28"/>
  <c r="S82" i="12"/>
  <c r="I114" i="12"/>
  <c r="I132" i="12"/>
  <c r="K126" i="12"/>
  <c r="J113" i="12"/>
  <c r="J119" i="12"/>
  <c r="H136" i="12"/>
  <c r="H119" i="12"/>
  <c r="K53" i="12"/>
  <c r="H53" i="12"/>
  <c r="K49" i="12"/>
  <c r="H41" i="12"/>
  <c r="I18" i="12"/>
  <c r="H27" i="12"/>
  <c r="H19" i="12"/>
  <c r="H11" i="12"/>
  <c r="H25"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8" i="2"/>
  <c r="G150" i="2"/>
  <c r="F150" i="2"/>
  <c r="N166" i="2"/>
  <c r="O166" i="2" s="1"/>
  <c r="J192" i="2"/>
  <c r="K192" i="2" s="1"/>
  <c r="F170" i="2"/>
  <c r="G170" i="2"/>
  <c r="G142" i="2"/>
  <c r="G178" i="14"/>
  <c r="H228" i="11"/>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D18" i="28" s="1"/>
  <c r="J124" i="7"/>
  <c r="O124" i="7"/>
  <c r="K136" i="12"/>
  <c r="J129" i="12"/>
  <c r="I112" i="12"/>
  <c r="K131" i="12"/>
  <c r="H117" i="12"/>
  <c r="K135" i="12"/>
  <c r="I135" i="12"/>
  <c r="I119" i="12"/>
  <c r="H57" i="12"/>
  <c r="J23" i="12"/>
  <c r="J7" i="12"/>
  <c r="H38" i="12"/>
  <c r="J25" i="12"/>
  <c r="J53" i="12"/>
  <c r="J37" i="12"/>
  <c r="H21" i="12"/>
  <c r="J41" i="12"/>
  <c r="H37" i="12"/>
  <c r="I20" i="12"/>
  <c r="I12" i="12"/>
  <c r="I45" i="12"/>
  <c r="I29" i="12"/>
  <c r="I23" i="12"/>
  <c r="I15" i="12"/>
  <c r="P53" i="5"/>
  <c r="N191" i="5"/>
  <c r="J232" i="3"/>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8" i="2"/>
  <c r="J11" i="2"/>
  <c r="K11" i="2" s="1"/>
  <c r="B3" i="28"/>
  <c r="F192" i="2"/>
  <c r="G192" i="2"/>
  <c r="G59" i="14"/>
  <c r="G86" i="14"/>
  <c r="G118" i="14"/>
  <c r="G152" i="14"/>
  <c r="E228" i="11"/>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117" i="12"/>
  <c r="I122" i="12"/>
  <c r="J48" i="12"/>
  <c r="H54"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I118" i="12"/>
  <c r="J138" i="12"/>
  <c r="K127" i="12"/>
  <c r="J122" i="12"/>
  <c r="I138" i="12"/>
  <c r="I129" i="12"/>
  <c r="H113" i="12"/>
  <c r="H127" i="12"/>
  <c r="K114" i="12"/>
  <c r="I127" i="12"/>
  <c r="H47" i="12"/>
  <c r="I113" i="12"/>
  <c r="K46" i="12"/>
  <c r="I54" i="12"/>
  <c r="J45" i="12"/>
  <c r="J27" i="12"/>
  <c r="J19" i="12"/>
  <c r="I42" i="12"/>
  <c r="J29" i="12"/>
  <c r="J13" i="12"/>
  <c r="K41" i="12"/>
  <c r="H29" i="12"/>
  <c r="K45" i="12"/>
  <c r="I24" i="12"/>
  <c r="I8" i="12"/>
  <c r="I21" i="12"/>
  <c r="I35"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B16" i="28" l="1"/>
  <c r="C16" i="28"/>
  <c r="B15" i="28"/>
  <c r="I163" i="12"/>
  <c r="D8" i="28"/>
  <c r="J228" i="2"/>
  <c r="K228" i="2" s="1"/>
  <c r="D227" i="6" s="1"/>
  <c r="F229" i="7"/>
  <c r="E229" i="7"/>
  <c r="E230" i="7" s="1"/>
  <c r="B240" i="7" s="1"/>
  <c r="N229" i="7"/>
  <c r="N241" i="12"/>
  <c r="N242" i="12" s="1"/>
  <c r="J60" i="8"/>
  <c r="C69" i="8" s="1"/>
  <c r="H229" i="7"/>
  <c r="H230" i="7" s="1"/>
  <c r="B241" i="7" s="1"/>
  <c r="O241" i="12"/>
  <c r="O242" i="12" s="1"/>
  <c r="L241" i="12"/>
  <c r="L242" i="12" s="1"/>
  <c r="L229" i="7"/>
  <c r="C229" i="7"/>
  <c r="C230" i="7" s="1"/>
  <c r="I229" i="7"/>
  <c r="M241" i="12"/>
  <c r="M242" i="12" s="1"/>
  <c r="K229" i="7"/>
  <c r="H61" i="8"/>
  <c r="A69" i="8"/>
  <c r="M227" i="6"/>
  <c r="B229" i="7"/>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7" i="2"/>
  <c r="D237"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28" i="2"/>
  <c r="O228" i="2" s="1"/>
  <c r="O229" i="7"/>
  <c r="O230" i="7" s="1"/>
  <c r="I230" i="7"/>
  <c r="C241" i="7" s="1"/>
  <c r="F230" i="7"/>
  <c r="C240" i="7" s="1"/>
  <c r="B230" i="7"/>
  <c r="G58" i="5"/>
  <c r="F191" i="5"/>
  <c r="C235" i="6"/>
  <c r="J227" i="6"/>
  <c r="D228" i="11"/>
  <c r="F228" i="11" s="1"/>
  <c r="F227" i="11"/>
  <c r="N192" i="5"/>
  <c r="P192" i="5" s="1"/>
  <c r="P191" i="5"/>
  <c r="K230" i="7"/>
  <c r="B242" i="7" s="1"/>
  <c r="C234" i="6"/>
  <c r="G61" i="8"/>
  <c r="H6" i="6"/>
  <c r="K6" i="6"/>
  <c r="I32" i="12"/>
  <c r="M228" i="11"/>
  <c r="O228" i="11" s="1"/>
  <c r="O227" i="11"/>
  <c r="H231" i="3"/>
  <c r="F232" i="3"/>
  <c r="H232" i="3" s="1"/>
  <c r="B234" i="6"/>
  <c r="G234" i="2"/>
  <c r="C236" i="6"/>
  <c r="G60" i="8"/>
  <c r="B69" i="8"/>
  <c r="I61" i="8"/>
  <c r="K231" i="3"/>
  <c r="I232" i="3"/>
  <c r="K232" i="3" s="1"/>
  <c r="J191" i="5"/>
  <c r="I192" i="5"/>
  <c r="J192" i="5" s="1"/>
  <c r="B6" i="8"/>
  <c r="K6" i="7"/>
  <c r="E6" i="7"/>
  <c r="H6" i="7"/>
  <c r="B235" i="6"/>
  <c r="G235" i="2"/>
  <c r="F235" i="2" s="1"/>
  <c r="I227" i="11"/>
  <c r="G228" i="11"/>
  <c r="I228" i="11" s="1"/>
  <c r="L227" i="11"/>
  <c r="J228" i="11"/>
  <c r="L228" i="11" s="1"/>
  <c r="B236" i="6"/>
  <c r="G236" i="2"/>
  <c r="F236" i="2" s="1"/>
  <c r="D229" i="7" l="1"/>
  <c r="D230" i="7" s="1"/>
  <c r="I241" i="12"/>
  <c r="I242" i="12" s="1"/>
  <c r="J241" i="12"/>
  <c r="J242" i="12" s="1"/>
  <c r="H241" i="12"/>
  <c r="H242" i="12" s="1"/>
  <c r="K241" i="12"/>
  <c r="K242" i="12" s="1"/>
  <c r="J61" i="8"/>
  <c r="M191" i="5"/>
  <c r="N230" i="7"/>
  <c r="B243" i="7"/>
  <c r="G229" i="7"/>
  <c r="G230" i="7" s="1"/>
  <c r="B6" i="10"/>
  <c r="C6" i="8"/>
  <c r="E6" i="8"/>
  <c r="H6" i="8" s="1"/>
  <c r="G237" i="2"/>
  <c r="F234" i="2"/>
  <c r="F237" i="2" s="1"/>
  <c r="D240" i="7"/>
  <c r="J229" i="7"/>
  <c r="J230" i="7" s="1"/>
  <c r="G191" i="5"/>
  <c r="F192" i="5"/>
  <c r="G192" i="5" s="1"/>
  <c r="M229" i="7"/>
  <c r="M230" i="7" s="1"/>
  <c r="L230" i="7"/>
  <c r="C242" i="7" s="1"/>
  <c r="D242" i="7" s="1"/>
  <c r="H236" i="2" s="1"/>
  <c r="D234" i="6"/>
  <c r="H234" i="2" s="1"/>
  <c r="C237" i="6"/>
  <c r="D236" i="6"/>
  <c r="B237" i="6"/>
  <c r="D235" i="6"/>
  <c r="H235" i="2" s="1"/>
  <c r="D241" i="7"/>
  <c r="C243" i="7" l="1"/>
  <c r="D243" i="7" s="1"/>
  <c r="D237" i="6"/>
  <c r="H237"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<sst xmlns="http://schemas.openxmlformats.org/spreadsheetml/2006/main" count="3449" uniqueCount="694">
  <si>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</si>
  <si>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</si>
  <si>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</si>
  <si>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</si>
  <si>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</si>
  <si>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</si>
  <si>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</si>
  <si>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</si>
  <si>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</si>
  <si>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</si>
  <si>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</si>
  <si>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</si>
  <si>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</si>
  <si>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</si>
  <si>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</si>
  <si>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</si>
  <si>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</si>
  <si>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</si>
  <si>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</si>
  <si>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</si>
  <si>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</si>
  <si>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</si>
  <si>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</si>
  <si>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</si>
  <si>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</si>
  <si>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</si>
  <si>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</si>
  <si>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</si>
  <si>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</si>
  <si>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</si>
  <si>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</si>
  <si>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</si>
  <si>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</si>
  <si>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</si>
  <si>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</si>
  <si>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</si>
  <si>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</si>
  <si>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</si>
  <si>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</si>
  <si>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</si>
  <si>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</si>
  <si>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</si>
  <si>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</si>
  <si>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</si>
  <si>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</si>
  <si>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</si>
  <si>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</si>
  <si>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</si>
  <si>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</si>
  <si>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</si>
  <si>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</si>
  <si>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</si>
  <si>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</si>
  <si>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</si>
  <si>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</si>
  <si>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</si>
  <si>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</si>
  <si>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</si>
  <si>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</si>
  <si>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</si>
  <si>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</si>
  <si>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</si>
  <si>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</si>
  <si>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</si>
  <si>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</si>
  <si>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</si>
  <si>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</si>
  <si>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</si>
  <si>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</si>
  <si>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</si>
  <si>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</si>
  <si>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</si>
  <si>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</si>
  <si>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</si>
  <si>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</si>
  <si>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</si>
  <si>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</si>
  <si>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</si>
  <si>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</si>
  <si>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</si>
  <si>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</si>
  <si>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</si>
  <si>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</si>
  <si>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</si>
  <si>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</si>
  <si>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</si>
  <si>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</si>
  <si>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</si>
  <si>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</si>
  <si>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</si>
  <si>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</si>
  <si>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</si>
  <si>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</si>
  <si>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</si>
  <si>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</si>
  <si>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</si>
  <si>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</si>
  <si>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</si>
  <si>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</si>
  <si>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</si>
  <si>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</si>
  <si>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</si>
  <si>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</si>
  <si>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</si>
  <si>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</si>
  <si>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</si>
  <si>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</si>
  <si>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</si>
  <si>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</si>
  <si>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</si>
  <si>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</si>
  <si>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</si>
  <si>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</si>
  <si>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</si>
  <si>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</si>
  <si>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</si>
  <si>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</si>
  <si>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</si>
  <si>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</si>
  <si>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</si>
  <si>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</si>
  <si>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</si>
  <si>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</si>
  <si>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</si>
  <si>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</si>
  <si>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</si>
  <si>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</si>
  <si>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</si>
  <si>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</si>
  <si>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</si>
  <si>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</si>
  <si>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</si>
  <si>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</si>
  <si>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</si>
  <si>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</si>
  <si>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</si>
  <si>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</si>
  <si>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</si>
  <si>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</si>
  <si>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</si>
  <si>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</si>
  <si>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</si>
  <si>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</si>
  <si>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</si>
  <si>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</si>
  <si>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</si>
  <si>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</si>
  <si>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</si>
  <si>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</si>
  <si>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</si>
  <si>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</si>
  <si>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</si>
  <si>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</si>
  <si>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</si>
  <si>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</si>
  <si>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</si>
  <si>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</si>
  <si>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</si>
  <si>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</si>
  <si>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</si>
  <si>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</si>
  <si>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</si>
  <si>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</si>
  <si>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</si>
  <si>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</si>
  <si>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</si>
  <si>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</si>
  <si>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</si>
  <si>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</si>
  <si>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</si>
  <si>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</si>
  <si>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</si>
  <si>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</si>
  <si>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</si>
  <si>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</si>
  <si>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</si>
  <si>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</si>
  <si>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</si>
  <si>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</si>
  <si>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</si>
  <si>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</si>
  <si>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</si>
  <si>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</si>
  <si>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</si>
  <si>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</si>
  <si>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</si>
  <si>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</si>
  <si>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</si>
  <si>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</si>
  <si>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</si>
  <si>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</si>
  <si>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</si>
  <si>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</si>
  <si>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</si>
  <si>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</si>
  <si>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</si>
  <si>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</si>
  <si>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</si>
  <si>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</si>
  <si>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</si>
  <si>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</si>
  <si>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</si>
  <si>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</si>
  <si>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</si>
  <si>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</si>
  <si>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</si>
  <si>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</si>
  <si>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</si>
  <si>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</si>
  <si>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</si>
  <si>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</si>
  <si>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</si>
  <si>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</si>
  <si>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</si>
  <si>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</si>
  <si>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</si>
  <si>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</si>
  <si>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</si>
  <si>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</si>
  <si>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</si>
  <si>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</si>
  <si>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</si>
  <si>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</si>
  <si>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</si>
  <si>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</si>
  <si>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</si>
  <si>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</si>
  <si>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</si>
  <si>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</si>
  <si>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</si>
  <si>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</si>
  <si>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</si>
  <si>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</si>
  <si>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</si>
  <si>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</si>
  <si>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</si>
  <si>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</si>
  <si>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</si>
  <si>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</si>
  <si>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</si>
  <si>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</si>
  <si>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</si>
  <si>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</si>
  <si>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</si>
  <si>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</si>
  <si>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</si>
  <si>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</si>
  <si>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</si>
  <si>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</si>
  <si>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</si>
  <si>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</si>
  <si>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</si>
  <si>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</si>
  <si>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</si>
  <si>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</si>
  <si>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</si>
  <si>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</si>
  <si>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</si>
  <si>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</si>
  <si>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</si>
  <si>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</si>
  <si>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</si>
  <si>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</si>
  <si>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</si>
  <si>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</si>
  <si>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</si>
  <si>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</si>
  <si>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</si>
  <si>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</si>
  <si>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</si>
  <si>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</si>
  <si>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</si>
  <si>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</si>
  <si>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</si>
  <si>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</si>
  <si>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</si>
  <si>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</si>
  <si>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</si>
  <si>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</si>
  <si>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</si>
  <si>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</si>
  <si>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</si>
  <si>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</si>
  <si>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</si>
  <si>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</si>
  <si>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</si>
  <si>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</si>
  <si>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</si>
  <si>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</si>
  <si>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</si>
  <si>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</si>
  <si>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</si>
  <si>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</si>
  <si>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</si>
  <si>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</si>
  <si>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</si>
  <si>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</si>
  <si>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</si>
  <si>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</si>
  <si>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</si>
  <si>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</si>
  <si>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</si>
  <si>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</si>
  <si>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</si>
  <si>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</si>
  <si>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</si>
  <si>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</si>
  <si>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</si>
  <si>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</si>
  <si>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</si>
  <si>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</si>
  <si>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</si>
  <si>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</si>
  <si>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</si>
  <si>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</si>
  <si>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</si>
  <si>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</si>
  <si>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</si>
  <si>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</si>
  <si>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</si>
  <si>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</si>
  <si>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</si>
  <si>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</si>
  <si>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</si>
  <si>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</si>
  <si>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</si>
  <si>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</si>
  <si>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</si>
  <si>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</si>
  <si>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</si>
  <si>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</si>
  <si>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</si>
  <si>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</si>
  <si>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</si>
  <si>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</si>
  <si>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</si>
  <si>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</si>
  <si>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</si>
  <si>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</si>
  <si>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</si>
  <si>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</si>
  <si>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</si>
  <si>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</si>
  <si>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</si>
  <si>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</si>
  <si>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</si>
  <si>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</si>
  <si>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</si>
  <si>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</si>
  <si>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</si>
  <si>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</si>
  <si>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</si>
  <si>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</si>
  <si>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</si>
  <si>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</si>
  <si>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</si>
  <si>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</si>
  <si>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</si>
  <si>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</si>
  <si>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</si>
  <si>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</si>
  <si>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</si>
  <si>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</si>
  <si>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</si>
  <si>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</si>
  <si>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</si>
  <si>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</si>
  <si>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</si>
  <si>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</si>
  <si>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</si>
  <si>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</si>
  <si>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</si>
  <si>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</si>
  <si>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</si>
  <si>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</si>
  <si>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</si>
  <si>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</si>
  <si>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</si>
  <si>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</si>
  <si>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</si>
  <si>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</si>
  <si>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</si>
  <si>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</si>
  <si>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</si>
  <si>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</si>
  <si>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</si>
  <si>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</si>
  <si>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</si>
  <si>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</si>
  <si>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</si>
  <si>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</si>
  <si>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</si>
  <si>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</si>
  <si>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</si>
  <si>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</si>
  <si>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</si>
  <si>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</si>
  <si>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</si>
  <si>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</si>
  <si>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</si>
  <si>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</si>
  <si>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</si>
  <si>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</si>
  <si>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</si>
  <si>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</si>
  <si>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</si>
  <si>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</si>
  <si>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</si>
  <si>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</si>
  <si>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</si>
  <si>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</si>
  <si>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</si>
  <si>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</si>
  <si>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</si>
  <si>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</si>
  <si>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</si>
  <si>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</si>
  <si>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</si>
  <si>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</si>
  <si>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</si>
  <si>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</si>
  <si>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</si>
  <si>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</si>
  <si>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</si>
  <si>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</si>
  <si>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</si>
  <si>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</si>
  <si>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</si>
  <si>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</si>
  <si>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</si>
  <si>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</si>
  <si>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</si>
  <si>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</si>
  <si>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</si>
  <si>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</si>
  <si>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</si>
  <si>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</si>
  <si>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</si>
  <si>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</si>
  <si>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</si>
  <si>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</si>
  <si>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</si>
  <si>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</si>
  <si>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</si>
  <si>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</si>
  <si>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</si>
  <si>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</si>
  <si>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</si>
  <si>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</si>
  <si>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</si>
  <si>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</si>
  <si>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</si>
  <si>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</si>
  <si>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</si>
  <si>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</si>
  <si>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</si>
  <si>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</si>
  <si>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</si>
  <si>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</si>
  <si>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</si>
  <si>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</si>
  <si>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</si>
  <si>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</si>
  <si>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</si>
  <si>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</si>
  <si>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</si>
  <si>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</si>
  <si>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</si>
  <si>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</si>
  <si>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</si>
  <si>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</si>
  <si>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</si>
  <si>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</si>
  <si>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</si>
  <si>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</si>
  <si>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</si>
  <si>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</si>
  <si>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</si>
  <si>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</si>
  <si>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</si>
  <si>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</si>
  <si>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</si>
  <si>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</si>
  <si>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</si>
  <si>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</si>
  <si>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</si>
  <si>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</si>
  <si>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</si>
  <si>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</si>
  <si>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</si>
  <si>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</si>
  <si>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</si>
  <si>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</si>
  <si>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</si>
  <si>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</si>
  <si>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</si>
  <si>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</si>
  <si>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</si>
  <si>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</si>
  <si>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</si>
  <si>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</si>
  <si>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</si>
  <si>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</si>
  <si>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</si>
  <si>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</si>
  <si>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</si>
  <si>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</si>
  <si>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</si>
  <si>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</si>
  <si>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</si>
  <si>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</si>
  <si>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</si>
  <si>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</si>
  <si>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</si>
  <si>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</si>
  <si>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</si>
  <si>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</si>
  <si>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</si>
  <si>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</si>
  <si>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</si>
  <si>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</si>
  <si>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</si>
  <si>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</si>
  <si>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</si>
  <si>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</si>
  <si>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</si>
  <si>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</si>
  <si>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</si>
  <si>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</si>
  <si>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</si>
  <si>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</si>
  <si>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</si>
  <si>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</si>
  <si>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</si>
  <si>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</si>
  <si>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</si>
  <si>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</si>
  <si>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</si>
  <si>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</si>
  <si>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</si>
  <si>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</si>
  <si>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</si>
  <si>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</si>
  <si>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</si>
  <si>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</si>
  <si>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</si>
  <si>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</si>
  <si>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</si>
  <si>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</si>
  <si>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</si>
  <si>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</si>
  <si>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</si>
  <si>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</si>
  <si>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</si>
  <si>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</si>
  <si>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</si>
  <si>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</si>
  <si>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</si>
  <si>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</si>
  <si>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</si>
  <si>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</si>
  <si>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</si>
  <si>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</si>
  <si>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</si>
  <si>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</si>
  <si>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</si>
  <si>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</si>
  <si>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</si>
  <si>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</si>
  <si>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</si>
  <si>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</si>
  <si>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</si>
  <si>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</si>
  <si>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</si>
  <si>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</si>
  <si>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</si>
  <si>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</si>
  <si>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</si>
  <si>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</si>
  <si>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</si>
  <si>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</si>
  <si>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</si>
  <si>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</si>
  <si>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</si>
  <si>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</si>
  <si>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</si>
  <si>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</si>
  <si>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</si>
  <si>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</si>
  <si>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</si>
  <si>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</si>
  <si>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</si>
  <si>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</si>
  <si>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</si>
  <si>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</si>
  <si>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</si>
  <si>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</si>
  <si>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</si>
  <si>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</si>
  <si>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</si>
  <si>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</si>
  <si>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</si>
  <si>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</si>
  <si>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</si>
  <si>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</si>
  <si>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</si>
  <si>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</si>
  <si>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</si>
  <si>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</si>
  <si>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</si>
  <si>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</si>
  <si>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</si>
  <si>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</si>
  <si>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</si>
  <si>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</si>
  <si>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</si>
  <si>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</si>
  <si>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</si>
  <si>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</si>
  <si>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</si>
  <si>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</si>
  <si>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</si>
  <si>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</si>
  <si>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</si>
  <si>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</si>
  <si>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</si>
  <si>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</si>
  <si>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</si>
  <si>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</si>
  <si>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</si>
  <si>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</si>
  <si>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</si>
  <si>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</si>
  <si>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</si>
  <si>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</si>
  <si>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</si>
  <si>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</si>
  <si>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</si>
  <si>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</si>
  <si>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</si>
  <si>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</si>
  <si>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</si>
  <si>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</si>
  <si>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</si>
  <si>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</si>
  <si>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</si>
  <si>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</si>
  <si>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</si>
  <si>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</si>
  <si>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</si>
  <si>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</si>
  <si>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</si>
  <si>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</si>
  <si>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</si>
  <si>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</si>
  <si>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</si>
  <si>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</si>
  <si>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</si>
  <si>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</si>
  <si>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</si>
  <si>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</si>
  <si>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</si>
  <si>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</si>
  <si>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</si>
  <si>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</si>
  <si>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</si>
  <si>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</si>
  <si>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</si>
  <si>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</si>
  <si>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</si>
  <si>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</si>
  <si>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</si>
  <si>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</si>
  <si>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</si>
  <si>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</si>
  <si>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</si>
  <si>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</si>
  <si>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</si>
  <si>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</si>
  <si>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</si>
  <si>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</si>
  <si>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</si>
  <si>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</si>
  <si>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</si>
  <si>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</si>
  <si>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</si>
  <si>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</si>
  <si>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</si>
  <si>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</si>
  <si>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</si>
  <si>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</si>
  <si>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</si>
  <si>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</si>
  <si>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F&amp;O Market Trading Kit for 12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</si>
</sst>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2">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
      <patternFill patternType="solid">
        <fgColor theme="3"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3">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0" fontId="31" fillId="51" borderId="1" xfId="0" applyFont="1" applyFill="1" applyBorder="1"/>
    <xf numFmtId="2" fontId="31" fillId="51" borderId="1" xfId="0" applyNumberFormat="1"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zoomScale="85" zoomScaleNormal="85" workbookViewId="0">
      <pane ySplit="10" topLeftCell="A11" activePane="bottomLeft" state="frozen"/>
      <selection activeCell="Q163" sqref="Q163"/>
      <selection pane="bottomLeft" activeCell="W13" sqref="W13"/>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5" t="s">
        <v>693</v>
      </c>
      <c r="B6" s="236"/>
      <c r="C6" s="236"/>
      <c r="D6" s="236"/>
      <c r="E6" s="236"/>
      <c r="F6" s="236"/>
      <c r="G6" s="236"/>
      <c r="H6" s="236"/>
      <c r="I6" s="236"/>
      <c r="J6" s="236"/>
      <c r="K6" s="236"/>
      <c r="L6" s="236"/>
      <c r="M6" s="236"/>
      <c r="N6" s="236"/>
      <c r="O6" s="236"/>
      <c r="P6" s="236"/>
      <c r="Q6" s="236"/>
      <c r="R6" s="236"/>
      <c r="S6" s="237"/>
    </row>
    <row r="7" spans="1:19" x14ac:dyDescent="0.25">
      <c r="A7" s="238"/>
      <c r="B7" s="239"/>
      <c r="C7" s="239"/>
      <c r="D7" s="239"/>
      <c r="E7" s="239"/>
      <c r="F7" s="239"/>
      <c r="G7" s="239"/>
      <c r="H7" s="239"/>
      <c r="I7" s="239"/>
      <c r="J7" s="239"/>
      <c r="K7" s="239"/>
      <c r="L7" s="239"/>
      <c r="M7" s="239"/>
      <c r="N7" s="239"/>
      <c r="O7" s="239"/>
      <c r="P7" s="239"/>
      <c r="Q7" s="239"/>
      <c r="R7" s="239"/>
      <c r="S7" s="240"/>
    </row>
    <row r="8" spans="1:19" s="64" customFormat="1" ht="15" customHeight="1" x14ac:dyDescent="0.25">
      <c r="A8" s="241"/>
      <c r="B8" s="2"/>
      <c r="C8" s="243" t="s">
        <v>308</v>
      </c>
      <c r="D8" s="244"/>
      <c r="E8" s="244"/>
      <c r="F8" s="244"/>
      <c r="G8" s="245"/>
      <c r="H8" s="243" t="s">
        <v>309</v>
      </c>
      <c r="I8" s="244"/>
      <c r="J8" s="244"/>
      <c r="K8" s="245"/>
      <c r="L8" s="246" t="s">
        <v>310</v>
      </c>
      <c r="M8" s="247"/>
      <c r="N8" s="247"/>
      <c r="O8" s="248"/>
      <c r="P8" s="243" t="s">
        <v>311</v>
      </c>
      <c r="Q8" s="244"/>
      <c r="R8" s="244"/>
      <c r="S8" s="245"/>
    </row>
    <row r="9" spans="1:19" s="64" customFormat="1" x14ac:dyDescent="0.25">
      <c r="A9" s="242"/>
      <c r="B9" s="2"/>
      <c r="C9" s="2" t="s">
        <v>312</v>
      </c>
      <c r="D9" s="243" t="s">
        <v>313</v>
      </c>
      <c r="E9" s="244"/>
      <c r="F9" s="244"/>
      <c r="G9" s="245"/>
      <c r="H9" s="243" t="s">
        <v>314</v>
      </c>
      <c r="I9" s="244"/>
      <c r="J9" s="244"/>
      <c r="K9" s="245"/>
      <c r="L9" s="243" t="s">
        <v>315</v>
      </c>
      <c r="M9" s="244"/>
      <c r="N9" s="244"/>
      <c r="O9" s="245"/>
      <c r="P9" s="243" t="s">
        <v>316</v>
      </c>
      <c r="Q9" s="245"/>
      <c r="R9" s="243" t="s">
        <v>317</v>
      </c>
      <c r="S9" s="245"/>
    </row>
    <row r="10" spans="1:19" s="67" customFormat="1" ht="27" customHeight="1" x14ac:dyDescent="0.25">
      <c r="A10" s="65" t="s">
        <v>318</v>
      </c>
      <c r="B10" s="65" t="s">
        <v>319</v>
      </c>
      <c r="C10" s="66">
        <f>'Data Vlaue (Cr)'!A2</f>
        <v>46064</v>
      </c>
      <c r="D10" s="66">
        <f>'Data Vlaue (Cr)'!A2</f>
        <v>46064</v>
      </c>
      <c r="E10" s="65" t="s">
        <v>322</v>
      </c>
      <c r="F10" s="65" t="s">
        <v>320</v>
      </c>
      <c r="G10" s="65" t="s">
        <v>321</v>
      </c>
      <c r="H10" s="66">
        <f>D10</f>
        <v>46064</v>
      </c>
      <c r="I10" s="65" t="s">
        <v>322</v>
      </c>
      <c r="J10" s="65" t="s">
        <v>323</v>
      </c>
      <c r="K10" s="65" t="s">
        <v>324</v>
      </c>
      <c r="L10" s="66">
        <f>D10</f>
        <v>46064</v>
      </c>
      <c r="M10" s="65" t="s">
        <v>322</v>
      </c>
      <c r="N10" s="65" t="s">
        <v>323</v>
      </c>
      <c r="O10" s="65" t="s">
        <v>324</v>
      </c>
      <c r="P10" s="66">
        <f>D10</f>
        <v>46064</v>
      </c>
      <c r="Q10" s="65" t="s">
        <v>324</v>
      </c>
      <c r="R10" s="66">
        <f>D10</f>
        <v>46064</v>
      </c>
      <c r="S10" s="65" t="s">
        <v>324</v>
      </c>
    </row>
    <row r="11" spans="1:19" x14ac:dyDescent="0.25">
      <c r="A11" s="96" t="str">
        <f>'Data Vlaue (Cr)'!C2</f>
        <v>360ONE</v>
      </c>
      <c r="B11" s="75">
        <f>VLOOKUP($A11,'Data Vlaue (Cr)'!$C:$FB,2)</f>
        <v>500</v>
      </c>
      <c r="C11" s="75">
        <f>VLOOKUP($A11,'Data Vlaue (Cr)'!$C:$FB,8)</f>
        <v>1138.4000000000001</v>
      </c>
      <c r="D11" s="75">
        <f>VLOOKUP($A11,'Data Vlaue (Cr)'!$C:$FB,4)</f>
        <v>1142.2</v>
      </c>
      <c r="E11" s="75">
        <f>VLOOKUP($A11,'Data Vlaue (Cr)'!$C:$FB,5)</f>
        <v>1164</v>
      </c>
      <c r="F11" s="75">
        <f>D11-C11</f>
        <v>3.7999999999999545</v>
      </c>
      <c r="G11" s="75">
        <f>(D11-E11)/D11*100</f>
        <v>-1.9085974435300257</v>
      </c>
      <c r="H11" s="75">
        <f>VLOOKUP($A11,'Data Vlaue (Cr)'!$C:$FB,99)</f>
        <v>672</v>
      </c>
      <c r="I11" s="75">
        <f>VLOOKUP($A11,'Data Vlaue (Cr)'!$C:$FB,100)</f>
        <v>632</v>
      </c>
      <c r="J11" s="75">
        <f>H11-I11</f>
        <v>40</v>
      </c>
      <c r="K11" s="75">
        <f>J11/H11*100</f>
        <v>5.9523809523809517</v>
      </c>
      <c r="L11" s="75">
        <f>VLOOKUP($A11,'Data Vlaue (Cr)'!$C:$FB,67)</f>
        <v>652</v>
      </c>
      <c r="M11" s="75">
        <f>VLOOKUP($A11,'Data Vlaue (Cr)'!$C:$FB,68)</f>
        <v>1101</v>
      </c>
      <c r="N11" s="75">
        <f>L11-M11</f>
        <v>-449</v>
      </c>
      <c r="O11" s="75">
        <f>N11/L11*100</f>
        <v>-68.865030674846622</v>
      </c>
      <c r="P11" s="75">
        <f>VLOOKUP($A11,'Data Vlaue (Cr)'!$C:$FB,119)</f>
        <v>0.76</v>
      </c>
      <c r="Q11" s="75">
        <f>VLOOKUP($A11,'Data Vlaue (Cr)'!$C:$FB,122)*100</f>
        <v>4.1099999999999994</v>
      </c>
      <c r="R11" s="75">
        <f>VLOOKUP($A11,'Data Vlaue (Cr)'!$C:$FB,125)</f>
        <v>0.48</v>
      </c>
      <c r="S11" s="75">
        <f>VLOOKUP($A11,'Data Vlaue (Cr)'!$C:$FB,128)*100</f>
        <v>41.18</v>
      </c>
    </row>
    <row r="12" spans="1:19" x14ac:dyDescent="0.25">
      <c r="A12" s="96" t="str">
        <f>'Data Vlaue (Cr)'!C3</f>
        <v>ABB</v>
      </c>
      <c r="B12" s="75">
        <f>VLOOKUP($A12,'Data Vlaue (Cr)'!$C:$FB,2)</f>
        <v>125</v>
      </c>
      <c r="C12" s="75">
        <f>VLOOKUP($A12,'Data Vlaue (Cr)'!$C:$FB,8)</f>
        <v>5825.5</v>
      </c>
      <c r="D12" s="75">
        <f>VLOOKUP($A12,'Data Vlaue (Cr)'!$C:$FB,4)</f>
        <v>5826.5</v>
      </c>
      <c r="E12" s="75">
        <f>VLOOKUP($A12,'Data Vlaue (Cr)'!$C:$FB,5)</f>
        <v>5881</v>
      </c>
      <c r="F12" s="75">
        <f t="shared" ref="F12:F75" si="0">D12-C12</f>
        <v>1</v>
      </c>
      <c r="G12" s="75">
        <f t="shared" ref="G12:G74" si="1">(D12-E12)/D12*100</f>
        <v>-0.93538144683772417</v>
      </c>
      <c r="H12" s="75">
        <f>VLOOKUP($A12,'Data Vlaue (Cr)'!$C:$FB,99)</f>
        <v>2620</v>
      </c>
      <c r="I12" s="75">
        <f>VLOOKUP($A12,'Data Vlaue (Cr)'!$C:$FB,100)</f>
        <v>2616</v>
      </c>
      <c r="J12" s="75">
        <f t="shared" ref="J12:J75" si="2">H12-I12</f>
        <v>4</v>
      </c>
      <c r="K12" s="75">
        <f t="shared" ref="K12:K75" si="3">J12/H12*100</f>
        <v>0.15267175572519084</v>
      </c>
      <c r="L12" s="75">
        <f>VLOOKUP($A12,'Data Vlaue (Cr)'!$C:$FB,67)</f>
        <v>1030</v>
      </c>
      <c r="M12" s="75">
        <f>VLOOKUP($A12,'Data Vlaue (Cr)'!$C:$FB,68)</f>
        <v>1049</v>
      </c>
      <c r="N12" s="75">
        <f t="shared" ref="N12:N75" si="4">L12-M12</f>
        <v>-19</v>
      </c>
      <c r="O12" s="75">
        <f t="shared" ref="O12:O75" si="5">N12/L12*100</f>
        <v>-1.8446601941747571</v>
      </c>
      <c r="P12" s="75">
        <f>VLOOKUP($A12,'Data Vlaue (Cr)'!$C:$FB,119)</f>
        <v>0.74</v>
      </c>
      <c r="Q12" s="75">
        <f>VLOOKUP($A12,'Data Vlaue (Cr)'!$C:$FB,122)*100</f>
        <v>0</v>
      </c>
      <c r="R12" s="75">
        <f>VLOOKUP($A12,'Data Vlaue (Cr)'!$C:$FB,125)</f>
        <v>1.02</v>
      </c>
      <c r="S12" s="75">
        <f>VLOOKUP($A12,'Data Vlaue (Cr)'!$C:$FB,128)*100</f>
        <v>137.21</v>
      </c>
    </row>
    <row r="13" spans="1:19" x14ac:dyDescent="0.25">
      <c r="A13" s="96" t="str">
        <f>'Data Vlaue (Cr)'!C4</f>
        <v>ABCAPITAL</v>
      </c>
      <c r="B13" s="75">
        <f>VLOOKUP($A13,'Data Vlaue (Cr)'!$C:$FB,2)</f>
        <v>3100</v>
      </c>
      <c r="C13" s="75">
        <f>VLOOKUP($A13,'Data Vlaue (Cr)'!$C:$FB,8)</f>
        <v>344.25</v>
      </c>
      <c r="D13" s="75">
        <f>VLOOKUP($A13,'Data Vlaue (Cr)'!$C:$FB,4)</f>
        <v>344.35</v>
      </c>
      <c r="E13" s="75">
        <f>VLOOKUP($A13,'Data Vlaue (Cr)'!$C:$FB,5)</f>
        <v>354.9</v>
      </c>
      <c r="F13" s="75">
        <f t="shared" si="0"/>
        <v>0.10000000000002274</v>
      </c>
      <c r="G13" s="75">
        <f t="shared" si="1"/>
        <v>-3.0637432844489485</v>
      </c>
      <c r="H13" s="75">
        <f>VLOOKUP($A13,'Data Vlaue (Cr)'!$C:$FB,99)</f>
        <v>4102</v>
      </c>
      <c r="I13" s="75">
        <f>VLOOKUP($A13,'Data Vlaue (Cr)'!$C:$FB,100)</f>
        <v>3853</v>
      </c>
      <c r="J13" s="75">
        <f t="shared" si="2"/>
        <v>249</v>
      </c>
      <c r="K13" s="75">
        <f t="shared" si="3"/>
        <v>6.0702096538274013</v>
      </c>
      <c r="L13" s="75">
        <f>VLOOKUP($A13,'Data Vlaue (Cr)'!$C:$FB,67)</f>
        <v>2528</v>
      </c>
      <c r="M13" s="75">
        <f>VLOOKUP($A13,'Data Vlaue (Cr)'!$C:$FB,68)</f>
        <v>1850</v>
      </c>
      <c r="N13" s="75">
        <f t="shared" si="4"/>
        <v>678</v>
      </c>
      <c r="O13" s="75">
        <f t="shared" si="5"/>
        <v>26.819620253164555</v>
      </c>
      <c r="P13" s="75">
        <f>VLOOKUP($A13,'Data Vlaue (Cr)'!$C:$FB,119)</f>
        <v>0.6</v>
      </c>
      <c r="Q13" s="75">
        <f>VLOOKUP($A13,'Data Vlaue (Cr)'!$C:$FB,122)*100</f>
        <v>-21.05</v>
      </c>
      <c r="R13" s="75">
        <f>VLOOKUP($A13,'Data Vlaue (Cr)'!$C:$FB,125)</f>
        <v>0.49</v>
      </c>
      <c r="S13" s="75">
        <f>VLOOKUP($A13,'Data Vlaue (Cr)'!$C:$FB,128)*100</f>
        <v>2.08</v>
      </c>
    </row>
    <row r="14" spans="1:19" x14ac:dyDescent="0.25">
      <c r="A14" s="96" t="str">
        <f>'Data Vlaue (Cr)'!C5</f>
        <v>ADANIENSOL</v>
      </c>
      <c r="B14" s="75">
        <f>VLOOKUP($A14,'Data Vlaue (Cr)'!$C:$FB,2)</f>
        <v>675</v>
      </c>
      <c r="C14" s="75">
        <f>VLOOKUP($A14,'Data Vlaue (Cr)'!$C:$FB,8)</f>
        <v>1033.8</v>
      </c>
      <c r="D14" s="75">
        <f>VLOOKUP($A14,'Data Vlaue (Cr)'!$C:$FB,4)</f>
        <v>1036.7</v>
      </c>
      <c r="E14" s="75">
        <f>VLOOKUP($A14,'Data Vlaue (Cr)'!$C:$FB,5)</f>
        <v>1019.55</v>
      </c>
      <c r="F14" s="75">
        <f t="shared" si="0"/>
        <v>2.9000000000000909</v>
      </c>
      <c r="G14" s="75">
        <f t="shared" si="1"/>
        <v>1.6542876434841411</v>
      </c>
      <c r="H14" s="75">
        <f>VLOOKUP($A14,'Data Vlaue (Cr)'!$C:$FB,99)</f>
        <v>2963</v>
      </c>
      <c r="I14" s="75">
        <f>VLOOKUP($A14,'Data Vlaue (Cr)'!$C:$FB,100)</f>
        <v>2976</v>
      </c>
      <c r="J14" s="75">
        <f t="shared" si="2"/>
        <v>-13</v>
      </c>
      <c r="K14" s="75">
        <f t="shared" si="3"/>
        <v>-0.43874451569355388</v>
      </c>
      <c r="L14" s="75">
        <f>VLOOKUP($A14,'Data Vlaue (Cr)'!$C:$FB,67)</f>
        <v>557</v>
      </c>
      <c r="M14" s="75">
        <f>VLOOKUP($A14,'Data Vlaue (Cr)'!$C:$FB,68)</f>
        <v>570</v>
      </c>
      <c r="N14" s="75">
        <f t="shared" si="4"/>
        <v>-13</v>
      </c>
      <c r="O14" s="75">
        <f>N14/L14*100</f>
        <v>-2.3339317773788149</v>
      </c>
      <c r="P14" s="75">
        <f>VLOOKUP($A14,'Data Vlaue (Cr)'!$C:$FB,119)</f>
        <v>0.85</v>
      </c>
      <c r="Q14" s="75">
        <f>VLOOKUP($A14,'Data Vlaue (Cr)'!$C:$FB,122)*100</f>
        <v>0</v>
      </c>
      <c r="R14" s="75">
        <f>VLOOKUP($A14,'Data Vlaue (Cr)'!$C:$FB,125)</f>
        <v>0.72</v>
      </c>
      <c r="S14" s="75">
        <f>VLOOKUP($A14,'Data Vlaue (Cr)'!$C:$FB,128)*100</f>
        <v>-38.46</v>
      </c>
    </row>
    <row r="15" spans="1:19" x14ac:dyDescent="0.25">
      <c r="A15" s="96" t="str">
        <f>'Data Vlaue (Cr)'!C6</f>
        <v>ADANIENT</v>
      </c>
      <c r="B15" s="75">
        <f>VLOOKUP($A15,'Data Vlaue (Cr)'!$C:$FB,2)</f>
        <v>309</v>
      </c>
      <c r="C15" s="75">
        <f>VLOOKUP($A15,'Data Vlaue (Cr)'!$C:$FB,8)</f>
        <v>2234.4</v>
      </c>
      <c r="D15" s="75">
        <f>VLOOKUP($A15,'Data Vlaue (Cr)'!$C:$FB,4)</f>
        <v>2236.6999999999998</v>
      </c>
      <c r="E15" s="75">
        <f>VLOOKUP($A15,'Data Vlaue (Cr)'!$C:$FB,5)</f>
        <v>2229.8000000000002</v>
      </c>
      <c r="F15" s="75">
        <f t="shared" si="0"/>
        <v>2.2999999999997272</v>
      </c>
      <c r="G15" s="75">
        <f t="shared" si="1"/>
        <v>0.30849018643535731</v>
      </c>
      <c r="H15" s="75">
        <f>VLOOKUP($A15,'Data Vlaue (Cr)'!$C:$FB,99)</f>
        <v>7798</v>
      </c>
      <c r="I15" s="75">
        <f>VLOOKUP($A15,'Data Vlaue (Cr)'!$C:$FB,100)</f>
        <v>7769</v>
      </c>
      <c r="J15" s="75">
        <f t="shared" si="2"/>
        <v>29</v>
      </c>
      <c r="K15" s="75">
        <f t="shared" si="3"/>
        <v>0.37189022826365736</v>
      </c>
      <c r="L15" s="75">
        <f>VLOOKUP($A15,'Data Vlaue (Cr)'!$C:$FB,67)</f>
        <v>2314</v>
      </c>
      <c r="M15" s="75">
        <f>VLOOKUP($A15,'Data Vlaue (Cr)'!$C:$FB,68)</f>
        <v>7822</v>
      </c>
      <c r="N15" s="75">
        <f t="shared" si="4"/>
        <v>-5508</v>
      </c>
      <c r="O15" s="75">
        <f t="shared" si="5"/>
        <v>-238.02938634399305</v>
      </c>
      <c r="P15" s="75">
        <f>VLOOKUP($A15,'Data Vlaue (Cr)'!$C:$FB,119)</f>
        <v>0.91</v>
      </c>
      <c r="Q15" s="75">
        <f>VLOOKUP($A15,'Data Vlaue (Cr)'!$C:$FB,122)*100</f>
        <v>-3.19</v>
      </c>
      <c r="R15" s="75">
        <f>VLOOKUP($A15,'Data Vlaue (Cr)'!$C:$FB,125)</f>
        <v>0.75</v>
      </c>
      <c r="S15" s="75">
        <f>VLOOKUP($A15,'Data Vlaue (Cr)'!$C:$FB,128)*100</f>
        <v>-32.43</v>
      </c>
    </row>
    <row r="16" spans="1:19" x14ac:dyDescent="0.25">
      <c r="A16" s="96" t="str">
        <f>'Data Vlaue (Cr)'!C7</f>
        <v>ADANIGREEN</v>
      </c>
      <c r="B16" s="75">
        <f>VLOOKUP($A16,'Data Vlaue (Cr)'!$C:$FB,2)</f>
        <v>600</v>
      </c>
      <c r="C16" s="75">
        <f>VLOOKUP($A16,'Data Vlaue (Cr)'!$C:$FB,8)</f>
        <v>994.75</v>
      </c>
      <c r="D16" s="75">
        <f>VLOOKUP($A16,'Data Vlaue (Cr)'!$C:$FB,4)</f>
        <v>997.6</v>
      </c>
      <c r="E16" s="75">
        <f>VLOOKUP($A16,'Data Vlaue (Cr)'!$C:$FB,5)</f>
        <v>981.2</v>
      </c>
      <c r="F16" s="75">
        <f t="shared" si="0"/>
        <v>2.8500000000000227</v>
      </c>
      <c r="G16" s="75">
        <f t="shared" si="1"/>
        <v>1.6439454691258997</v>
      </c>
      <c r="H16" s="75">
        <f>VLOOKUP($A16,'Data Vlaue (Cr)'!$C:$FB,99)</f>
        <v>4016</v>
      </c>
      <c r="I16" s="75">
        <f>VLOOKUP($A16,'Data Vlaue (Cr)'!$C:$FB,100)</f>
        <v>4012</v>
      </c>
      <c r="J16" s="75">
        <f t="shared" si="2"/>
        <v>4</v>
      </c>
      <c r="K16" s="75">
        <f t="shared" si="3"/>
        <v>9.9601593625498003E-2</v>
      </c>
      <c r="L16" s="75">
        <f>VLOOKUP($A16,'Data Vlaue (Cr)'!$C:$FB,67)</f>
        <v>1564</v>
      </c>
      <c r="M16" s="75">
        <f>VLOOKUP($A16,'Data Vlaue (Cr)'!$C:$FB,68)</f>
        <v>1737</v>
      </c>
      <c r="N16" s="75">
        <f t="shared" si="4"/>
        <v>-173</v>
      </c>
      <c r="O16" s="75">
        <f t="shared" si="5"/>
        <v>-11.061381074168798</v>
      </c>
      <c r="P16" s="75">
        <f>VLOOKUP($A16,'Data Vlaue (Cr)'!$C:$FB,119)</f>
        <v>0.86</v>
      </c>
      <c r="Q16" s="75">
        <f>VLOOKUP($A16,'Data Vlaue (Cr)'!$C:$FB,122)*100</f>
        <v>-1.1499999999999999</v>
      </c>
      <c r="R16" s="75">
        <f>VLOOKUP($A16,'Data Vlaue (Cr)'!$C:$FB,125)</f>
        <v>0.48</v>
      </c>
      <c r="S16" s="75">
        <f>VLOOKUP($A16,'Data Vlaue (Cr)'!$C:$FB,128)*100</f>
        <v>-39.24</v>
      </c>
    </row>
    <row r="17" spans="1:19" x14ac:dyDescent="0.25">
      <c r="A17" s="96" t="str">
        <f>'Data Vlaue (Cr)'!C8</f>
        <v>ADANIPORTS</v>
      </c>
      <c r="B17" s="75">
        <f>VLOOKUP($A17,'Data Vlaue (Cr)'!$C:$FB,2)</f>
        <v>475</v>
      </c>
      <c r="C17" s="75">
        <f>VLOOKUP($A17,'Data Vlaue (Cr)'!$C:$FB,8)</f>
        <v>1553.4</v>
      </c>
      <c r="D17" s="75">
        <f>VLOOKUP($A17,'Data Vlaue (Cr)'!$C:$FB,4)</f>
        <v>1555.8</v>
      </c>
      <c r="E17" s="75">
        <f>VLOOKUP($A17,'Data Vlaue (Cr)'!$C:$FB,5)</f>
        <v>1559.4</v>
      </c>
      <c r="F17" s="75">
        <f t="shared" si="0"/>
        <v>2.3999999999998636</v>
      </c>
      <c r="G17" s="75">
        <f t="shared" si="1"/>
        <v>-0.23139220979561231</v>
      </c>
      <c r="H17" s="75">
        <f>VLOOKUP($A17,'Data Vlaue (Cr)'!$C:$FB,99)</f>
        <v>6234</v>
      </c>
      <c r="I17" s="75">
        <f>VLOOKUP($A17,'Data Vlaue (Cr)'!$C:$FB,100)</f>
        <v>6176</v>
      </c>
      <c r="J17" s="75">
        <f t="shared" si="2"/>
        <v>58</v>
      </c>
      <c r="K17" s="75">
        <f t="shared" si="3"/>
        <v>0.93038177735001604</v>
      </c>
      <c r="L17" s="75">
        <f>VLOOKUP($A17,'Data Vlaue (Cr)'!$C:$FB,67)</f>
        <v>2068</v>
      </c>
      <c r="M17" s="75">
        <f>VLOOKUP($A17,'Data Vlaue (Cr)'!$C:$FB,68)</f>
        <v>4700</v>
      </c>
      <c r="N17" s="75">
        <f t="shared" si="4"/>
        <v>-2632</v>
      </c>
      <c r="O17" s="75">
        <f t="shared" si="5"/>
        <v>-127.27272727272727</v>
      </c>
      <c r="P17" s="75">
        <f>VLOOKUP($A17,'Data Vlaue (Cr)'!$C:$FB,119)</f>
        <v>0.87</v>
      </c>
      <c r="Q17" s="75">
        <f>VLOOKUP($A17,'Data Vlaue (Cr)'!$C:$FB,122)*100</f>
        <v>0</v>
      </c>
      <c r="R17" s="75">
        <f>VLOOKUP($A17,'Data Vlaue (Cr)'!$C:$FB,125)</f>
        <v>0.91</v>
      </c>
      <c r="S17" s="75">
        <f>VLOOKUP($A17,'Data Vlaue (Cr)'!$C:$FB,128)*100</f>
        <v>-8.08</v>
      </c>
    </row>
    <row r="18" spans="1:19" x14ac:dyDescent="0.25">
      <c r="A18" s="96" t="str">
        <f>'Data Vlaue (Cr)'!C9</f>
        <v>ALKEM</v>
      </c>
      <c r="B18" s="75">
        <f>VLOOKUP($A18,'Data Vlaue (Cr)'!$C:$FB,2)</f>
        <v>125</v>
      </c>
      <c r="C18" s="75">
        <f>VLOOKUP($A18,'Data Vlaue (Cr)'!$C:$FB,8)</f>
        <v>5890</v>
      </c>
      <c r="D18" s="75">
        <f>VLOOKUP($A18,'Data Vlaue (Cr)'!$C:$FB,4)</f>
        <v>5851.5</v>
      </c>
      <c r="E18" s="75">
        <f>VLOOKUP($A18,'Data Vlaue (Cr)'!$C:$FB,5)</f>
        <v>5771.5</v>
      </c>
      <c r="F18" s="75">
        <f t="shared" si="0"/>
        <v>-38.5</v>
      </c>
      <c r="G18" s="75">
        <f t="shared" si="1"/>
        <v>1.367170810903187</v>
      </c>
      <c r="H18" s="75">
        <f>VLOOKUP($A18,'Data Vlaue (Cr)'!$C:$FB,99)</f>
        <v>1016</v>
      </c>
      <c r="I18" s="75">
        <f>VLOOKUP($A18,'Data Vlaue (Cr)'!$C:$FB,100)</f>
        <v>949</v>
      </c>
      <c r="J18" s="75">
        <f t="shared" si="2"/>
        <v>67</v>
      </c>
      <c r="K18" s="75">
        <f t="shared" si="3"/>
        <v>6.5944881889763778</v>
      </c>
      <c r="L18" s="75">
        <f>VLOOKUP($A18,'Data Vlaue (Cr)'!$C:$FB,67)</f>
        <v>762</v>
      </c>
      <c r="M18" s="75">
        <f>VLOOKUP($A18,'Data Vlaue (Cr)'!$C:$FB,68)</f>
        <v>320</v>
      </c>
      <c r="N18" s="75">
        <f t="shared" si="4"/>
        <v>442</v>
      </c>
      <c r="O18" s="75">
        <f t="shared" si="5"/>
        <v>58.00524934383202</v>
      </c>
      <c r="P18" s="75">
        <f>VLOOKUP($A18,'Data Vlaue (Cr)'!$C:$FB,119)</f>
        <v>0.76</v>
      </c>
      <c r="Q18" s="75">
        <f>VLOOKUP($A18,'Data Vlaue (Cr)'!$C:$FB,122)*100</f>
        <v>-22.45</v>
      </c>
      <c r="R18" s="75">
        <f>VLOOKUP($A18,'Data Vlaue (Cr)'!$C:$FB,125)</f>
        <v>0.46</v>
      </c>
      <c r="S18" s="75">
        <f>VLOOKUP($A18,'Data Vlaue (Cr)'!$C:$FB,128)*100</f>
        <v>-38.67</v>
      </c>
    </row>
    <row r="19" spans="1:19" x14ac:dyDescent="0.25">
      <c r="A19" s="96" t="str">
        <f>'Data Vlaue (Cr)'!C10</f>
        <v>AMBER</v>
      </c>
      <c r="B19" s="75">
        <f>VLOOKUP($A19,'Data Vlaue (Cr)'!$C:$FB,2)</f>
        <v>100</v>
      </c>
      <c r="C19" s="75">
        <f>VLOOKUP($A19,'Data Vlaue (Cr)'!$C:$FB,8)</f>
        <v>7696</v>
      </c>
      <c r="D19" s="75">
        <f>VLOOKUP($A19,'Data Vlaue (Cr)'!$C:$FB,4)</f>
        <v>7643.5</v>
      </c>
      <c r="E19" s="75">
        <f>VLOOKUP($A19,'Data Vlaue (Cr)'!$C:$FB,5)</f>
        <v>7453</v>
      </c>
      <c r="F19" s="75">
        <f t="shared" si="0"/>
        <v>-52.5</v>
      </c>
      <c r="G19" s="75">
        <f t="shared" si="1"/>
        <v>2.492313730620789</v>
      </c>
      <c r="H19" s="75">
        <f>VLOOKUP($A19,'Data Vlaue (Cr)'!$C:$FB,99)</f>
        <v>2406</v>
      </c>
      <c r="I19" s="75">
        <f>VLOOKUP($A19,'Data Vlaue (Cr)'!$C:$FB,100)</f>
        <v>2263</v>
      </c>
      <c r="J19" s="75">
        <f t="shared" si="2"/>
        <v>143</v>
      </c>
      <c r="K19" s="75">
        <f t="shared" si="3"/>
        <v>5.9434746467165418</v>
      </c>
      <c r="L19" s="75">
        <f>VLOOKUP($A19,'Data Vlaue (Cr)'!$C:$FB,67)</f>
        <v>5057</v>
      </c>
      <c r="M19" s="75">
        <f>VLOOKUP($A19,'Data Vlaue (Cr)'!$C:$FB,68)</f>
        <v>12383</v>
      </c>
      <c r="N19" s="75">
        <f t="shared" si="4"/>
        <v>-7326</v>
      </c>
      <c r="O19" s="75">
        <f t="shared" si="5"/>
        <v>-144.86849911014434</v>
      </c>
      <c r="P19" s="75">
        <f>VLOOKUP($A19,'Data Vlaue (Cr)'!$C:$FB,119)</f>
        <v>1.1100000000000001</v>
      </c>
      <c r="Q19" s="75">
        <f>VLOOKUP($A19,'Data Vlaue (Cr)'!$C:$FB,122)*100</f>
        <v>37.04</v>
      </c>
      <c r="R19" s="75">
        <f>VLOOKUP($A19,'Data Vlaue (Cr)'!$C:$FB,125)</f>
        <v>0.67</v>
      </c>
      <c r="S19" s="75">
        <f>VLOOKUP($A19,'Data Vlaue (Cr)'!$C:$FB,128)*100</f>
        <v>42.55</v>
      </c>
    </row>
    <row r="20" spans="1:19" x14ac:dyDescent="0.25">
      <c r="A20" s="96" t="str">
        <f>'Data Vlaue (Cr)'!C11</f>
        <v>AMBUJACEM</v>
      </c>
      <c r="B20" s="75">
        <f>VLOOKUP($A20,'Data Vlaue (Cr)'!$C:$FB,2)</f>
        <v>1050</v>
      </c>
      <c r="C20" s="75">
        <f>VLOOKUP($A20,'Data Vlaue (Cr)'!$C:$FB,8)</f>
        <v>541.25</v>
      </c>
      <c r="D20" s="75">
        <f>VLOOKUP($A20,'Data Vlaue (Cr)'!$C:$FB,4)</f>
        <v>541.54999999999995</v>
      </c>
      <c r="E20" s="75">
        <f>VLOOKUP($A20,'Data Vlaue (Cr)'!$C:$FB,5)</f>
        <v>539.9</v>
      </c>
      <c r="F20" s="75">
        <f t="shared" si="0"/>
        <v>0.29999999999995453</v>
      </c>
      <c r="G20" s="75">
        <f t="shared" si="1"/>
        <v>0.30468100821715027</v>
      </c>
      <c r="H20" s="75">
        <f>VLOOKUP($A20,'Data Vlaue (Cr)'!$C:$FB,99)</f>
        <v>3920</v>
      </c>
      <c r="I20" s="75">
        <f>VLOOKUP($A20,'Data Vlaue (Cr)'!$C:$FB,100)</f>
        <v>3915</v>
      </c>
      <c r="J20" s="75">
        <f t="shared" si="2"/>
        <v>5</v>
      </c>
      <c r="K20" s="75">
        <f t="shared" si="3"/>
        <v>0.12755102040816327</v>
      </c>
      <c r="L20" s="75">
        <f>VLOOKUP($A20,'Data Vlaue (Cr)'!$C:$FB,67)</f>
        <v>668</v>
      </c>
      <c r="M20" s="75">
        <f>VLOOKUP($A20,'Data Vlaue (Cr)'!$C:$FB,68)</f>
        <v>1543</v>
      </c>
      <c r="N20" s="75">
        <f t="shared" si="4"/>
        <v>-875</v>
      </c>
      <c r="O20" s="75">
        <f t="shared" si="5"/>
        <v>-130.9880239520958</v>
      </c>
      <c r="P20" s="75">
        <f>VLOOKUP($A20,'Data Vlaue (Cr)'!$C:$FB,119)</f>
        <v>0.75</v>
      </c>
      <c r="Q20" s="75">
        <f>VLOOKUP($A20,'Data Vlaue (Cr)'!$C:$FB,122)*100</f>
        <v>0</v>
      </c>
      <c r="R20" s="75">
        <f>VLOOKUP($A20,'Data Vlaue (Cr)'!$C:$FB,125)</f>
        <v>0.39</v>
      </c>
      <c r="S20" s="75">
        <f>VLOOKUP($A20,'Data Vlaue (Cr)'!$C:$FB,128)*100</f>
        <v>-40</v>
      </c>
    </row>
    <row r="21" spans="1:19" x14ac:dyDescent="0.25">
      <c r="A21" s="96" t="str">
        <f>'Data Vlaue (Cr)'!C12</f>
        <v>ANGELONE</v>
      </c>
      <c r="B21" s="75">
        <f>VLOOKUP($A21,'Data Vlaue (Cr)'!$C:$FB,2)</f>
        <v>250</v>
      </c>
      <c r="C21" s="75">
        <f>VLOOKUP($A21,'Data Vlaue (Cr)'!$C:$FB,8)</f>
        <v>2781.1</v>
      </c>
      <c r="D21" s="75">
        <f>VLOOKUP($A21,'Data Vlaue (Cr)'!$C:$FB,4)</f>
        <v>2790.9</v>
      </c>
      <c r="E21" s="75">
        <f>VLOOKUP($A21,'Data Vlaue (Cr)'!$C:$FB,5)</f>
        <v>2792.5</v>
      </c>
      <c r="F21" s="75">
        <f t="shared" si="0"/>
        <v>9.8000000000001819</v>
      </c>
      <c r="G21" s="75">
        <f t="shared" si="1"/>
        <v>-5.7329176967999898E-2</v>
      </c>
      <c r="H21" s="75">
        <f>VLOOKUP($A21,'Data Vlaue (Cr)'!$C:$FB,99)</f>
        <v>2098</v>
      </c>
      <c r="I21" s="75">
        <f>VLOOKUP($A21,'Data Vlaue (Cr)'!$C:$FB,100)</f>
        <v>2125</v>
      </c>
      <c r="J21" s="75">
        <f t="shared" si="2"/>
        <v>-27</v>
      </c>
      <c r="K21" s="75">
        <f t="shared" si="3"/>
        <v>-1.2869399428026693</v>
      </c>
      <c r="L21" s="75">
        <f>VLOOKUP($A21,'Data Vlaue (Cr)'!$C:$FB,67)</f>
        <v>1282</v>
      </c>
      <c r="M21" s="75">
        <f>VLOOKUP($A21,'Data Vlaue (Cr)'!$C:$FB,68)</f>
        <v>4243</v>
      </c>
      <c r="N21" s="75">
        <f t="shared" si="4"/>
        <v>-2961</v>
      </c>
      <c r="O21" s="75">
        <f t="shared" si="5"/>
        <v>-230.96723868954757</v>
      </c>
      <c r="P21" s="75">
        <f>VLOOKUP($A21,'Data Vlaue (Cr)'!$C:$FB,119)</f>
        <v>0.9</v>
      </c>
      <c r="Q21" s="75">
        <f>VLOOKUP($A21,'Data Vlaue (Cr)'!$C:$FB,122)*100</f>
        <v>2.27</v>
      </c>
      <c r="R21" s="75">
        <f>VLOOKUP($A21,'Data Vlaue (Cr)'!$C:$FB,125)</f>
        <v>0.57999999999999996</v>
      </c>
      <c r="S21" s="75">
        <f>VLOOKUP($A21,'Data Vlaue (Cr)'!$C:$FB,128)*100</f>
        <v>48.72</v>
      </c>
    </row>
    <row r="22" spans="1:19" x14ac:dyDescent="0.25">
      <c r="A22" s="96" t="str">
        <f>'Data Vlaue (Cr)'!C13</f>
        <v>APLAPOLLO</v>
      </c>
      <c r="B22" s="75">
        <f>VLOOKUP($A22,'Data Vlaue (Cr)'!$C:$FB,2)</f>
        <v>350</v>
      </c>
      <c r="C22" s="75">
        <f>VLOOKUP($A22,'Data Vlaue (Cr)'!$C:$FB,8)</f>
        <v>2280.8000000000002</v>
      </c>
      <c r="D22" s="75">
        <f>VLOOKUP($A22,'Data Vlaue (Cr)'!$C:$FB,4)</f>
        <v>2281.6999999999998</v>
      </c>
      <c r="E22" s="75">
        <f>VLOOKUP($A22,'Data Vlaue (Cr)'!$C:$FB,5)</f>
        <v>2239.6999999999998</v>
      </c>
      <c r="F22" s="75">
        <f t="shared" si="0"/>
        <v>0.8999999999996362</v>
      </c>
      <c r="G22" s="75">
        <f t="shared" si="1"/>
        <v>1.8407327869570933</v>
      </c>
      <c r="H22" s="75">
        <f>VLOOKUP($A22,'Data Vlaue (Cr)'!$C:$FB,99)</f>
        <v>2546</v>
      </c>
      <c r="I22" s="75">
        <f>VLOOKUP($A22,'Data Vlaue (Cr)'!$C:$FB,100)</f>
        <v>2544</v>
      </c>
      <c r="J22" s="75">
        <f t="shared" si="2"/>
        <v>2</v>
      </c>
      <c r="K22" s="75">
        <f t="shared" si="3"/>
        <v>7.8554595443833475E-2</v>
      </c>
      <c r="L22" s="75">
        <f>VLOOKUP($A22,'Data Vlaue (Cr)'!$C:$FB,67)</f>
        <v>1057</v>
      </c>
      <c r="M22" s="75">
        <f>VLOOKUP($A22,'Data Vlaue (Cr)'!$C:$FB,68)</f>
        <v>886</v>
      </c>
      <c r="N22" s="75">
        <f t="shared" si="4"/>
        <v>171</v>
      </c>
      <c r="O22" s="75">
        <f t="shared" si="5"/>
        <v>16.177861873226114</v>
      </c>
      <c r="P22" s="75">
        <f>VLOOKUP($A22,'Data Vlaue (Cr)'!$C:$FB,119)</f>
        <v>1.56</v>
      </c>
      <c r="Q22" s="75">
        <f>VLOOKUP($A22,'Data Vlaue (Cr)'!$C:$FB,122)*100</f>
        <v>6.12</v>
      </c>
      <c r="R22" s="75">
        <f>VLOOKUP($A22,'Data Vlaue (Cr)'!$C:$FB,125)</f>
        <v>0.71</v>
      </c>
      <c r="S22" s="75">
        <f>VLOOKUP($A22,'Data Vlaue (Cr)'!$C:$FB,128)*100</f>
        <v>1.43</v>
      </c>
    </row>
    <row r="23" spans="1:19" x14ac:dyDescent="0.25">
      <c r="A23" s="96" t="str">
        <f>'Data Vlaue (Cr)'!C14</f>
        <v>APOLLOHOSP</v>
      </c>
      <c r="B23" s="75">
        <f>VLOOKUP($A23,'Data Vlaue (Cr)'!$C:$FB,2)</f>
        <v>125</v>
      </c>
      <c r="C23" s="75">
        <f>VLOOKUP($A23,'Data Vlaue (Cr)'!$C:$FB,8)</f>
        <v>7507</v>
      </c>
      <c r="D23" s="75">
        <f>VLOOKUP($A23,'Data Vlaue (Cr)'!$C:$FB,4)</f>
        <v>7520.5</v>
      </c>
      <c r="E23" s="75">
        <f>VLOOKUP($A23,'Data Vlaue (Cr)'!$C:$FB,5)</f>
        <v>7213.5</v>
      </c>
      <c r="F23" s="75">
        <f t="shared" si="0"/>
        <v>13.5</v>
      </c>
      <c r="G23" s="75">
        <f t="shared" si="1"/>
        <v>4.0821753872747824</v>
      </c>
      <c r="H23" s="75">
        <f>VLOOKUP($A23,'Data Vlaue (Cr)'!$C:$FB,99)</f>
        <v>5790</v>
      </c>
      <c r="I23" s="75">
        <f>VLOOKUP($A23,'Data Vlaue (Cr)'!$C:$FB,100)</f>
        <v>5121</v>
      </c>
      <c r="J23" s="75">
        <f t="shared" si="2"/>
        <v>669</v>
      </c>
      <c r="K23" s="75">
        <f t="shared" si="3"/>
        <v>11.55440414507772</v>
      </c>
      <c r="L23" s="75">
        <f>VLOOKUP($A23,'Data Vlaue (Cr)'!$C:$FB,67)</f>
        <v>23337</v>
      </c>
      <c r="M23" s="75">
        <f>VLOOKUP($A23,'Data Vlaue (Cr)'!$C:$FB,68)</f>
        <v>4936</v>
      </c>
      <c r="N23" s="75">
        <f t="shared" si="4"/>
        <v>18401</v>
      </c>
      <c r="O23" s="75">
        <f t="shared" si="5"/>
        <v>78.849038008312974</v>
      </c>
      <c r="P23" s="75">
        <f>VLOOKUP($A23,'Data Vlaue (Cr)'!$C:$FB,119)</f>
        <v>0.75</v>
      </c>
      <c r="Q23" s="75">
        <f>VLOOKUP($A23,'Data Vlaue (Cr)'!$C:$FB,122)*100</f>
        <v>8.6999999999999993</v>
      </c>
      <c r="R23" s="75">
        <f>VLOOKUP($A23,'Data Vlaue (Cr)'!$C:$FB,125)</f>
        <v>0.42</v>
      </c>
      <c r="S23" s="75">
        <f>VLOOKUP($A23,'Data Vlaue (Cr)'!$C:$FB,128)*100</f>
        <v>10.530000000000001</v>
      </c>
    </row>
    <row r="24" spans="1:19" x14ac:dyDescent="0.25">
      <c r="A24" s="96" t="str">
        <f>'Data Vlaue (Cr)'!C15</f>
        <v>ASHOKLEY</v>
      </c>
      <c r="B24" s="75">
        <f>VLOOKUP($A24,'Data Vlaue (Cr)'!$C:$FB,2)</f>
        <v>5000</v>
      </c>
      <c r="C24" s="75">
        <f>VLOOKUP($A24,'Data Vlaue (Cr)'!$C:$FB,8)</f>
        <v>206.35</v>
      </c>
      <c r="D24" s="75">
        <f>VLOOKUP($A24,'Data Vlaue (Cr)'!$C:$FB,4)</f>
        <v>206.25</v>
      </c>
      <c r="E24" s="75">
        <f>VLOOKUP($A24,'Data Vlaue (Cr)'!$C:$FB,5)</f>
        <v>208.47</v>
      </c>
      <c r="F24" s="75">
        <f t="shared" si="0"/>
        <v>-9.9999999999994316E-2</v>
      </c>
      <c r="G24" s="75">
        <f t="shared" si="1"/>
        <v>-1.076363636363636</v>
      </c>
      <c r="H24" s="75">
        <f>VLOOKUP($A24,'Data Vlaue (Cr)'!$C:$FB,99)</f>
        <v>6718</v>
      </c>
      <c r="I24" s="75">
        <f>VLOOKUP($A24,'Data Vlaue (Cr)'!$C:$FB,100)</f>
        <v>5439</v>
      </c>
      <c r="J24" s="75">
        <f t="shared" si="2"/>
        <v>1279</v>
      </c>
      <c r="K24" s="75">
        <f t="shared" si="3"/>
        <v>19.038404286990176</v>
      </c>
      <c r="L24" s="75">
        <f>VLOOKUP($A24,'Data Vlaue (Cr)'!$C:$FB,67)</f>
        <v>21566</v>
      </c>
      <c r="M24" s="75">
        <f>VLOOKUP($A24,'Data Vlaue (Cr)'!$C:$FB,68)</f>
        <v>3941</v>
      </c>
      <c r="N24" s="75">
        <f t="shared" si="4"/>
        <v>17625</v>
      </c>
      <c r="O24" s="75">
        <f t="shared" si="5"/>
        <v>81.72586478716498</v>
      </c>
      <c r="P24" s="75">
        <f>VLOOKUP($A24,'Data Vlaue (Cr)'!$C:$FB,119)</f>
        <v>0.63</v>
      </c>
      <c r="Q24" s="75">
        <f>VLOOKUP($A24,'Data Vlaue (Cr)'!$C:$FB,122)*100</f>
        <v>-11.27</v>
      </c>
      <c r="R24" s="75">
        <f>VLOOKUP($A24,'Data Vlaue (Cr)'!$C:$FB,125)</f>
        <v>0.5</v>
      </c>
      <c r="S24" s="75">
        <f>VLOOKUP($A24,'Data Vlaue (Cr)'!$C:$FB,128)*100</f>
        <v>56.25</v>
      </c>
    </row>
    <row r="25" spans="1:19" x14ac:dyDescent="0.25">
      <c r="A25" s="96" t="str">
        <f>'Data Vlaue (Cr)'!C16</f>
        <v>ASIANPAINT</v>
      </c>
      <c r="B25" s="75">
        <f>VLOOKUP($A25,'Data Vlaue (Cr)'!$C:$FB,2)</f>
        <v>250</v>
      </c>
      <c r="C25" s="75">
        <f>VLOOKUP($A25,'Data Vlaue (Cr)'!$C:$FB,8)</f>
        <v>2392.5</v>
      </c>
      <c r="D25" s="75">
        <f>VLOOKUP($A25,'Data Vlaue (Cr)'!$C:$FB,4)</f>
        <v>2401.5</v>
      </c>
      <c r="E25" s="75">
        <f>VLOOKUP($A25,'Data Vlaue (Cr)'!$C:$FB,5)</f>
        <v>2401.8000000000002</v>
      </c>
      <c r="F25" s="75">
        <f t="shared" si="0"/>
        <v>9</v>
      </c>
      <c r="G25" s="75">
        <f t="shared" si="1"/>
        <v>-1.2492192379770225E-2</v>
      </c>
      <c r="H25" s="75">
        <f>VLOOKUP($A25,'Data Vlaue (Cr)'!$C:$FB,99)</f>
        <v>7113</v>
      </c>
      <c r="I25" s="75">
        <f>VLOOKUP($A25,'Data Vlaue (Cr)'!$C:$FB,100)</f>
        <v>6836</v>
      </c>
      <c r="J25" s="75">
        <f t="shared" si="2"/>
        <v>277</v>
      </c>
      <c r="K25" s="75">
        <f t="shared" si="3"/>
        <v>3.8942780823843663</v>
      </c>
      <c r="L25" s="75">
        <f>VLOOKUP($A25,'Data Vlaue (Cr)'!$C:$FB,67)</f>
        <v>3765</v>
      </c>
      <c r="M25" s="75">
        <f>VLOOKUP($A25,'Data Vlaue (Cr)'!$C:$FB,68)</f>
        <v>3550</v>
      </c>
      <c r="N25" s="75">
        <f t="shared" si="4"/>
        <v>215</v>
      </c>
      <c r="O25" s="75">
        <f t="shared" si="5"/>
        <v>5.7104913678618852</v>
      </c>
      <c r="P25" s="75">
        <f>VLOOKUP($A25,'Data Vlaue (Cr)'!$C:$FB,119)</f>
        <v>0.49</v>
      </c>
      <c r="Q25" s="75">
        <f>VLOOKUP($A25,'Data Vlaue (Cr)'!$C:$FB,122)*100</f>
        <v>0</v>
      </c>
      <c r="R25" s="75">
        <f>VLOOKUP($A25,'Data Vlaue (Cr)'!$C:$FB,125)</f>
        <v>0.41</v>
      </c>
      <c r="S25" s="75">
        <f>VLOOKUP($A25,'Data Vlaue (Cr)'!$C:$FB,128)*100</f>
        <v>-2.3800000000000003</v>
      </c>
    </row>
    <row r="26" spans="1:19" x14ac:dyDescent="0.25">
      <c r="A26" s="96" t="str">
        <f>'Data Vlaue (Cr)'!C17</f>
        <v>ASTRAL</v>
      </c>
      <c r="B26" s="75">
        <f>VLOOKUP($A26,'Data Vlaue (Cr)'!$C:$FB,2)</f>
        <v>425</v>
      </c>
      <c r="C26" s="75">
        <f>VLOOKUP($A26,'Data Vlaue (Cr)'!$C:$FB,8)</f>
        <v>1592.1</v>
      </c>
      <c r="D26" s="75">
        <f>VLOOKUP($A26,'Data Vlaue (Cr)'!$C:$FB,4)</f>
        <v>1591.2</v>
      </c>
      <c r="E26" s="75">
        <f>VLOOKUP($A26,'Data Vlaue (Cr)'!$C:$FB,5)</f>
        <v>1537</v>
      </c>
      <c r="F26" s="75">
        <f t="shared" si="0"/>
        <v>-0.89999999999986358</v>
      </c>
      <c r="G26" s="75">
        <f t="shared" si="1"/>
        <v>3.4062342885872323</v>
      </c>
      <c r="H26" s="75">
        <f>VLOOKUP($A26,'Data Vlaue (Cr)'!$C:$FB,99)</f>
        <v>2310</v>
      </c>
      <c r="I26" s="75">
        <f>VLOOKUP($A26,'Data Vlaue (Cr)'!$C:$FB,100)</f>
        <v>2205</v>
      </c>
      <c r="J26" s="75">
        <f t="shared" si="2"/>
        <v>105</v>
      </c>
      <c r="K26" s="75">
        <f t="shared" si="3"/>
        <v>4.5454545454545459</v>
      </c>
      <c r="L26" s="75">
        <f>VLOOKUP($A26,'Data Vlaue (Cr)'!$C:$FB,67)</f>
        <v>4267</v>
      </c>
      <c r="M26" s="75">
        <f>VLOOKUP($A26,'Data Vlaue (Cr)'!$C:$FB,68)</f>
        <v>3067</v>
      </c>
      <c r="N26" s="75">
        <f t="shared" si="4"/>
        <v>1200</v>
      </c>
      <c r="O26" s="75">
        <f t="shared" si="5"/>
        <v>28.122802906022965</v>
      </c>
      <c r="P26" s="75">
        <f>VLOOKUP($A26,'Data Vlaue (Cr)'!$C:$FB,119)</f>
        <v>0.56999999999999995</v>
      </c>
      <c r="Q26" s="75">
        <f>VLOOKUP($A26,'Data Vlaue (Cr)'!$C:$FB,122)*100</f>
        <v>9.6199999999999992</v>
      </c>
      <c r="R26" s="75">
        <f>VLOOKUP($A26,'Data Vlaue (Cr)'!$C:$FB,125)</f>
        <v>0.28000000000000003</v>
      </c>
      <c r="S26" s="75">
        <f>VLOOKUP($A26,'Data Vlaue (Cr)'!$C:$FB,128)*100</f>
        <v>0</v>
      </c>
    </row>
    <row r="27" spans="1:19" x14ac:dyDescent="0.25">
      <c r="A27" s="96" t="str">
        <f>'Data Vlaue (Cr)'!C18</f>
        <v>AUBANK</v>
      </c>
      <c r="B27" s="75">
        <f>VLOOKUP($A27,'Data Vlaue (Cr)'!$C:$FB,2)</f>
        <v>1000</v>
      </c>
      <c r="C27" s="75">
        <f>VLOOKUP($A27,'Data Vlaue (Cr)'!$C:$FB,8)</f>
        <v>990.25</v>
      </c>
      <c r="D27" s="75">
        <f>VLOOKUP($A27,'Data Vlaue (Cr)'!$C:$FB,4)</f>
        <v>990.95</v>
      </c>
      <c r="E27" s="75">
        <f>VLOOKUP($A27,'Data Vlaue (Cr)'!$C:$FB,5)</f>
        <v>1001.9</v>
      </c>
      <c r="F27" s="75">
        <f t="shared" si="0"/>
        <v>0.70000000000004547</v>
      </c>
      <c r="G27" s="75">
        <f t="shared" si="1"/>
        <v>-1.1050002522831557</v>
      </c>
      <c r="H27" s="75">
        <f>VLOOKUP($A27,'Data Vlaue (Cr)'!$C:$FB,99)</f>
        <v>3059</v>
      </c>
      <c r="I27" s="75">
        <f>VLOOKUP($A27,'Data Vlaue (Cr)'!$C:$FB,100)</f>
        <v>3028</v>
      </c>
      <c r="J27" s="75">
        <f t="shared" si="2"/>
        <v>31</v>
      </c>
      <c r="K27" s="75">
        <f t="shared" si="3"/>
        <v>1.0134030728996404</v>
      </c>
      <c r="L27" s="75">
        <f>VLOOKUP($A27,'Data Vlaue (Cr)'!$C:$FB,67)</f>
        <v>1362</v>
      </c>
      <c r="M27" s="75">
        <f>VLOOKUP($A27,'Data Vlaue (Cr)'!$C:$FB,68)</f>
        <v>1362</v>
      </c>
      <c r="N27" s="75">
        <f t="shared" si="4"/>
        <v>0</v>
      </c>
      <c r="O27" s="75">
        <f t="shared" si="5"/>
        <v>0</v>
      </c>
      <c r="P27" s="75">
        <f>VLOOKUP($A27,'Data Vlaue (Cr)'!$C:$FB,119)</f>
        <v>0.75</v>
      </c>
      <c r="Q27" s="75">
        <f>VLOOKUP($A27,'Data Vlaue (Cr)'!$C:$FB,122)*100</f>
        <v>-6.25</v>
      </c>
      <c r="R27" s="75">
        <f>VLOOKUP($A27,'Data Vlaue (Cr)'!$C:$FB,125)</f>
        <v>0.51</v>
      </c>
      <c r="S27" s="75">
        <f>VLOOKUP($A27,'Data Vlaue (Cr)'!$C:$FB,128)*100</f>
        <v>-10.530000000000001</v>
      </c>
    </row>
    <row r="28" spans="1:19" x14ac:dyDescent="0.25">
      <c r="A28" s="96" t="str">
        <f>'Data Vlaue (Cr)'!C19</f>
        <v>AUROPHARMA</v>
      </c>
      <c r="B28" s="75">
        <f>VLOOKUP($A28,'Data Vlaue (Cr)'!$C:$FB,2)</f>
        <v>550</v>
      </c>
      <c r="C28" s="75">
        <f>VLOOKUP($A28,'Data Vlaue (Cr)'!$C:$FB,8)</f>
        <v>1146.5999999999999</v>
      </c>
      <c r="D28" s="75">
        <f>VLOOKUP($A28,'Data Vlaue (Cr)'!$C:$FB,4)</f>
        <v>1149.7</v>
      </c>
      <c r="E28" s="75">
        <f>VLOOKUP($A28,'Data Vlaue (Cr)'!$C:$FB,5)</f>
        <v>1126.5999999999999</v>
      </c>
      <c r="F28" s="75">
        <f t="shared" si="0"/>
        <v>3.1000000000001364</v>
      </c>
      <c r="G28" s="75">
        <f t="shared" si="1"/>
        <v>2.0092197964686558</v>
      </c>
      <c r="H28" s="75">
        <f>VLOOKUP($A28,'Data Vlaue (Cr)'!$C:$FB,99)</f>
        <v>4483</v>
      </c>
      <c r="I28" s="75">
        <f>VLOOKUP($A28,'Data Vlaue (Cr)'!$C:$FB,100)</f>
        <v>4518</v>
      </c>
      <c r="J28" s="75">
        <f t="shared" si="2"/>
        <v>-35</v>
      </c>
      <c r="K28" s="75">
        <f t="shared" si="3"/>
        <v>-0.78072719161275927</v>
      </c>
      <c r="L28" s="75">
        <f>VLOOKUP($A28,'Data Vlaue (Cr)'!$C:$FB,67)</f>
        <v>7258</v>
      </c>
      <c r="M28" s="75">
        <f>VLOOKUP($A28,'Data Vlaue (Cr)'!$C:$FB,68)</f>
        <v>13277</v>
      </c>
      <c r="N28" s="75">
        <f t="shared" si="4"/>
        <v>-6019</v>
      </c>
      <c r="O28" s="75">
        <f t="shared" si="5"/>
        <v>-82.929181592725271</v>
      </c>
      <c r="P28" s="75">
        <f>VLOOKUP($A28,'Data Vlaue (Cr)'!$C:$FB,119)</f>
        <v>0.64</v>
      </c>
      <c r="Q28" s="75">
        <f>VLOOKUP($A28,'Data Vlaue (Cr)'!$C:$FB,122)*100</f>
        <v>16.36</v>
      </c>
      <c r="R28" s="75">
        <f>VLOOKUP($A28,'Data Vlaue (Cr)'!$C:$FB,125)</f>
        <v>0.49</v>
      </c>
      <c r="S28" s="75">
        <f>VLOOKUP($A28,'Data Vlaue (Cr)'!$C:$FB,128)*100</f>
        <v>-34.67</v>
      </c>
    </row>
    <row r="29" spans="1:19" x14ac:dyDescent="0.25">
      <c r="A29" s="96" t="str">
        <f>'Data Vlaue (Cr)'!C20</f>
        <v>AXISBANK</v>
      </c>
      <c r="B29" s="75">
        <f>VLOOKUP($A29,'Data Vlaue (Cr)'!$C:$FB,2)</f>
        <v>625</v>
      </c>
      <c r="C29" s="75">
        <f>VLOOKUP($A29,'Data Vlaue (Cr)'!$C:$FB,8)</f>
        <v>1347.3</v>
      </c>
      <c r="D29" s="75">
        <f>VLOOKUP($A29,'Data Vlaue (Cr)'!$C:$FB,4)</f>
        <v>1348</v>
      </c>
      <c r="E29" s="75">
        <f>VLOOKUP($A29,'Data Vlaue (Cr)'!$C:$FB,5)</f>
        <v>1357.2</v>
      </c>
      <c r="F29" s="75">
        <f t="shared" si="0"/>
        <v>0.70000000000004547</v>
      </c>
      <c r="G29" s="75">
        <f t="shared" si="1"/>
        <v>-0.68249258160237725</v>
      </c>
      <c r="H29" s="75">
        <f>VLOOKUP($A29,'Data Vlaue (Cr)'!$C:$FB,99)</f>
        <v>14843</v>
      </c>
      <c r="I29" s="75">
        <f>VLOOKUP($A29,'Data Vlaue (Cr)'!$C:$FB,100)</f>
        <v>14858</v>
      </c>
      <c r="J29" s="75">
        <f t="shared" si="2"/>
        <v>-15</v>
      </c>
      <c r="K29" s="75">
        <f t="shared" si="3"/>
        <v>-0.10105773765411305</v>
      </c>
      <c r="L29" s="75">
        <f>VLOOKUP($A29,'Data Vlaue (Cr)'!$C:$FB,67)</f>
        <v>4756</v>
      </c>
      <c r="M29" s="75">
        <f>VLOOKUP($A29,'Data Vlaue (Cr)'!$C:$FB,68)</f>
        <v>7936</v>
      </c>
      <c r="N29" s="75">
        <f t="shared" si="4"/>
        <v>-3180</v>
      </c>
      <c r="O29" s="75">
        <f t="shared" si="5"/>
        <v>-66.862910008410424</v>
      </c>
      <c r="P29" s="75">
        <f>VLOOKUP($A29,'Data Vlaue (Cr)'!$C:$FB,119)</f>
        <v>0.5</v>
      </c>
      <c r="Q29" s="75">
        <f>VLOOKUP($A29,'Data Vlaue (Cr)'!$C:$FB,122)*100</f>
        <v>-5.66</v>
      </c>
      <c r="R29" s="75">
        <f>VLOOKUP($A29,'Data Vlaue (Cr)'!$C:$FB,125)</f>
        <v>0.73</v>
      </c>
      <c r="S29" s="75">
        <f>VLOOKUP($A29,'Data Vlaue (Cr)'!$C:$FB,128)*100</f>
        <v>37.74</v>
      </c>
    </row>
    <row r="30" spans="1:19" x14ac:dyDescent="0.25">
      <c r="A30" s="96" t="str">
        <f>'Data Vlaue (Cr)'!C21</f>
        <v>BAJAJ-AUTO</v>
      </c>
      <c r="B30" s="75">
        <f>VLOOKUP($A30,'Data Vlaue (Cr)'!$C:$FB,2)</f>
        <v>75</v>
      </c>
      <c r="C30" s="75">
        <f>VLOOKUP($A30,'Data Vlaue (Cr)'!$C:$FB,8)</f>
        <v>9869.5</v>
      </c>
      <c r="D30" s="75">
        <f>VLOOKUP($A30,'Data Vlaue (Cr)'!$C:$FB,4)</f>
        <v>9869.5</v>
      </c>
      <c r="E30" s="75">
        <f>VLOOKUP($A30,'Data Vlaue (Cr)'!$C:$FB,5)</f>
        <v>9805</v>
      </c>
      <c r="F30" s="75">
        <f t="shared" si="0"/>
        <v>0</v>
      </c>
      <c r="G30" s="75">
        <f t="shared" si="1"/>
        <v>0.6535285475454683</v>
      </c>
      <c r="H30" s="75">
        <f>VLOOKUP($A30,'Data Vlaue (Cr)'!$C:$FB,99)</f>
        <v>5447</v>
      </c>
      <c r="I30" s="75">
        <f>VLOOKUP($A30,'Data Vlaue (Cr)'!$C:$FB,100)</f>
        <v>5310</v>
      </c>
      <c r="J30" s="75">
        <f t="shared" si="2"/>
        <v>137</v>
      </c>
      <c r="K30" s="75">
        <f t="shared" si="3"/>
        <v>2.5151459519001285</v>
      </c>
      <c r="L30" s="75">
        <f>VLOOKUP($A30,'Data Vlaue (Cr)'!$C:$FB,67)</f>
        <v>5117</v>
      </c>
      <c r="M30" s="75">
        <f>VLOOKUP($A30,'Data Vlaue (Cr)'!$C:$FB,68)</f>
        <v>8785</v>
      </c>
      <c r="N30" s="75">
        <f t="shared" si="4"/>
        <v>-3668</v>
      </c>
      <c r="O30" s="75">
        <f t="shared" si="5"/>
        <v>-71.682626538987691</v>
      </c>
      <c r="P30" s="75">
        <f>VLOOKUP($A30,'Data Vlaue (Cr)'!$C:$FB,119)</f>
        <v>0.7</v>
      </c>
      <c r="Q30" s="75">
        <f>VLOOKUP($A30,'Data Vlaue (Cr)'!$C:$FB,122)*100</f>
        <v>2.94</v>
      </c>
      <c r="R30" s="75">
        <f>VLOOKUP($A30,'Data Vlaue (Cr)'!$C:$FB,125)</f>
        <v>0.4</v>
      </c>
      <c r="S30" s="75">
        <f>VLOOKUP($A30,'Data Vlaue (Cr)'!$C:$FB,128)*100</f>
        <v>14.29</v>
      </c>
    </row>
    <row r="31" spans="1:19" x14ac:dyDescent="0.25">
      <c r="A31" s="96" t="str">
        <f>'Data Vlaue (Cr)'!C22</f>
        <v>BAJAJFINSV</v>
      </c>
      <c r="B31" s="75">
        <f>VLOOKUP($A31,'Data Vlaue (Cr)'!$C:$FB,2)</f>
        <v>250</v>
      </c>
      <c r="C31" s="75">
        <f>VLOOKUP($A31,'Data Vlaue (Cr)'!$C:$FB,8)</f>
        <v>2027</v>
      </c>
      <c r="D31" s="75">
        <f>VLOOKUP($A31,'Data Vlaue (Cr)'!$C:$FB,4)</f>
        <v>2028.5</v>
      </c>
      <c r="E31" s="75">
        <f>VLOOKUP($A31,'Data Vlaue (Cr)'!$C:$FB,5)</f>
        <v>2029.4</v>
      </c>
      <c r="F31" s="75">
        <f t="shared" si="0"/>
        <v>1.5</v>
      </c>
      <c r="G31" s="75">
        <f t="shared" si="1"/>
        <v>-4.436775942815336E-2</v>
      </c>
      <c r="H31" s="75">
        <f>VLOOKUP($A31,'Data Vlaue (Cr)'!$C:$FB,99)</f>
        <v>4574</v>
      </c>
      <c r="I31" s="75">
        <f>VLOOKUP($A31,'Data Vlaue (Cr)'!$C:$FB,100)</f>
        <v>4583</v>
      </c>
      <c r="J31" s="75">
        <f t="shared" si="2"/>
        <v>-9</v>
      </c>
      <c r="K31" s="75">
        <f t="shared" si="3"/>
        <v>-0.19676432006996064</v>
      </c>
      <c r="L31" s="75">
        <f>VLOOKUP($A31,'Data Vlaue (Cr)'!$C:$FB,67)</f>
        <v>2263</v>
      </c>
      <c r="M31" s="75">
        <f>VLOOKUP($A31,'Data Vlaue (Cr)'!$C:$FB,68)</f>
        <v>1447</v>
      </c>
      <c r="N31" s="75">
        <f t="shared" si="4"/>
        <v>816</v>
      </c>
      <c r="O31" s="75">
        <f t="shared" si="5"/>
        <v>36.058329650905883</v>
      </c>
      <c r="P31" s="75">
        <f>VLOOKUP($A31,'Data Vlaue (Cr)'!$C:$FB,119)</f>
        <v>0.66</v>
      </c>
      <c r="Q31" s="75">
        <f>VLOOKUP($A31,'Data Vlaue (Cr)'!$C:$FB,122)*100</f>
        <v>-1.49</v>
      </c>
      <c r="R31" s="75">
        <f>VLOOKUP($A31,'Data Vlaue (Cr)'!$C:$FB,125)</f>
        <v>0.38</v>
      </c>
      <c r="S31" s="75">
        <f>VLOOKUP($A31,'Data Vlaue (Cr)'!$C:$FB,128)*100</f>
        <v>-36.67</v>
      </c>
    </row>
    <row r="32" spans="1:19" x14ac:dyDescent="0.25">
      <c r="A32" s="96" t="str">
        <f>'Data Vlaue (Cr)'!C23</f>
        <v>BAJAJHLDNG</v>
      </c>
      <c r="B32" s="75">
        <f>VLOOKUP($A32,'Data Vlaue (Cr)'!$C:$FB,2)</f>
        <v>50</v>
      </c>
      <c r="C32" s="75">
        <f>VLOOKUP($A32,'Data Vlaue (Cr)'!$C:$FB,8)</f>
        <v>11111</v>
      </c>
      <c r="D32" s="75">
        <f>VLOOKUP($A32,'Data Vlaue (Cr)'!$C:$FB,4)</f>
        <v>11120</v>
      </c>
      <c r="E32" s="75">
        <f>VLOOKUP($A32,'Data Vlaue (Cr)'!$C:$FB,5)</f>
        <v>11118</v>
      </c>
      <c r="F32" s="75">
        <f t="shared" si="0"/>
        <v>9</v>
      </c>
      <c r="G32" s="75">
        <f t="shared" si="1"/>
        <v>1.7985611510791366E-2</v>
      </c>
      <c r="H32" s="75">
        <f>VLOOKUP($A32,'Data Vlaue (Cr)'!$C:$FB,99)</f>
        <v>487</v>
      </c>
      <c r="I32" s="75">
        <f>VLOOKUP($A32,'Data Vlaue (Cr)'!$C:$FB,100)</f>
        <v>488</v>
      </c>
      <c r="J32" s="75">
        <f t="shared" si="2"/>
        <v>-1</v>
      </c>
      <c r="K32" s="75">
        <f t="shared" si="3"/>
        <v>-0.20533880903490762</v>
      </c>
      <c r="L32" s="75">
        <f>VLOOKUP($A32,'Data Vlaue (Cr)'!$C:$FB,67)</f>
        <v>173</v>
      </c>
      <c r="M32" s="75">
        <f>VLOOKUP($A32,'Data Vlaue (Cr)'!$C:$FB,68)</f>
        <v>182</v>
      </c>
      <c r="N32" s="75">
        <f t="shared" si="4"/>
        <v>-9</v>
      </c>
      <c r="O32" s="75">
        <f t="shared" si="5"/>
        <v>-5.202312138728324</v>
      </c>
      <c r="P32" s="75">
        <f>VLOOKUP($A32,'Data Vlaue (Cr)'!$C:$FB,119)</f>
        <v>0.39</v>
      </c>
      <c r="Q32" s="75">
        <f>VLOOKUP($A32,'Data Vlaue (Cr)'!$C:$FB,122)*100</f>
        <v>0</v>
      </c>
      <c r="R32" s="75">
        <f>VLOOKUP($A32,'Data Vlaue (Cr)'!$C:$FB,125)</f>
        <v>7.0000000000000007E-2</v>
      </c>
      <c r="S32" s="75">
        <f>VLOOKUP($A32,'Data Vlaue (Cr)'!$C:$FB,128)*100</f>
        <v>-22.220000000000002</v>
      </c>
    </row>
    <row r="33" spans="1:19" x14ac:dyDescent="0.25">
      <c r="A33" s="96" t="str">
        <f>'Data Vlaue (Cr)'!C24</f>
        <v>BAJFINANCE</v>
      </c>
      <c r="B33" s="75">
        <f>VLOOKUP($A33,'Data Vlaue (Cr)'!$C:$FB,2)</f>
        <v>750</v>
      </c>
      <c r="C33" s="75">
        <f>VLOOKUP($A33,'Data Vlaue (Cr)'!$C:$FB,8)</f>
        <v>968.95</v>
      </c>
      <c r="D33" s="75">
        <f>VLOOKUP($A33,'Data Vlaue (Cr)'!$C:$FB,4)</f>
        <v>969.35</v>
      </c>
      <c r="E33" s="75">
        <f>VLOOKUP($A33,'Data Vlaue (Cr)'!$C:$FB,5)</f>
        <v>968.5</v>
      </c>
      <c r="F33" s="75">
        <f t="shared" si="0"/>
        <v>0.39999999999997726</v>
      </c>
      <c r="G33" s="75">
        <f t="shared" si="1"/>
        <v>8.7687625728583352E-2</v>
      </c>
      <c r="H33" s="75">
        <f>VLOOKUP($A33,'Data Vlaue (Cr)'!$C:$FB,99)</f>
        <v>11997</v>
      </c>
      <c r="I33" s="75">
        <f>VLOOKUP($A33,'Data Vlaue (Cr)'!$C:$FB,100)</f>
        <v>12128</v>
      </c>
      <c r="J33" s="75">
        <f t="shared" si="2"/>
        <v>-131</v>
      </c>
      <c r="K33" s="75">
        <f t="shared" si="3"/>
        <v>-1.0919396515795616</v>
      </c>
      <c r="L33" s="75">
        <f>VLOOKUP($A33,'Data Vlaue (Cr)'!$C:$FB,67)</f>
        <v>3595</v>
      </c>
      <c r="M33" s="75">
        <f>VLOOKUP($A33,'Data Vlaue (Cr)'!$C:$FB,68)</f>
        <v>4264</v>
      </c>
      <c r="N33" s="75">
        <f t="shared" si="4"/>
        <v>-669</v>
      </c>
      <c r="O33" s="75">
        <f t="shared" si="5"/>
        <v>-18.609179415855355</v>
      </c>
      <c r="P33" s="75">
        <f>VLOOKUP($A33,'Data Vlaue (Cr)'!$C:$FB,119)</f>
        <v>0.95</v>
      </c>
      <c r="Q33" s="75">
        <f>VLOOKUP($A33,'Data Vlaue (Cr)'!$C:$FB,122)*100</f>
        <v>-2.06</v>
      </c>
      <c r="R33" s="75">
        <f>VLOOKUP($A33,'Data Vlaue (Cr)'!$C:$FB,125)</f>
        <v>0.59</v>
      </c>
      <c r="S33" s="75">
        <f>VLOOKUP($A33,'Data Vlaue (Cr)'!$C:$FB,128)*100</f>
        <v>-14.49</v>
      </c>
    </row>
    <row r="34" spans="1:19" x14ac:dyDescent="0.25">
      <c r="A34" s="96" t="str">
        <f>'Data Vlaue (Cr)'!C25</f>
        <v>BANDHANBNK</v>
      </c>
      <c r="B34" s="75">
        <f>VLOOKUP($A34,'Data Vlaue (Cr)'!$C:$FB,2)</f>
        <v>3600</v>
      </c>
      <c r="C34" s="75">
        <f>VLOOKUP($A34,'Data Vlaue (Cr)'!$C:$FB,8)</f>
        <v>168.26</v>
      </c>
      <c r="D34" s="75">
        <f>VLOOKUP($A34,'Data Vlaue (Cr)'!$C:$FB,4)</f>
        <v>168.28</v>
      </c>
      <c r="E34" s="75">
        <f>VLOOKUP($A34,'Data Vlaue (Cr)'!$C:$FB,5)</f>
        <v>166.67</v>
      </c>
      <c r="F34" s="75">
        <f t="shared" si="0"/>
        <v>2.0000000000010232E-2</v>
      </c>
      <c r="G34" s="75">
        <f t="shared" si="1"/>
        <v>0.95673876871881014</v>
      </c>
      <c r="H34" s="180">
        <f>VLOOKUP($A34,'Data Vlaue (Cr)'!$C:$FB,99)</f>
        <v>2482</v>
      </c>
      <c r="I34" s="180">
        <f>VLOOKUP($A34,'Data Vlaue (Cr)'!$C:$FB,100)</f>
        <v>2515</v>
      </c>
      <c r="J34" s="180">
        <f t="shared" si="2"/>
        <v>-33</v>
      </c>
      <c r="K34" s="180">
        <f t="shared" si="3"/>
        <v>-1.3295729250604351</v>
      </c>
      <c r="L34" s="180">
        <f>VLOOKUP($A34,'Data Vlaue (Cr)'!$C:$FB,67)</f>
        <v>1215</v>
      </c>
      <c r="M34" s="180">
        <f>VLOOKUP($A34,'Data Vlaue (Cr)'!$C:$FB,68)</f>
        <v>1687</v>
      </c>
      <c r="N34" s="180">
        <f t="shared" si="4"/>
        <v>-472</v>
      </c>
      <c r="O34" s="180">
        <f t="shared" si="5"/>
        <v>-38.847736625514401</v>
      </c>
      <c r="P34" s="180">
        <f>VLOOKUP($A34,'Data Vlaue (Cr)'!$C:$FB,119)</f>
        <v>0.9</v>
      </c>
      <c r="Q34" s="180">
        <f>VLOOKUP($A34,'Data Vlaue (Cr)'!$C:$FB,122)*100</f>
        <v>4.6500000000000004</v>
      </c>
      <c r="R34" s="180">
        <f>VLOOKUP($A34,'Data Vlaue (Cr)'!$C:$FB,125)</f>
        <v>0.63</v>
      </c>
      <c r="S34" s="180">
        <f>VLOOKUP($A34,'Data Vlaue (Cr)'!$C:$FB,128)*100</f>
        <v>53.66</v>
      </c>
    </row>
    <row r="35" spans="1:19" x14ac:dyDescent="0.25">
      <c r="A35" s="96" t="str">
        <f>'Data Vlaue (Cr)'!C26</f>
        <v>BANKBARODA</v>
      </c>
      <c r="B35" s="75">
        <f>VLOOKUP($A35,'Data Vlaue (Cr)'!$C:$FB,2)</f>
        <v>2925</v>
      </c>
      <c r="C35" s="75">
        <f>VLOOKUP($A35,'Data Vlaue (Cr)'!$C:$FB,8)</f>
        <v>291.2</v>
      </c>
      <c r="D35" s="75">
        <f>VLOOKUP($A35,'Data Vlaue (Cr)'!$C:$FB,4)</f>
        <v>291.39999999999998</v>
      </c>
      <c r="E35" s="75">
        <f>VLOOKUP($A35,'Data Vlaue (Cr)'!$C:$FB,5)</f>
        <v>291.3</v>
      </c>
      <c r="F35" s="75">
        <f t="shared" si="0"/>
        <v>0.19999999999998863</v>
      </c>
      <c r="G35" s="75">
        <f t="shared" si="1"/>
        <v>3.4317089910763869E-2</v>
      </c>
      <c r="H35" s="75">
        <f>VLOOKUP($A35,'Data Vlaue (Cr)'!$C:$FB,99)</f>
        <v>5367</v>
      </c>
      <c r="I35" s="75">
        <f>VLOOKUP($A35,'Data Vlaue (Cr)'!$C:$FB,100)</f>
        <v>5288</v>
      </c>
      <c r="J35" s="75">
        <f t="shared" si="2"/>
        <v>79</v>
      </c>
      <c r="K35" s="75">
        <f t="shared" si="3"/>
        <v>1.4719582634618966</v>
      </c>
      <c r="L35" s="75">
        <f>VLOOKUP($A35,'Data Vlaue (Cr)'!$C:$FB,67)</f>
        <v>2943</v>
      </c>
      <c r="M35" s="75">
        <f>VLOOKUP($A35,'Data Vlaue (Cr)'!$C:$FB,68)</f>
        <v>1439</v>
      </c>
      <c r="N35" s="75">
        <f t="shared" si="4"/>
        <v>1504</v>
      </c>
      <c r="O35" s="75">
        <f t="shared" si="5"/>
        <v>51.104315324498806</v>
      </c>
      <c r="P35" s="75">
        <f>VLOOKUP($A35,'Data Vlaue (Cr)'!$C:$FB,119)</f>
        <v>0.63</v>
      </c>
      <c r="Q35" s="75">
        <f>VLOOKUP($A35,'Data Vlaue (Cr)'!$C:$FB,122)*100</f>
        <v>-1.5599999999999998</v>
      </c>
      <c r="R35" s="75">
        <f>VLOOKUP($A35,'Data Vlaue (Cr)'!$C:$FB,125)</f>
        <v>0.37</v>
      </c>
      <c r="S35" s="75">
        <f>VLOOKUP($A35,'Data Vlaue (Cr)'!$C:$FB,128)*100</f>
        <v>-24.490000000000002</v>
      </c>
    </row>
    <row r="36" spans="1:19" x14ac:dyDescent="0.25">
      <c r="A36" s="96" t="str">
        <f>'Data Vlaue (Cr)'!C27</f>
        <v>BANKINDIA</v>
      </c>
      <c r="B36" s="75">
        <f>VLOOKUP($A36,'Data Vlaue (Cr)'!$C:$FB,2)</f>
        <v>5200</v>
      </c>
      <c r="C36" s="75">
        <f>VLOOKUP($A36,'Data Vlaue (Cr)'!$C:$FB,8)</f>
        <v>167.13</v>
      </c>
      <c r="D36" s="75">
        <f>VLOOKUP($A36,'Data Vlaue (Cr)'!$C:$FB,4)</f>
        <v>167.57</v>
      </c>
      <c r="E36" s="75">
        <f>VLOOKUP($A36,'Data Vlaue (Cr)'!$C:$FB,5)</f>
        <v>167.72</v>
      </c>
      <c r="F36" s="75">
        <f t="shared" si="0"/>
        <v>0.43999999999999773</v>
      </c>
      <c r="G36" s="75">
        <f t="shared" si="1"/>
        <v>-8.9514829623444342E-2</v>
      </c>
      <c r="H36" s="75">
        <f>VLOOKUP($A36,'Data Vlaue (Cr)'!$C:$FB,99)</f>
        <v>1554</v>
      </c>
      <c r="I36" s="75">
        <f>VLOOKUP($A36,'Data Vlaue (Cr)'!$C:$FB,100)</f>
        <v>1565</v>
      </c>
      <c r="J36" s="75">
        <f t="shared" si="2"/>
        <v>-11</v>
      </c>
      <c r="K36" s="75">
        <f t="shared" si="3"/>
        <v>-0.70785070785070792</v>
      </c>
      <c r="L36" s="75">
        <f>VLOOKUP($A36,'Data Vlaue (Cr)'!$C:$FB,67)</f>
        <v>862</v>
      </c>
      <c r="M36" s="75">
        <f>VLOOKUP($A36,'Data Vlaue (Cr)'!$C:$FB,68)</f>
        <v>582</v>
      </c>
      <c r="N36" s="75">
        <f t="shared" si="4"/>
        <v>280</v>
      </c>
      <c r="O36" s="75">
        <f t="shared" si="5"/>
        <v>32.482598607888633</v>
      </c>
      <c r="P36" s="75">
        <f>VLOOKUP($A36,'Data Vlaue (Cr)'!$C:$FB,119)</f>
        <v>0.73</v>
      </c>
      <c r="Q36" s="75">
        <f>VLOOKUP($A36,'Data Vlaue (Cr)'!$C:$FB,122)*100</f>
        <v>1.39</v>
      </c>
      <c r="R36" s="75">
        <f>VLOOKUP($A36,'Data Vlaue (Cr)'!$C:$FB,125)</f>
        <v>0.54</v>
      </c>
      <c r="S36" s="75">
        <f>VLOOKUP($A36,'Data Vlaue (Cr)'!$C:$FB,128)*100</f>
        <v>-8.4699999999999989</v>
      </c>
    </row>
    <row r="37" spans="1:19" x14ac:dyDescent="0.25">
      <c r="A37" s="96" t="str">
        <f>'Data Vlaue (Cr)'!C28</f>
        <v>BANKNIFTY</v>
      </c>
      <c r="B37" s="75">
        <f>VLOOKUP($A37,'Data Vlaue (Cr)'!$C:$FB,2)</f>
        <v>30</v>
      </c>
      <c r="C37" s="75">
        <f>VLOOKUP($A37,'Data Vlaue (Cr)'!$C:$FB,8)</f>
        <v>60745.35</v>
      </c>
      <c r="D37" s="75">
        <f>VLOOKUP($A37,'Data Vlaue (Cr)'!$C:$FB,4)</f>
        <v>60809</v>
      </c>
      <c r="E37" s="75">
        <f>VLOOKUP($A37,'Data Vlaue (Cr)'!$C:$FB,5)</f>
        <v>60704</v>
      </c>
      <c r="F37" s="75">
        <f t="shared" si="0"/>
        <v>63.650000000001455</v>
      </c>
      <c r="G37" s="75">
        <f t="shared" si="1"/>
        <v>0.17267180844940716</v>
      </c>
      <c r="H37" s="75">
        <f>VLOOKUP($A37,'Data Vlaue (Cr)'!$C:$FB,99)</f>
        <v>205011</v>
      </c>
      <c r="I37" s="75">
        <f>VLOOKUP($A37,'Data Vlaue (Cr)'!$C:$FB,100)</f>
        <v>192080</v>
      </c>
      <c r="J37" s="75">
        <f t="shared" si="2"/>
        <v>12931</v>
      </c>
      <c r="K37" s="75">
        <f t="shared" si="3"/>
        <v>6.3074664286306596</v>
      </c>
      <c r="L37" s="75">
        <f>VLOOKUP($A37,'Data Vlaue (Cr)'!$C:$FB,67)</f>
        <v>420812</v>
      </c>
      <c r="M37" s="75">
        <f>VLOOKUP($A37,'Data Vlaue (Cr)'!$C:$FB,68)</f>
        <v>338239</v>
      </c>
      <c r="N37" s="75">
        <f t="shared" si="4"/>
        <v>82573</v>
      </c>
      <c r="O37" s="75">
        <f t="shared" si="5"/>
        <v>19.62230164539034</v>
      </c>
      <c r="P37" s="75">
        <f>VLOOKUP($A37,'Data Vlaue (Cr)'!$C:$FB,119)</f>
        <v>1.17</v>
      </c>
      <c r="Q37" s="75">
        <f>VLOOKUP($A37,'Data Vlaue (Cr)'!$C:$FB,122)*100</f>
        <v>11.43</v>
      </c>
      <c r="R37" s="75">
        <f>VLOOKUP($A37,'Data Vlaue (Cr)'!$C:$FB,125)</f>
        <v>1.1000000000000001</v>
      </c>
      <c r="S37" s="75">
        <f>VLOOKUP($A37,'Data Vlaue (Cr)'!$C:$FB,128)*100</f>
        <v>12.24</v>
      </c>
    </row>
    <row r="38" spans="1:19" x14ac:dyDescent="0.25">
      <c r="A38" s="96" t="str">
        <f>'Data Vlaue (Cr)'!C29</f>
        <v>BDL</v>
      </c>
      <c r="B38" s="75">
        <f>VLOOKUP($A38,'Data Vlaue (Cr)'!$C:$FB,2)</f>
        <v>350</v>
      </c>
      <c r="C38" s="75">
        <f>VLOOKUP($A38,'Data Vlaue (Cr)'!$C:$FB,8)</f>
        <v>1282.5999999999999</v>
      </c>
      <c r="D38" s="75">
        <f>VLOOKUP($A38,'Data Vlaue (Cr)'!$C:$FB,4)</f>
        <v>1285.7</v>
      </c>
      <c r="E38" s="75">
        <f>VLOOKUP($A38,'Data Vlaue (Cr)'!$C:$FB,5)</f>
        <v>1291.5</v>
      </c>
      <c r="F38" s="75">
        <f t="shared" si="0"/>
        <v>3.1000000000001364</v>
      </c>
      <c r="G38" s="75">
        <f t="shared" si="1"/>
        <v>-0.45111612351247993</v>
      </c>
      <c r="H38" s="75">
        <f>VLOOKUP($A38,'Data Vlaue (Cr)'!$C:$FB,99)</f>
        <v>2894</v>
      </c>
      <c r="I38" s="75">
        <f>VLOOKUP($A38,'Data Vlaue (Cr)'!$C:$FB,100)</f>
        <v>2906</v>
      </c>
      <c r="J38" s="75">
        <f t="shared" si="2"/>
        <v>-12</v>
      </c>
      <c r="K38" s="75">
        <f t="shared" si="3"/>
        <v>-0.414651002073255</v>
      </c>
      <c r="L38" s="75">
        <f>VLOOKUP($A38,'Data Vlaue (Cr)'!$C:$FB,67)</f>
        <v>1322</v>
      </c>
      <c r="M38" s="75">
        <f>VLOOKUP($A38,'Data Vlaue (Cr)'!$C:$FB,68)</f>
        <v>1414</v>
      </c>
      <c r="N38" s="75">
        <f t="shared" si="4"/>
        <v>-92</v>
      </c>
      <c r="O38" s="75">
        <f t="shared" si="5"/>
        <v>-6.9591527987897122</v>
      </c>
      <c r="P38" s="75">
        <f>VLOOKUP($A38,'Data Vlaue (Cr)'!$C:$FB,119)</f>
        <v>0.36</v>
      </c>
      <c r="Q38" s="75">
        <f>VLOOKUP($A38,'Data Vlaue (Cr)'!$C:$FB,122)*100</f>
        <v>0</v>
      </c>
      <c r="R38" s="75">
        <f>VLOOKUP($A38,'Data Vlaue (Cr)'!$C:$FB,125)</f>
        <v>0.22</v>
      </c>
      <c r="S38" s="75">
        <f>VLOOKUP($A38,'Data Vlaue (Cr)'!$C:$FB,128)*100</f>
        <v>-15.379999999999999</v>
      </c>
    </row>
    <row r="39" spans="1:19" x14ac:dyDescent="0.25">
      <c r="A39" s="96" t="str">
        <f>'Data Vlaue (Cr)'!C30</f>
        <v>BEL</v>
      </c>
      <c r="B39" s="75">
        <f>VLOOKUP($A39,'Data Vlaue (Cr)'!$C:$FB,2)</f>
        <v>1425</v>
      </c>
      <c r="C39" s="75">
        <f>VLOOKUP($A39,'Data Vlaue (Cr)'!$C:$FB,8)</f>
        <v>437.55</v>
      </c>
      <c r="D39" s="75">
        <f>VLOOKUP($A39,'Data Vlaue (Cr)'!$C:$FB,4)</f>
        <v>437.7</v>
      </c>
      <c r="E39" s="75">
        <f>VLOOKUP($A39,'Data Vlaue (Cr)'!$C:$FB,5)</f>
        <v>437.45</v>
      </c>
      <c r="F39" s="75">
        <f t="shared" si="0"/>
        <v>0.14999999999997726</v>
      </c>
      <c r="G39" s="75">
        <f t="shared" si="1"/>
        <v>5.7116746630111952E-2</v>
      </c>
      <c r="H39" s="75">
        <f>VLOOKUP($A39,'Data Vlaue (Cr)'!$C:$FB,99)</f>
        <v>11340</v>
      </c>
      <c r="I39" s="75">
        <f>VLOOKUP($A39,'Data Vlaue (Cr)'!$C:$FB,100)</f>
        <v>11524</v>
      </c>
      <c r="J39" s="75">
        <f t="shared" si="2"/>
        <v>-184</v>
      </c>
      <c r="K39" s="75">
        <f t="shared" si="3"/>
        <v>-1.6225749559082892</v>
      </c>
      <c r="L39" s="75">
        <f>VLOOKUP($A39,'Data Vlaue (Cr)'!$C:$FB,67)</f>
        <v>3642</v>
      </c>
      <c r="M39" s="75">
        <f>VLOOKUP($A39,'Data Vlaue (Cr)'!$C:$FB,68)</f>
        <v>5223</v>
      </c>
      <c r="N39" s="75">
        <f t="shared" si="4"/>
        <v>-1581</v>
      </c>
      <c r="O39" s="75">
        <f t="shared" si="5"/>
        <v>-43.410214168039538</v>
      </c>
      <c r="P39" s="75">
        <f>VLOOKUP($A39,'Data Vlaue (Cr)'!$C:$FB,119)</f>
        <v>0.42</v>
      </c>
      <c r="Q39" s="75">
        <f>VLOOKUP($A39,'Data Vlaue (Cr)'!$C:$FB,122)*100</f>
        <v>0</v>
      </c>
      <c r="R39" s="75">
        <f>VLOOKUP($A39,'Data Vlaue (Cr)'!$C:$FB,125)</f>
        <v>0.33</v>
      </c>
      <c r="S39" s="75">
        <f>VLOOKUP($A39,'Data Vlaue (Cr)'!$C:$FB,128)*100</f>
        <v>-8.33</v>
      </c>
    </row>
    <row r="40" spans="1:19" x14ac:dyDescent="0.25">
      <c r="A40" s="96" t="str">
        <f>'Data Vlaue (Cr)'!C31</f>
        <v>BHARATFORG</v>
      </c>
      <c r="B40" s="75">
        <f>VLOOKUP($A40,'Data Vlaue (Cr)'!$C:$FB,2)</f>
        <v>500</v>
      </c>
      <c r="C40" s="75">
        <f>VLOOKUP($A40,'Data Vlaue (Cr)'!$C:$FB,8)</f>
        <v>1676.4</v>
      </c>
      <c r="D40" s="75">
        <f>VLOOKUP($A40,'Data Vlaue (Cr)'!$C:$FB,4)</f>
        <v>1678.4</v>
      </c>
      <c r="E40" s="75">
        <f>VLOOKUP($A40,'Data Vlaue (Cr)'!$C:$FB,5)</f>
        <v>1617.4</v>
      </c>
      <c r="F40" s="75">
        <f t="shared" si="0"/>
        <v>2</v>
      </c>
      <c r="G40" s="75">
        <f t="shared" si="1"/>
        <v>3.6344137273593895</v>
      </c>
      <c r="H40" s="75">
        <f>VLOOKUP($A40,'Data Vlaue (Cr)'!$C:$FB,99)</f>
        <v>2212</v>
      </c>
      <c r="I40" s="75">
        <f>VLOOKUP($A40,'Data Vlaue (Cr)'!$C:$FB,100)</f>
        <v>2039</v>
      </c>
      <c r="J40" s="75">
        <f t="shared" si="2"/>
        <v>173</v>
      </c>
      <c r="K40" s="75">
        <f t="shared" si="3"/>
        <v>7.8209764918625675</v>
      </c>
      <c r="L40" s="75">
        <f>VLOOKUP($A40,'Data Vlaue (Cr)'!$C:$FB,67)</f>
        <v>3822</v>
      </c>
      <c r="M40" s="75">
        <f>VLOOKUP($A40,'Data Vlaue (Cr)'!$C:$FB,68)</f>
        <v>1139</v>
      </c>
      <c r="N40" s="75">
        <f t="shared" si="4"/>
        <v>2683</v>
      </c>
      <c r="O40" s="75">
        <f t="shared" si="5"/>
        <v>70.198848770277351</v>
      </c>
      <c r="P40" s="75">
        <f>VLOOKUP($A40,'Data Vlaue (Cr)'!$C:$FB,119)</f>
        <v>0.78</v>
      </c>
      <c r="Q40" s="75">
        <f>VLOOKUP($A40,'Data Vlaue (Cr)'!$C:$FB,122)*100</f>
        <v>4</v>
      </c>
      <c r="R40" s="75">
        <f>VLOOKUP($A40,'Data Vlaue (Cr)'!$C:$FB,125)</f>
        <v>0.33</v>
      </c>
      <c r="S40" s="75">
        <f>VLOOKUP($A40,'Data Vlaue (Cr)'!$C:$FB,128)*100</f>
        <v>-13.16</v>
      </c>
    </row>
    <row r="41" spans="1:19" x14ac:dyDescent="0.25">
      <c r="A41" s="96" t="str">
        <f>'Data Vlaue (Cr)'!C32</f>
        <v>BHARTIARTL</v>
      </c>
      <c r="B41" s="75">
        <f>VLOOKUP($A41,'Data Vlaue (Cr)'!$C:$FB,2)</f>
        <v>475</v>
      </c>
      <c r="C41" s="75">
        <f>VLOOKUP($A41,'Data Vlaue (Cr)'!$C:$FB,8)</f>
        <v>2012.1</v>
      </c>
      <c r="D41" s="75">
        <f>VLOOKUP($A41,'Data Vlaue (Cr)'!$C:$FB,4)</f>
        <v>2018.1</v>
      </c>
      <c r="E41" s="75">
        <f>VLOOKUP($A41,'Data Vlaue (Cr)'!$C:$FB,5)</f>
        <v>2016.9</v>
      </c>
      <c r="F41" s="75">
        <f t="shared" si="0"/>
        <v>6</v>
      </c>
      <c r="G41" s="75">
        <f t="shared" si="1"/>
        <v>5.9461870075804869E-2</v>
      </c>
      <c r="H41" s="75">
        <f>VLOOKUP($A41,'Data Vlaue (Cr)'!$C:$FB,99)</f>
        <v>15376</v>
      </c>
      <c r="I41" s="75">
        <f>VLOOKUP($A41,'Data Vlaue (Cr)'!$C:$FB,100)</f>
        <v>15064</v>
      </c>
      <c r="J41" s="75">
        <f t="shared" si="2"/>
        <v>312</v>
      </c>
      <c r="K41" s="75">
        <f t="shared" si="3"/>
        <v>2.0291363163371487</v>
      </c>
      <c r="L41" s="75">
        <f>VLOOKUP($A41,'Data Vlaue (Cr)'!$C:$FB,67)</f>
        <v>7949</v>
      </c>
      <c r="M41" s="75">
        <f>VLOOKUP($A41,'Data Vlaue (Cr)'!$C:$FB,68)</f>
        <v>7884</v>
      </c>
      <c r="N41" s="75">
        <f t="shared" si="4"/>
        <v>65</v>
      </c>
      <c r="O41" s="75">
        <f t="shared" si="5"/>
        <v>0.81771291986413375</v>
      </c>
      <c r="P41" s="75">
        <f>VLOOKUP($A41,'Data Vlaue (Cr)'!$C:$FB,119)</f>
        <v>0.5</v>
      </c>
      <c r="Q41" s="75">
        <f>VLOOKUP($A41,'Data Vlaue (Cr)'!$C:$FB,122)*100</f>
        <v>-1.96</v>
      </c>
      <c r="R41" s="75">
        <f>VLOOKUP($A41,'Data Vlaue (Cr)'!$C:$FB,125)</f>
        <v>0.56999999999999995</v>
      </c>
      <c r="S41" s="75">
        <f>VLOOKUP($A41,'Data Vlaue (Cr)'!$C:$FB,128)*100</f>
        <v>-20.830000000000002</v>
      </c>
    </row>
    <row r="42" spans="1:19" x14ac:dyDescent="0.25">
      <c r="A42" s="96" t="str">
        <f>'Data Vlaue (Cr)'!C33</f>
        <v>BHEL</v>
      </c>
      <c r="B42" s="75">
        <f>VLOOKUP($A42,'Data Vlaue (Cr)'!$C:$FB,2)</f>
        <v>2625</v>
      </c>
      <c r="C42" s="75">
        <f>VLOOKUP($A42,'Data Vlaue (Cr)'!$C:$FB,8)</f>
        <v>260.64999999999998</v>
      </c>
      <c r="D42" s="75">
        <f>VLOOKUP($A42,'Data Vlaue (Cr)'!$C:$FB,4)</f>
        <v>260.7</v>
      </c>
      <c r="E42" s="75">
        <f>VLOOKUP($A42,'Data Vlaue (Cr)'!$C:$FB,5)</f>
        <v>276.8</v>
      </c>
      <c r="F42" s="75">
        <f t="shared" si="0"/>
        <v>5.0000000000011369E-2</v>
      </c>
      <c r="G42" s="75">
        <f t="shared" si="1"/>
        <v>-6.1756808592251726</v>
      </c>
      <c r="H42" s="75">
        <f>VLOOKUP($A42,'Data Vlaue (Cr)'!$C:$FB,99)</f>
        <v>5790</v>
      </c>
      <c r="I42" s="75">
        <f>VLOOKUP($A42,'Data Vlaue (Cr)'!$C:$FB,100)</f>
        <v>3967</v>
      </c>
      <c r="J42" s="75">
        <f t="shared" si="2"/>
        <v>1823</v>
      </c>
      <c r="K42" s="75">
        <f t="shared" si="3"/>
        <v>31.4853195164076</v>
      </c>
      <c r="L42" s="75">
        <f>VLOOKUP($A42,'Data Vlaue (Cr)'!$C:$FB,67)</f>
        <v>12530</v>
      </c>
      <c r="M42" s="75">
        <f>VLOOKUP($A42,'Data Vlaue (Cr)'!$C:$FB,68)</f>
        <v>2115</v>
      </c>
      <c r="N42" s="75">
        <f t="shared" si="4"/>
        <v>10415</v>
      </c>
      <c r="O42" s="75">
        <f t="shared" si="5"/>
        <v>83.120510774142062</v>
      </c>
      <c r="P42" s="75">
        <f>VLOOKUP($A42,'Data Vlaue (Cr)'!$C:$FB,119)</f>
        <v>0.52</v>
      </c>
      <c r="Q42" s="75">
        <f>VLOOKUP($A42,'Data Vlaue (Cr)'!$C:$FB,122)*100</f>
        <v>-7.1400000000000006</v>
      </c>
      <c r="R42" s="75">
        <f>VLOOKUP($A42,'Data Vlaue (Cr)'!$C:$FB,125)</f>
        <v>0.6</v>
      </c>
      <c r="S42" s="75">
        <f>VLOOKUP($A42,'Data Vlaue (Cr)'!$C:$FB,128)*100</f>
        <v>30.43</v>
      </c>
    </row>
    <row r="43" spans="1:19" x14ac:dyDescent="0.25">
      <c r="A43" s="96" t="str">
        <f>'Data Vlaue (Cr)'!C34</f>
        <v>BIOCON</v>
      </c>
      <c r="B43" s="75">
        <f>VLOOKUP($A43,'Data Vlaue (Cr)'!$C:$FB,2)</f>
        <v>2500</v>
      </c>
      <c r="C43" s="75">
        <f>VLOOKUP($A43,'Data Vlaue (Cr)'!$C:$FB,8)</f>
        <v>375.2</v>
      </c>
      <c r="D43" s="75">
        <f>VLOOKUP($A43,'Data Vlaue (Cr)'!$C:$FB,4)</f>
        <v>376.2</v>
      </c>
      <c r="E43" s="75">
        <f>VLOOKUP($A43,'Data Vlaue (Cr)'!$C:$FB,5)</f>
        <v>372</v>
      </c>
      <c r="F43" s="75">
        <f t="shared" si="0"/>
        <v>1</v>
      </c>
      <c r="G43" s="75">
        <f t="shared" si="1"/>
        <v>1.116427432216903</v>
      </c>
      <c r="H43" s="75">
        <f>VLOOKUP($A43,'Data Vlaue (Cr)'!$C:$FB,99)</f>
        <v>3139</v>
      </c>
      <c r="I43" s="75">
        <f>VLOOKUP($A43,'Data Vlaue (Cr)'!$C:$FB,100)</f>
        <v>2980</v>
      </c>
      <c r="J43" s="75">
        <f t="shared" si="2"/>
        <v>159</v>
      </c>
      <c r="K43" s="75">
        <f t="shared" si="3"/>
        <v>5.0653074227460975</v>
      </c>
      <c r="L43" s="75">
        <f>VLOOKUP($A43,'Data Vlaue (Cr)'!$C:$FB,67)</f>
        <v>1808</v>
      </c>
      <c r="M43" s="75">
        <f>VLOOKUP($A43,'Data Vlaue (Cr)'!$C:$FB,68)</f>
        <v>1362</v>
      </c>
      <c r="N43" s="75">
        <f t="shared" si="4"/>
        <v>446</v>
      </c>
      <c r="O43" s="75">
        <f t="shared" si="5"/>
        <v>24.668141592920353</v>
      </c>
      <c r="P43" s="75">
        <f>VLOOKUP($A43,'Data Vlaue (Cr)'!$C:$FB,119)</f>
        <v>0.71</v>
      </c>
      <c r="Q43" s="75">
        <f>VLOOKUP($A43,'Data Vlaue (Cr)'!$C:$FB,122)*100</f>
        <v>-2.74</v>
      </c>
      <c r="R43" s="75">
        <f>VLOOKUP($A43,'Data Vlaue (Cr)'!$C:$FB,125)</f>
        <v>0.36</v>
      </c>
      <c r="S43" s="75">
        <f>VLOOKUP($A43,'Data Vlaue (Cr)'!$C:$FB,128)*100</f>
        <v>-18.18</v>
      </c>
    </row>
    <row r="44" spans="1:19" x14ac:dyDescent="0.25">
      <c r="A44" s="96" t="str">
        <f>'Data Vlaue (Cr)'!C35</f>
        <v>BLUESTARCO</v>
      </c>
      <c r="B44" s="75">
        <f>VLOOKUP($A44,'Data Vlaue (Cr)'!$C:$FB,2)</f>
        <v>325</v>
      </c>
      <c r="C44" s="75">
        <f>VLOOKUP($A44,'Data Vlaue (Cr)'!$C:$FB,8)</f>
        <v>1962.2</v>
      </c>
      <c r="D44" s="75">
        <f>VLOOKUP($A44,'Data Vlaue (Cr)'!$C:$FB,4)</f>
        <v>1968.1</v>
      </c>
      <c r="E44" s="75">
        <f>VLOOKUP($A44,'Data Vlaue (Cr)'!$C:$FB,5)</f>
        <v>1956.8</v>
      </c>
      <c r="F44" s="75">
        <f t="shared" si="0"/>
        <v>5.8999999999998636</v>
      </c>
      <c r="G44" s="75">
        <f t="shared" si="1"/>
        <v>0.57415781718408387</v>
      </c>
      <c r="H44" s="75">
        <f>VLOOKUP($A44,'Data Vlaue (Cr)'!$C:$FB,99)</f>
        <v>1114</v>
      </c>
      <c r="I44" s="75">
        <f>VLOOKUP($A44,'Data Vlaue (Cr)'!$C:$FB,100)</f>
        <v>1122</v>
      </c>
      <c r="J44" s="75">
        <f t="shared" si="2"/>
        <v>-8</v>
      </c>
      <c r="K44" s="75">
        <f t="shared" si="3"/>
        <v>-0.71813285457809695</v>
      </c>
      <c r="L44" s="75">
        <f>VLOOKUP($A44,'Data Vlaue (Cr)'!$C:$FB,67)</f>
        <v>377</v>
      </c>
      <c r="M44" s="75">
        <f>VLOOKUP($A44,'Data Vlaue (Cr)'!$C:$FB,68)</f>
        <v>2321</v>
      </c>
      <c r="N44" s="75">
        <f t="shared" si="4"/>
        <v>-1944</v>
      </c>
      <c r="O44" s="75">
        <f t="shared" si="5"/>
        <v>-515.64986737400534</v>
      </c>
      <c r="P44" s="75">
        <f>VLOOKUP($A44,'Data Vlaue (Cr)'!$C:$FB,119)</f>
        <v>0.74</v>
      </c>
      <c r="Q44" s="75">
        <f>VLOOKUP($A44,'Data Vlaue (Cr)'!$C:$FB,122)*100</f>
        <v>7.2499999999999991</v>
      </c>
      <c r="R44" s="75">
        <f>VLOOKUP($A44,'Data Vlaue (Cr)'!$C:$FB,125)</f>
        <v>0.28000000000000003</v>
      </c>
      <c r="S44" s="75">
        <f>VLOOKUP($A44,'Data Vlaue (Cr)'!$C:$FB,128)*100</f>
        <v>-33.33</v>
      </c>
    </row>
    <row r="45" spans="1:19" x14ac:dyDescent="0.25">
      <c r="A45" s="96" t="str">
        <f>'Data Vlaue (Cr)'!C36</f>
        <v>BOSCHLTD</v>
      </c>
      <c r="B45" s="75">
        <f>VLOOKUP($A45,'Data Vlaue (Cr)'!$C:$FB,2)</f>
        <v>25</v>
      </c>
      <c r="C45" s="75">
        <f>VLOOKUP($A45,'Data Vlaue (Cr)'!$C:$FB,8)</f>
        <v>36570</v>
      </c>
      <c r="D45" s="75">
        <f>VLOOKUP($A45,'Data Vlaue (Cr)'!$C:$FB,4)</f>
        <v>36630</v>
      </c>
      <c r="E45" s="75">
        <f>VLOOKUP($A45,'Data Vlaue (Cr)'!$C:$FB,5)</f>
        <v>35680</v>
      </c>
      <c r="F45" s="75">
        <f t="shared" si="0"/>
        <v>60</v>
      </c>
      <c r="G45" s="75">
        <f t="shared" si="1"/>
        <v>2.5935025935025937</v>
      </c>
      <c r="H45" s="75">
        <f>VLOOKUP($A45,'Data Vlaue (Cr)'!$C:$FB,99)</f>
        <v>1745</v>
      </c>
      <c r="I45" s="75">
        <f>VLOOKUP($A45,'Data Vlaue (Cr)'!$C:$FB,100)</f>
        <v>1858</v>
      </c>
      <c r="J45" s="75">
        <f t="shared" si="2"/>
        <v>-113</v>
      </c>
      <c r="K45" s="75">
        <f t="shared" si="3"/>
        <v>-6.4756446991404006</v>
      </c>
      <c r="L45" s="75">
        <f>VLOOKUP($A45,'Data Vlaue (Cr)'!$C:$FB,67)</f>
        <v>2935</v>
      </c>
      <c r="M45" s="75">
        <f>VLOOKUP($A45,'Data Vlaue (Cr)'!$C:$FB,68)</f>
        <v>1497</v>
      </c>
      <c r="N45" s="75">
        <f t="shared" si="4"/>
        <v>1438</v>
      </c>
      <c r="O45" s="75">
        <f t="shared" si="5"/>
        <v>48.994889267461673</v>
      </c>
      <c r="P45" s="75">
        <f>VLOOKUP($A45,'Data Vlaue (Cr)'!$C:$FB,119)</f>
        <v>0.51</v>
      </c>
      <c r="Q45" s="75">
        <f>VLOOKUP($A45,'Data Vlaue (Cr)'!$C:$FB,122)*100</f>
        <v>27.500000000000004</v>
      </c>
      <c r="R45" s="75">
        <f>VLOOKUP($A45,'Data Vlaue (Cr)'!$C:$FB,125)</f>
        <v>0.35</v>
      </c>
      <c r="S45" s="75">
        <f>VLOOKUP($A45,'Data Vlaue (Cr)'!$C:$FB,128)*100</f>
        <v>-20.45</v>
      </c>
    </row>
    <row r="46" spans="1:19" x14ac:dyDescent="0.25">
      <c r="A46" s="96" t="str">
        <f>'Data Vlaue (Cr)'!C37</f>
        <v>BPCL</v>
      </c>
      <c r="B46" s="75">
        <f>VLOOKUP($A46,'Data Vlaue (Cr)'!$C:$FB,2)</f>
        <v>1975</v>
      </c>
      <c r="C46" s="75">
        <f>VLOOKUP($A46,'Data Vlaue (Cr)'!$C:$FB,8)</f>
        <v>387.6</v>
      </c>
      <c r="D46" s="75">
        <f>VLOOKUP($A46,'Data Vlaue (Cr)'!$C:$FB,4)</f>
        <v>388.1</v>
      </c>
      <c r="E46" s="75">
        <f>VLOOKUP($A46,'Data Vlaue (Cr)'!$C:$FB,5)</f>
        <v>387.1</v>
      </c>
      <c r="F46" s="75">
        <f t="shared" si="0"/>
        <v>0.5</v>
      </c>
      <c r="G46" s="75">
        <f t="shared" si="1"/>
        <v>0.25766555011594949</v>
      </c>
      <c r="H46" s="75">
        <f>VLOOKUP($A46,'Data Vlaue (Cr)'!$C:$FB,99)</f>
        <v>2628</v>
      </c>
      <c r="I46" s="75">
        <f>VLOOKUP($A46,'Data Vlaue (Cr)'!$C:$FB,100)</f>
        <v>2510</v>
      </c>
      <c r="J46" s="75">
        <f t="shared" si="2"/>
        <v>118</v>
      </c>
      <c r="K46" s="75">
        <f t="shared" si="3"/>
        <v>4.4901065449010655</v>
      </c>
      <c r="L46" s="75">
        <f>VLOOKUP($A46,'Data Vlaue (Cr)'!$C:$FB,67)</f>
        <v>1167</v>
      </c>
      <c r="M46" s="75">
        <f>VLOOKUP($A46,'Data Vlaue (Cr)'!$C:$FB,68)</f>
        <v>966</v>
      </c>
      <c r="N46" s="75">
        <f t="shared" si="4"/>
        <v>201</v>
      </c>
      <c r="O46" s="75">
        <f t="shared" si="5"/>
        <v>17.223650385604113</v>
      </c>
      <c r="P46" s="75">
        <f>VLOOKUP($A46,'Data Vlaue (Cr)'!$C:$FB,119)</f>
        <v>0.73</v>
      </c>
      <c r="Q46" s="75">
        <f>VLOOKUP($A46,'Data Vlaue (Cr)'!$C:$FB,122)*100</f>
        <v>2.82</v>
      </c>
      <c r="R46" s="75">
        <f>VLOOKUP($A46,'Data Vlaue (Cr)'!$C:$FB,125)</f>
        <v>0.52</v>
      </c>
      <c r="S46" s="75">
        <f>VLOOKUP($A46,'Data Vlaue (Cr)'!$C:$FB,128)*100</f>
        <v>-17.46</v>
      </c>
    </row>
    <row r="47" spans="1:19" x14ac:dyDescent="0.25">
      <c r="A47" s="96" t="str">
        <f>'Data Vlaue (Cr)'!C38</f>
        <v>BRITANNIA</v>
      </c>
      <c r="B47" s="75">
        <f>VLOOKUP($A47,'Data Vlaue (Cr)'!$C:$FB,2)</f>
        <v>125</v>
      </c>
      <c r="C47" s="75">
        <f>VLOOKUP($A47,'Data Vlaue (Cr)'!$C:$FB,8)</f>
        <v>6019</v>
      </c>
      <c r="D47" s="75">
        <f>VLOOKUP($A47,'Data Vlaue (Cr)'!$C:$FB,4)</f>
        <v>6039.5</v>
      </c>
      <c r="E47" s="75">
        <f>VLOOKUP($A47,'Data Vlaue (Cr)'!$C:$FB,5)</f>
        <v>5879.5</v>
      </c>
      <c r="F47" s="75">
        <f t="shared" si="0"/>
        <v>20.5</v>
      </c>
      <c r="G47" s="75">
        <f t="shared" si="1"/>
        <v>2.6492259292987828</v>
      </c>
      <c r="H47" s="75">
        <f>VLOOKUP($A47,'Data Vlaue (Cr)'!$C:$FB,99)</f>
        <v>3683</v>
      </c>
      <c r="I47" s="75">
        <f>VLOOKUP($A47,'Data Vlaue (Cr)'!$C:$FB,100)</f>
        <v>3297</v>
      </c>
      <c r="J47" s="75">
        <f t="shared" si="2"/>
        <v>386</v>
      </c>
      <c r="K47" s="75">
        <f t="shared" si="3"/>
        <v>10.480586478414336</v>
      </c>
      <c r="L47" s="75">
        <f>VLOOKUP($A47,'Data Vlaue (Cr)'!$C:$FB,67)</f>
        <v>8562</v>
      </c>
      <c r="M47" s="75">
        <f>VLOOKUP($A47,'Data Vlaue (Cr)'!$C:$FB,68)</f>
        <v>1938</v>
      </c>
      <c r="N47" s="75">
        <f t="shared" si="4"/>
        <v>6624</v>
      </c>
      <c r="O47" s="75">
        <f t="shared" si="5"/>
        <v>77.365101611772943</v>
      </c>
      <c r="P47" s="75">
        <f>VLOOKUP($A47,'Data Vlaue (Cr)'!$C:$FB,119)</f>
        <v>0.55000000000000004</v>
      </c>
      <c r="Q47" s="75">
        <f>VLOOKUP($A47,'Data Vlaue (Cr)'!$C:$FB,122)*100</f>
        <v>7.84</v>
      </c>
      <c r="R47" s="75">
        <f>VLOOKUP($A47,'Data Vlaue (Cr)'!$C:$FB,125)</f>
        <v>0.47</v>
      </c>
      <c r="S47" s="75">
        <f>VLOOKUP($A47,'Data Vlaue (Cr)'!$C:$FB,128)*100</f>
        <v>4.4400000000000004</v>
      </c>
    </row>
    <row r="48" spans="1:19" x14ac:dyDescent="0.25">
      <c r="A48" s="96" t="str">
        <f>'Data Vlaue (Cr)'!C39</f>
        <v>BSE</v>
      </c>
      <c r="B48" s="75">
        <f>VLOOKUP($A48,'Data Vlaue (Cr)'!$C:$FB,2)</f>
        <v>375</v>
      </c>
      <c r="C48" s="75">
        <f>VLOOKUP($A48,'Data Vlaue (Cr)'!$C:$FB,8)</f>
        <v>3177.1</v>
      </c>
      <c r="D48" s="75">
        <f>VLOOKUP($A48,'Data Vlaue (Cr)'!$C:$FB,4)</f>
        <v>3179.8</v>
      </c>
      <c r="E48" s="75">
        <f>VLOOKUP($A48,'Data Vlaue (Cr)'!$C:$FB,5)</f>
        <v>3185.4</v>
      </c>
      <c r="F48" s="75">
        <f t="shared" si="0"/>
        <v>2.7000000000002728</v>
      </c>
      <c r="G48" s="75">
        <f t="shared" si="1"/>
        <v>-0.1761117051386851</v>
      </c>
      <c r="H48" s="75">
        <f>VLOOKUP($A48,'Data Vlaue (Cr)'!$C:$FB,99)</f>
        <v>9066</v>
      </c>
      <c r="I48" s="75">
        <f>VLOOKUP($A48,'Data Vlaue (Cr)'!$C:$FB,100)</f>
        <v>9306</v>
      </c>
      <c r="J48" s="75">
        <f t="shared" si="2"/>
        <v>-240</v>
      </c>
      <c r="K48" s="75">
        <f t="shared" si="3"/>
        <v>-2.6472534745201854</v>
      </c>
      <c r="L48" s="75">
        <f>VLOOKUP($A48,'Data Vlaue (Cr)'!$C:$FB,67)</f>
        <v>13385</v>
      </c>
      <c r="M48" s="75">
        <f>VLOOKUP($A48,'Data Vlaue (Cr)'!$C:$FB,68)</f>
        <v>49172</v>
      </c>
      <c r="N48" s="75">
        <f t="shared" si="4"/>
        <v>-35787</v>
      </c>
      <c r="O48" s="75">
        <f t="shared" si="5"/>
        <v>-267.3664549869257</v>
      </c>
      <c r="P48" s="75">
        <f>VLOOKUP($A48,'Data Vlaue (Cr)'!$C:$FB,119)</f>
        <v>0.98</v>
      </c>
      <c r="Q48" s="75">
        <f>VLOOKUP($A48,'Data Vlaue (Cr)'!$C:$FB,122)*100</f>
        <v>2.08</v>
      </c>
      <c r="R48" s="75">
        <f>VLOOKUP($A48,'Data Vlaue (Cr)'!$C:$FB,125)</f>
        <v>0.81</v>
      </c>
      <c r="S48" s="75">
        <f>VLOOKUP($A48,'Data Vlaue (Cr)'!$C:$FB,128)*100</f>
        <v>58.819999999999993</v>
      </c>
    </row>
    <row r="49" spans="1:19" x14ac:dyDescent="0.25">
      <c r="A49" s="96" t="str">
        <f>'Data Vlaue (Cr)'!C40</f>
        <v>CAMS</v>
      </c>
      <c r="B49" s="75">
        <f>VLOOKUP($A49,'Data Vlaue (Cr)'!$C:$FB,2)</f>
        <v>750</v>
      </c>
      <c r="C49" s="75">
        <f>VLOOKUP($A49,'Data Vlaue (Cr)'!$C:$FB,8)</f>
        <v>747.1</v>
      </c>
      <c r="D49" s="75">
        <f>VLOOKUP($A49,'Data Vlaue (Cr)'!$C:$FB,4)</f>
        <v>747.95</v>
      </c>
      <c r="E49" s="75">
        <f>VLOOKUP($A49,'Data Vlaue (Cr)'!$C:$FB,5)</f>
        <v>745.2</v>
      </c>
      <c r="F49" s="75">
        <f t="shared" si="0"/>
        <v>0.85000000000002274</v>
      </c>
      <c r="G49" s="75">
        <f t="shared" si="1"/>
        <v>0.36767163580453238</v>
      </c>
      <c r="H49" s="75">
        <f>VLOOKUP($A49,'Data Vlaue (Cr)'!$C:$FB,99)</f>
        <v>991</v>
      </c>
      <c r="I49" s="75">
        <f>VLOOKUP($A49,'Data Vlaue (Cr)'!$C:$FB,100)</f>
        <v>982</v>
      </c>
      <c r="J49" s="75">
        <f t="shared" si="2"/>
        <v>9</v>
      </c>
      <c r="K49" s="75">
        <f t="shared" si="3"/>
        <v>0.90817356205852673</v>
      </c>
      <c r="L49" s="75">
        <f>VLOOKUP($A49,'Data Vlaue (Cr)'!$C:$FB,67)</f>
        <v>300</v>
      </c>
      <c r="M49" s="75">
        <f>VLOOKUP($A49,'Data Vlaue (Cr)'!$C:$FB,68)</f>
        <v>609</v>
      </c>
      <c r="N49" s="75">
        <f t="shared" si="4"/>
        <v>-309</v>
      </c>
      <c r="O49" s="75">
        <f t="shared" si="5"/>
        <v>-103</v>
      </c>
      <c r="P49" s="75">
        <f>VLOOKUP($A49,'Data Vlaue (Cr)'!$C:$FB,119)</f>
        <v>1.06</v>
      </c>
      <c r="Q49" s="75">
        <f>VLOOKUP($A49,'Data Vlaue (Cr)'!$C:$FB,122)*100</f>
        <v>-1.8499999999999999</v>
      </c>
      <c r="R49" s="75">
        <f>VLOOKUP($A49,'Data Vlaue (Cr)'!$C:$FB,125)</f>
        <v>0.39</v>
      </c>
      <c r="S49" s="75">
        <f>VLOOKUP($A49,'Data Vlaue (Cr)'!$C:$FB,128)*100</f>
        <v>21.88</v>
      </c>
    </row>
    <row r="50" spans="1:19" x14ac:dyDescent="0.25">
      <c r="A50" s="96" t="str">
        <f>'Data Vlaue (Cr)'!C41</f>
        <v>CANBK</v>
      </c>
      <c r="B50" s="75">
        <f>VLOOKUP($A50,'Data Vlaue (Cr)'!$C:$FB,2)</f>
        <v>6750</v>
      </c>
      <c r="C50" s="75">
        <f>VLOOKUP($A50,'Data Vlaue (Cr)'!$C:$FB,8)</f>
        <v>145.51</v>
      </c>
      <c r="D50" s="75">
        <f>VLOOKUP($A50,'Data Vlaue (Cr)'!$C:$FB,4)</f>
        <v>146</v>
      </c>
      <c r="E50" s="75">
        <f>VLOOKUP($A50,'Data Vlaue (Cr)'!$C:$FB,5)</f>
        <v>147.35</v>
      </c>
      <c r="F50" s="75">
        <f t="shared" si="0"/>
        <v>0.49000000000000909</v>
      </c>
      <c r="G50" s="75">
        <f t="shared" si="1"/>
        <v>-0.92465753424657138</v>
      </c>
      <c r="H50" s="75">
        <f>VLOOKUP($A50,'Data Vlaue (Cr)'!$C:$FB,99)</f>
        <v>6864</v>
      </c>
      <c r="I50" s="75">
        <f>VLOOKUP($A50,'Data Vlaue (Cr)'!$C:$FB,100)</f>
        <v>6540</v>
      </c>
      <c r="J50" s="75">
        <f t="shared" si="2"/>
        <v>324</v>
      </c>
      <c r="K50" s="75">
        <f t="shared" si="3"/>
        <v>4.72027972027972</v>
      </c>
      <c r="L50" s="75">
        <f>VLOOKUP($A50,'Data Vlaue (Cr)'!$C:$FB,67)</f>
        <v>4209</v>
      </c>
      <c r="M50" s="75">
        <f>VLOOKUP($A50,'Data Vlaue (Cr)'!$C:$FB,68)</f>
        <v>1857</v>
      </c>
      <c r="N50" s="75">
        <f t="shared" si="4"/>
        <v>2352</v>
      </c>
      <c r="O50" s="75">
        <f t="shared" si="5"/>
        <v>55.880256593014963</v>
      </c>
      <c r="P50" s="75">
        <f>VLOOKUP($A50,'Data Vlaue (Cr)'!$C:$FB,119)</f>
        <v>0.5</v>
      </c>
      <c r="Q50" s="75">
        <f>VLOOKUP($A50,'Data Vlaue (Cr)'!$C:$FB,122)*100</f>
        <v>-3.85</v>
      </c>
      <c r="R50" s="75">
        <f>VLOOKUP($A50,'Data Vlaue (Cr)'!$C:$FB,125)</f>
        <v>0.38</v>
      </c>
      <c r="S50" s="75">
        <f>VLOOKUP($A50,'Data Vlaue (Cr)'!$C:$FB,128)*100</f>
        <v>18.75</v>
      </c>
    </row>
    <row r="51" spans="1:19" x14ac:dyDescent="0.25">
      <c r="A51" s="96" t="str">
        <f>'Data Vlaue (Cr)'!C42</f>
        <v>CDSL</v>
      </c>
      <c r="B51" s="75">
        <f>VLOOKUP($A51,'Data Vlaue (Cr)'!$C:$FB,2)</f>
        <v>475</v>
      </c>
      <c r="C51" s="75">
        <f>VLOOKUP($A51,'Data Vlaue (Cr)'!$C:$FB,8)</f>
        <v>1397.2</v>
      </c>
      <c r="D51" s="75">
        <f>VLOOKUP($A51,'Data Vlaue (Cr)'!$C:$FB,4)</f>
        <v>1398.9</v>
      </c>
      <c r="E51" s="75">
        <f>VLOOKUP($A51,'Data Vlaue (Cr)'!$C:$FB,5)</f>
        <v>1401.1</v>
      </c>
      <c r="F51" s="75">
        <f t="shared" si="0"/>
        <v>1.7000000000000455</v>
      </c>
      <c r="G51" s="75">
        <f t="shared" si="1"/>
        <v>-0.15726642361854443</v>
      </c>
      <c r="H51" s="75">
        <f>VLOOKUP($A51,'Data Vlaue (Cr)'!$C:$FB,99)</f>
        <v>3701</v>
      </c>
      <c r="I51" s="75">
        <f>VLOOKUP($A51,'Data Vlaue (Cr)'!$C:$FB,100)</f>
        <v>3618</v>
      </c>
      <c r="J51" s="75">
        <f t="shared" si="2"/>
        <v>83</v>
      </c>
      <c r="K51" s="75">
        <f t="shared" si="3"/>
        <v>2.2426371251013237</v>
      </c>
      <c r="L51" s="75">
        <f>VLOOKUP($A51,'Data Vlaue (Cr)'!$C:$FB,67)</f>
        <v>2218</v>
      </c>
      <c r="M51" s="75">
        <f>VLOOKUP($A51,'Data Vlaue (Cr)'!$C:$FB,68)</f>
        <v>5127</v>
      </c>
      <c r="N51" s="75">
        <f t="shared" si="4"/>
        <v>-2909</v>
      </c>
      <c r="O51" s="75">
        <f t="shared" si="5"/>
        <v>-131.15419296663663</v>
      </c>
      <c r="P51" s="75">
        <f>VLOOKUP($A51,'Data Vlaue (Cr)'!$C:$FB,119)</f>
        <v>0.7</v>
      </c>
      <c r="Q51" s="75">
        <f>VLOOKUP($A51,'Data Vlaue (Cr)'!$C:$FB,122)*100</f>
        <v>0</v>
      </c>
      <c r="R51" s="75">
        <f>VLOOKUP($A51,'Data Vlaue (Cr)'!$C:$FB,125)</f>
        <v>0.39</v>
      </c>
      <c r="S51" s="75">
        <f>VLOOKUP($A51,'Data Vlaue (Cr)'!$C:$FB,128)*100</f>
        <v>25.81</v>
      </c>
    </row>
    <row r="52" spans="1:19" x14ac:dyDescent="0.25">
      <c r="A52" s="96" t="str">
        <f>'Data Vlaue (Cr)'!C43</f>
        <v>CGPOWER</v>
      </c>
      <c r="B52" s="75">
        <f>VLOOKUP($A52,'Data Vlaue (Cr)'!$C:$FB,2)</f>
        <v>850</v>
      </c>
      <c r="C52" s="75">
        <f>VLOOKUP($A52,'Data Vlaue (Cr)'!$C:$FB,8)</f>
        <v>685.6</v>
      </c>
      <c r="D52" s="75">
        <f>VLOOKUP($A52,'Data Vlaue (Cr)'!$C:$FB,4)</f>
        <v>684.75</v>
      </c>
      <c r="E52" s="75">
        <f>VLOOKUP($A52,'Data Vlaue (Cr)'!$C:$FB,5)</f>
        <v>682</v>
      </c>
      <c r="F52" s="75">
        <f t="shared" si="0"/>
        <v>-0.85000000000002274</v>
      </c>
      <c r="G52" s="75">
        <f t="shared" si="1"/>
        <v>0.40160642570281119</v>
      </c>
      <c r="H52" s="75">
        <f>VLOOKUP($A52,'Data Vlaue (Cr)'!$C:$FB,99)</f>
        <v>1990</v>
      </c>
      <c r="I52" s="75">
        <f>VLOOKUP($A52,'Data Vlaue (Cr)'!$C:$FB,100)</f>
        <v>2018</v>
      </c>
      <c r="J52" s="75">
        <f t="shared" si="2"/>
        <v>-28</v>
      </c>
      <c r="K52" s="75">
        <f t="shared" si="3"/>
        <v>-1.4070351758793971</v>
      </c>
      <c r="L52" s="75">
        <f>VLOOKUP($A52,'Data Vlaue (Cr)'!$C:$FB,67)</f>
        <v>689</v>
      </c>
      <c r="M52" s="75">
        <f>VLOOKUP($A52,'Data Vlaue (Cr)'!$C:$FB,68)</f>
        <v>1189</v>
      </c>
      <c r="N52" s="75">
        <f t="shared" si="4"/>
        <v>-500</v>
      </c>
      <c r="O52" s="75">
        <f t="shared" si="5"/>
        <v>-72.568940493468787</v>
      </c>
      <c r="P52" s="75">
        <f>VLOOKUP($A52,'Data Vlaue (Cr)'!$C:$FB,119)</f>
        <v>0.89</v>
      </c>
      <c r="Q52" s="75">
        <f>VLOOKUP($A52,'Data Vlaue (Cr)'!$C:$FB,122)*100</f>
        <v>7.23</v>
      </c>
      <c r="R52" s="75">
        <f>VLOOKUP($A52,'Data Vlaue (Cr)'!$C:$FB,125)</f>
        <v>0.55000000000000004</v>
      </c>
      <c r="S52" s="75">
        <f>VLOOKUP($A52,'Data Vlaue (Cr)'!$C:$FB,128)*100</f>
        <v>-25.679999999999996</v>
      </c>
    </row>
    <row r="53" spans="1:19" x14ac:dyDescent="0.25">
      <c r="A53" s="96" t="str">
        <f>'Data Vlaue (Cr)'!C44</f>
        <v>CHOLAFIN</v>
      </c>
      <c r="B53" s="75">
        <f>VLOOKUP($A53,'Data Vlaue (Cr)'!$C:$FB,2)</f>
        <v>625</v>
      </c>
      <c r="C53" s="75">
        <f>VLOOKUP($A53,'Data Vlaue (Cr)'!$C:$FB,8)</f>
        <v>1723</v>
      </c>
      <c r="D53" s="75">
        <f>VLOOKUP($A53,'Data Vlaue (Cr)'!$C:$FB,4)</f>
        <v>1724.6</v>
      </c>
      <c r="E53" s="75">
        <f>VLOOKUP($A53,'Data Vlaue (Cr)'!$C:$FB,5)</f>
        <v>1731.9</v>
      </c>
      <c r="F53" s="75">
        <f t="shared" si="0"/>
        <v>1.5999999999999091</v>
      </c>
      <c r="G53" s="75">
        <f t="shared" si="1"/>
        <v>-0.42328655920214436</v>
      </c>
      <c r="H53" s="75">
        <f>VLOOKUP($A53,'Data Vlaue (Cr)'!$C:$FB,99)</f>
        <v>3304</v>
      </c>
      <c r="I53" s="75">
        <f>VLOOKUP($A53,'Data Vlaue (Cr)'!$C:$FB,100)</f>
        <v>3325</v>
      </c>
      <c r="J53" s="75">
        <f t="shared" si="2"/>
        <v>-21</v>
      </c>
      <c r="K53" s="75">
        <f t="shared" si="3"/>
        <v>-0.63559322033898313</v>
      </c>
      <c r="L53" s="75">
        <f>VLOOKUP($A53,'Data Vlaue (Cr)'!$C:$FB,67)</f>
        <v>647</v>
      </c>
      <c r="M53" s="75">
        <f>VLOOKUP($A53,'Data Vlaue (Cr)'!$C:$FB,68)</f>
        <v>1478</v>
      </c>
      <c r="N53" s="75">
        <f t="shared" si="4"/>
        <v>-831</v>
      </c>
      <c r="O53" s="75">
        <f t="shared" si="5"/>
        <v>-128.43894899536321</v>
      </c>
      <c r="P53" s="75">
        <f>VLOOKUP($A53,'Data Vlaue (Cr)'!$C:$FB,119)</f>
        <v>0.88</v>
      </c>
      <c r="Q53" s="75">
        <f>VLOOKUP($A53,'Data Vlaue (Cr)'!$C:$FB,122)*100</f>
        <v>-3.3000000000000003</v>
      </c>
      <c r="R53" s="75">
        <f>VLOOKUP($A53,'Data Vlaue (Cr)'!$C:$FB,125)</f>
        <v>0.56000000000000005</v>
      </c>
      <c r="S53" s="75">
        <f>VLOOKUP($A53,'Data Vlaue (Cr)'!$C:$FB,128)*100</f>
        <v>-33.33</v>
      </c>
    </row>
    <row r="54" spans="1:19" x14ac:dyDescent="0.25">
      <c r="A54" s="96" t="str">
        <f>'Data Vlaue (Cr)'!C45</f>
        <v>CIPLA</v>
      </c>
      <c r="B54" s="75">
        <f>VLOOKUP($A54,'Data Vlaue (Cr)'!$C:$FB,2)</f>
        <v>375</v>
      </c>
      <c r="C54" s="75">
        <f>VLOOKUP($A54,'Data Vlaue (Cr)'!$C:$FB,8)</f>
        <v>1349.9</v>
      </c>
      <c r="D54" s="75">
        <f>VLOOKUP($A54,'Data Vlaue (Cr)'!$C:$FB,4)</f>
        <v>1350.8</v>
      </c>
      <c r="E54" s="75">
        <f>VLOOKUP($A54,'Data Vlaue (Cr)'!$C:$FB,5)</f>
        <v>1346.3</v>
      </c>
      <c r="F54" s="75">
        <f t="shared" si="0"/>
        <v>0.89999999999986358</v>
      </c>
      <c r="G54" s="75">
        <f t="shared" si="1"/>
        <v>0.33313591945513771</v>
      </c>
      <c r="H54" s="75">
        <f>VLOOKUP($A54,'Data Vlaue (Cr)'!$C:$FB,99)</f>
        <v>3367</v>
      </c>
      <c r="I54" s="75">
        <f>VLOOKUP($A54,'Data Vlaue (Cr)'!$C:$FB,100)</f>
        <v>3394</v>
      </c>
      <c r="J54" s="75">
        <f t="shared" si="2"/>
        <v>-27</v>
      </c>
      <c r="K54" s="75">
        <f t="shared" si="3"/>
        <v>-0.80190080190080182</v>
      </c>
      <c r="L54" s="75">
        <f>VLOOKUP($A54,'Data Vlaue (Cr)'!$C:$FB,67)</f>
        <v>879</v>
      </c>
      <c r="M54" s="75">
        <f>VLOOKUP($A54,'Data Vlaue (Cr)'!$C:$FB,68)</f>
        <v>1826</v>
      </c>
      <c r="N54" s="75">
        <f t="shared" si="4"/>
        <v>-947</v>
      </c>
      <c r="O54" s="75">
        <f t="shared" si="5"/>
        <v>-107.73606370875994</v>
      </c>
      <c r="P54" s="75">
        <f>VLOOKUP($A54,'Data Vlaue (Cr)'!$C:$FB,119)</f>
        <v>0.63</v>
      </c>
      <c r="Q54" s="75">
        <f>VLOOKUP($A54,'Data Vlaue (Cr)'!$C:$FB,122)*100</f>
        <v>1.6099999999999999</v>
      </c>
      <c r="R54" s="75">
        <f>VLOOKUP($A54,'Data Vlaue (Cr)'!$C:$FB,125)</f>
        <v>0.36</v>
      </c>
      <c r="S54" s="75">
        <f>VLOOKUP($A54,'Data Vlaue (Cr)'!$C:$FB,128)*100</f>
        <v>16.13</v>
      </c>
    </row>
    <row r="55" spans="1:19" x14ac:dyDescent="0.25">
      <c r="A55" s="96" t="str">
        <f>'Data Vlaue (Cr)'!C46</f>
        <v>COALINDIA</v>
      </c>
      <c r="B55" s="75">
        <f>VLOOKUP($A55,'Data Vlaue (Cr)'!$C:$FB,2)</f>
        <v>1350</v>
      </c>
      <c r="C55" s="75">
        <f>VLOOKUP($A55,'Data Vlaue (Cr)'!$C:$FB,8)</f>
        <v>423.25</v>
      </c>
      <c r="D55" s="75">
        <f>VLOOKUP($A55,'Data Vlaue (Cr)'!$C:$FB,4)</f>
        <v>417.5</v>
      </c>
      <c r="E55" s="75">
        <f>VLOOKUP($A55,'Data Vlaue (Cr)'!$C:$FB,5)</f>
        <v>427.35</v>
      </c>
      <c r="F55" s="75">
        <f t="shared" si="0"/>
        <v>-5.75</v>
      </c>
      <c r="G55" s="75">
        <f t="shared" si="1"/>
        <v>-2.359281437125754</v>
      </c>
      <c r="H55" s="75">
        <f>VLOOKUP($A55,'Data Vlaue (Cr)'!$C:$FB,99)</f>
        <v>4893</v>
      </c>
      <c r="I55" s="75">
        <f>VLOOKUP($A55,'Data Vlaue (Cr)'!$C:$FB,100)</f>
        <v>4728</v>
      </c>
      <c r="J55" s="75">
        <f t="shared" si="2"/>
        <v>165</v>
      </c>
      <c r="K55" s="75">
        <f t="shared" si="3"/>
        <v>3.3721643163703248</v>
      </c>
      <c r="L55" s="75">
        <f>VLOOKUP($A55,'Data Vlaue (Cr)'!$C:$FB,67)</f>
        <v>2808</v>
      </c>
      <c r="M55" s="75">
        <f>VLOOKUP($A55,'Data Vlaue (Cr)'!$C:$FB,68)</f>
        <v>1140</v>
      </c>
      <c r="N55" s="75">
        <f t="shared" si="4"/>
        <v>1668</v>
      </c>
      <c r="O55" s="75">
        <f t="shared" si="5"/>
        <v>59.401709401709404</v>
      </c>
      <c r="P55" s="75">
        <f>VLOOKUP($A55,'Data Vlaue (Cr)'!$C:$FB,119)</f>
        <v>0.51</v>
      </c>
      <c r="Q55" s="75">
        <f>VLOOKUP($A55,'Data Vlaue (Cr)'!$C:$FB,122)*100</f>
        <v>2</v>
      </c>
      <c r="R55" s="75">
        <f>VLOOKUP($A55,'Data Vlaue (Cr)'!$C:$FB,125)</f>
        <v>0.46</v>
      </c>
      <c r="S55" s="75">
        <f>VLOOKUP($A55,'Data Vlaue (Cr)'!$C:$FB,128)*100</f>
        <v>43.75</v>
      </c>
    </row>
    <row r="56" spans="1:19" x14ac:dyDescent="0.25">
      <c r="A56" s="96" t="str">
        <f>'Data Vlaue (Cr)'!C47</f>
        <v>COFORGE</v>
      </c>
      <c r="B56" s="75">
        <f>VLOOKUP($A56,'Data Vlaue (Cr)'!$C:$FB,2)</f>
        <v>375</v>
      </c>
      <c r="C56" s="75">
        <f>VLOOKUP($A56,'Data Vlaue (Cr)'!$C:$FB,8)</f>
        <v>1520.4</v>
      </c>
      <c r="D56" s="75">
        <f>VLOOKUP($A56,'Data Vlaue (Cr)'!$C:$FB,4)</f>
        <v>1520.8</v>
      </c>
      <c r="E56" s="75">
        <f>VLOOKUP($A56,'Data Vlaue (Cr)'!$C:$FB,5)</f>
        <v>1556.1</v>
      </c>
      <c r="F56" s="75">
        <f t="shared" si="0"/>
        <v>0.39999999999986358</v>
      </c>
      <c r="G56" s="75">
        <f t="shared" si="1"/>
        <v>-2.3211467648605968</v>
      </c>
      <c r="H56" s="75">
        <f>VLOOKUP($A56,'Data Vlaue (Cr)'!$C:$FB,99)</f>
        <v>4037</v>
      </c>
      <c r="I56" s="75">
        <f>VLOOKUP($A56,'Data Vlaue (Cr)'!$C:$FB,100)</f>
        <v>3897</v>
      </c>
      <c r="J56" s="75">
        <f t="shared" si="2"/>
        <v>140</v>
      </c>
      <c r="K56" s="75">
        <f t="shared" si="3"/>
        <v>3.467921724052514</v>
      </c>
      <c r="L56" s="75">
        <f>VLOOKUP($A56,'Data Vlaue (Cr)'!$C:$FB,67)</f>
        <v>2468</v>
      </c>
      <c r="M56" s="75">
        <f>VLOOKUP($A56,'Data Vlaue (Cr)'!$C:$FB,68)</f>
        <v>2745</v>
      </c>
      <c r="N56" s="75">
        <f t="shared" si="4"/>
        <v>-277</v>
      </c>
      <c r="O56" s="75">
        <f t="shared" si="5"/>
        <v>-11.223662884927066</v>
      </c>
      <c r="P56" s="75">
        <f>VLOOKUP($A56,'Data Vlaue (Cr)'!$C:$FB,119)</f>
        <v>0.43</v>
      </c>
      <c r="Q56" s="75">
        <f>VLOOKUP($A56,'Data Vlaue (Cr)'!$C:$FB,122)*100</f>
        <v>2.3800000000000003</v>
      </c>
      <c r="R56" s="75">
        <f>VLOOKUP($A56,'Data Vlaue (Cr)'!$C:$FB,125)</f>
        <v>0.48</v>
      </c>
      <c r="S56" s="75">
        <f>VLOOKUP($A56,'Data Vlaue (Cr)'!$C:$FB,128)*100</f>
        <v>29.73</v>
      </c>
    </row>
    <row r="57" spans="1:19" x14ac:dyDescent="0.25">
      <c r="A57" s="96" t="str">
        <f>'Data Vlaue (Cr)'!C48</f>
        <v>COLPAL</v>
      </c>
      <c r="B57" s="75">
        <f>VLOOKUP($A57,'Data Vlaue (Cr)'!$C:$FB,2)</f>
        <v>225</v>
      </c>
      <c r="C57" s="75">
        <f>VLOOKUP($A57,'Data Vlaue (Cr)'!$C:$FB,8)</f>
        <v>2173.4</v>
      </c>
      <c r="D57" s="75">
        <f>VLOOKUP($A57,'Data Vlaue (Cr)'!$C:$FB,4)</f>
        <v>2174.8000000000002</v>
      </c>
      <c r="E57" s="75">
        <f>VLOOKUP($A57,'Data Vlaue (Cr)'!$C:$FB,5)</f>
        <v>2190.1</v>
      </c>
      <c r="F57" s="75">
        <f t="shared" si="0"/>
        <v>1.4000000000000909</v>
      </c>
      <c r="G57" s="75">
        <f t="shared" si="1"/>
        <v>-0.70351296670956986</v>
      </c>
      <c r="H57" s="75">
        <f>VLOOKUP($A57,'Data Vlaue (Cr)'!$C:$FB,99)</f>
        <v>2356</v>
      </c>
      <c r="I57" s="75">
        <f>VLOOKUP($A57,'Data Vlaue (Cr)'!$C:$FB,100)</f>
        <v>2186</v>
      </c>
      <c r="J57" s="75">
        <f t="shared" si="2"/>
        <v>170</v>
      </c>
      <c r="K57" s="75">
        <f t="shared" si="3"/>
        <v>7.2156196943972839</v>
      </c>
      <c r="L57" s="75">
        <f>VLOOKUP($A57,'Data Vlaue (Cr)'!$C:$FB,67)</f>
        <v>1073</v>
      </c>
      <c r="M57" s="75">
        <f>VLOOKUP($A57,'Data Vlaue (Cr)'!$C:$FB,68)</f>
        <v>1203</v>
      </c>
      <c r="N57" s="75">
        <f t="shared" si="4"/>
        <v>-130</v>
      </c>
      <c r="O57" s="75">
        <f t="shared" si="5"/>
        <v>-12.115563839701771</v>
      </c>
      <c r="P57" s="75">
        <f>VLOOKUP($A57,'Data Vlaue (Cr)'!$C:$FB,119)</f>
        <v>0.52</v>
      </c>
      <c r="Q57" s="75">
        <f>VLOOKUP($A57,'Data Vlaue (Cr)'!$C:$FB,122)*100</f>
        <v>-11.86</v>
      </c>
      <c r="R57" s="75">
        <f>VLOOKUP($A57,'Data Vlaue (Cr)'!$C:$FB,125)</f>
        <v>0.2</v>
      </c>
      <c r="S57" s="75">
        <f>VLOOKUP($A57,'Data Vlaue (Cr)'!$C:$FB,128)*100</f>
        <v>-25.929999999999996</v>
      </c>
    </row>
    <row r="58" spans="1:19" x14ac:dyDescent="0.25">
      <c r="A58" s="96" t="str">
        <f>'Data Vlaue (Cr)'!C49</f>
        <v>CONCOR</v>
      </c>
      <c r="B58" s="75">
        <f>VLOOKUP($A58,'Data Vlaue (Cr)'!$C:$FB,2)</f>
        <v>1250</v>
      </c>
      <c r="C58" s="75">
        <f>VLOOKUP($A58,'Data Vlaue (Cr)'!$C:$FB,8)</f>
        <v>515.15</v>
      </c>
      <c r="D58" s="75">
        <f>VLOOKUP($A58,'Data Vlaue (Cr)'!$C:$FB,4)</f>
        <v>515.79999999999995</v>
      </c>
      <c r="E58" s="75">
        <f>VLOOKUP($A58,'Data Vlaue (Cr)'!$C:$FB,5)</f>
        <v>515.54999999999995</v>
      </c>
      <c r="F58" s="75">
        <f t="shared" si="0"/>
        <v>0.64999999999997726</v>
      </c>
      <c r="G58" s="75">
        <f t="shared" si="1"/>
        <v>4.8468398604110119E-2</v>
      </c>
      <c r="H58" s="75">
        <f>VLOOKUP($A58,'Data Vlaue (Cr)'!$C:$FB,99)</f>
        <v>2855</v>
      </c>
      <c r="I58" s="75">
        <f>VLOOKUP($A58,'Data Vlaue (Cr)'!$C:$FB,100)</f>
        <v>2829</v>
      </c>
      <c r="J58" s="75">
        <f t="shared" si="2"/>
        <v>26</v>
      </c>
      <c r="K58" s="75">
        <f t="shared" si="3"/>
        <v>0.91068301225919435</v>
      </c>
      <c r="L58" s="75">
        <f>VLOOKUP($A58,'Data Vlaue (Cr)'!$C:$FB,67)</f>
        <v>511</v>
      </c>
      <c r="M58" s="75">
        <f>VLOOKUP($A58,'Data Vlaue (Cr)'!$C:$FB,68)</f>
        <v>775</v>
      </c>
      <c r="N58" s="75">
        <f t="shared" si="4"/>
        <v>-264</v>
      </c>
      <c r="O58" s="75">
        <f t="shared" si="5"/>
        <v>-51.663405088062618</v>
      </c>
      <c r="P58" s="75">
        <f>VLOOKUP($A58,'Data Vlaue (Cr)'!$C:$FB,119)</f>
        <v>0.9</v>
      </c>
      <c r="Q58" s="75">
        <f>VLOOKUP($A58,'Data Vlaue (Cr)'!$C:$FB,122)*100</f>
        <v>0</v>
      </c>
      <c r="R58" s="75">
        <f>VLOOKUP($A58,'Data Vlaue (Cr)'!$C:$FB,125)</f>
        <v>0.37</v>
      </c>
      <c r="S58" s="75">
        <f>VLOOKUP($A58,'Data Vlaue (Cr)'!$C:$FB,128)*100</f>
        <v>-7.5</v>
      </c>
    </row>
    <row r="59" spans="1:19" x14ac:dyDescent="0.25">
      <c r="A59" s="96" t="str">
        <f>'Data Vlaue (Cr)'!C50</f>
        <v>CROMPTON</v>
      </c>
      <c r="B59" s="75">
        <f>VLOOKUP($A59,'Data Vlaue (Cr)'!$C:$FB,2)</f>
        <v>1800</v>
      </c>
      <c r="C59" s="75">
        <f>VLOOKUP($A59,'Data Vlaue (Cr)'!$C:$FB,8)</f>
        <v>266.04000000000002</v>
      </c>
      <c r="D59" s="75">
        <f>VLOOKUP($A59,'Data Vlaue (Cr)'!$C:$FB,4)</f>
        <v>266.47000000000003</v>
      </c>
      <c r="E59" s="75">
        <f>VLOOKUP($A59,'Data Vlaue (Cr)'!$C:$FB,5)</f>
        <v>261.91000000000003</v>
      </c>
      <c r="F59" s="75">
        <f t="shared" si="0"/>
        <v>0.43000000000000682</v>
      </c>
      <c r="G59" s="75">
        <f t="shared" si="1"/>
        <v>1.711262055766128</v>
      </c>
      <c r="H59" s="75">
        <f>VLOOKUP($A59,'Data Vlaue (Cr)'!$C:$FB,99)</f>
        <v>2374</v>
      </c>
      <c r="I59" s="75">
        <f>VLOOKUP($A59,'Data Vlaue (Cr)'!$C:$FB,100)</f>
        <v>2405</v>
      </c>
      <c r="J59" s="75">
        <f t="shared" si="2"/>
        <v>-31</v>
      </c>
      <c r="K59" s="75">
        <f t="shared" si="3"/>
        <v>-1.3058129738837405</v>
      </c>
      <c r="L59" s="75">
        <f>VLOOKUP($A59,'Data Vlaue (Cr)'!$C:$FB,67)</f>
        <v>1004</v>
      </c>
      <c r="M59" s="75">
        <f>VLOOKUP($A59,'Data Vlaue (Cr)'!$C:$FB,68)</f>
        <v>1429</v>
      </c>
      <c r="N59" s="75">
        <f t="shared" si="4"/>
        <v>-425</v>
      </c>
      <c r="O59" s="75">
        <f t="shared" si="5"/>
        <v>-42.330677290836654</v>
      </c>
      <c r="P59" s="75">
        <f>VLOOKUP($A59,'Data Vlaue (Cr)'!$C:$FB,119)</f>
        <v>0.95</v>
      </c>
      <c r="Q59" s="75">
        <f>VLOOKUP($A59,'Data Vlaue (Cr)'!$C:$FB,122)*100</f>
        <v>-1.04</v>
      </c>
      <c r="R59" s="75">
        <f>VLOOKUP($A59,'Data Vlaue (Cr)'!$C:$FB,125)</f>
        <v>0.56999999999999995</v>
      </c>
      <c r="S59" s="75">
        <f>VLOOKUP($A59,'Data Vlaue (Cr)'!$C:$FB,128)*100</f>
        <v>-29.630000000000003</v>
      </c>
    </row>
    <row r="60" spans="1:19" x14ac:dyDescent="0.25">
      <c r="A60" s="96" t="str">
        <f>'Data Vlaue (Cr)'!C51</f>
        <v>CUMMINSIND</v>
      </c>
      <c r="B60" s="75">
        <f>VLOOKUP($A60,'Data Vlaue (Cr)'!$C:$FB,2)</f>
        <v>200</v>
      </c>
      <c r="C60" s="75">
        <f>VLOOKUP($A60,'Data Vlaue (Cr)'!$C:$FB,8)</f>
        <v>4363.2</v>
      </c>
      <c r="D60" s="75">
        <f>VLOOKUP($A60,'Data Vlaue (Cr)'!$C:$FB,4)</f>
        <v>4376.3999999999996</v>
      </c>
      <c r="E60" s="75">
        <f>VLOOKUP($A60,'Data Vlaue (Cr)'!$C:$FB,5)</f>
        <v>4409.7</v>
      </c>
      <c r="F60" s="75">
        <f t="shared" si="0"/>
        <v>13.199999999999818</v>
      </c>
      <c r="G60" s="75">
        <f t="shared" si="1"/>
        <v>-0.76089936934467106</v>
      </c>
      <c r="H60" s="75">
        <f>VLOOKUP($A60,'Data Vlaue (Cr)'!$C:$FB,99)</f>
        <v>2445</v>
      </c>
      <c r="I60" s="75">
        <f>VLOOKUP($A60,'Data Vlaue (Cr)'!$C:$FB,100)</f>
        <v>2454</v>
      </c>
      <c r="J60" s="75">
        <f t="shared" si="2"/>
        <v>-9</v>
      </c>
      <c r="K60" s="75">
        <f t="shared" si="3"/>
        <v>-0.36809815950920244</v>
      </c>
      <c r="L60" s="75">
        <f>VLOOKUP($A60,'Data Vlaue (Cr)'!$C:$FB,67)</f>
        <v>1650</v>
      </c>
      <c r="M60" s="75">
        <f>VLOOKUP($A60,'Data Vlaue (Cr)'!$C:$FB,68)</f>
        <v>1522</v>
      </c>
      <c r="N60" s="75">
        <f t="shared" si="4"/>
        <v>128</v>
      </c>
      <c r="O60" s="75">
        <f t="shared" si="5"/>
        <v>7.7575757575757578</v>
      </c>
      <c r="P60" s="75">
        <f>VLOOKUP($A60,'Data Vlaue (Cr)'!$C:$FB,119)</f>
        <v>0.89</v>
      </c>
      <c r="Q60" s="75">
        <f>VLOOKUP($A60,'Data Vlaue (Cr)'!$C:$FB,122)*100</f>
        <v>-6.32</v>
      </c>
      <c r="R60" s="75">
        <f>VLOOKUP($A60,'Data Vlaue (Cr)'!$C:$FB,125)</f>
        <v>0.51</v>
      </c>
      <c r="S60" s="75">
        <f>VLOOKUP($A60,'Data Vlaue (Cr)'!$C:$FB,128)*100</f>
        <v>-31.080000000000002</v>
      </c>
    </row>
    <row r="61" spans="1:19" x14ac:dyDescent="0.25">
      <c r="A61" s="96" t="str">
        <f>'Data Vlaue (Cr)'!C52</f>
        <v>DABUR</v>
      </c>
      <c r="B61" s="75">
        <f>VLOOKUP($A61,'Data Vlaue (Cr)'!$C:$FB,2)</f>
        <v>1250</v>
      </c>
      <c r="C61" s="75">
        <f>VLOOKUP($A61,'Data Vlaue (Cr)'!$C:$FB,8)</f>
        <v>522.35</v>
      </c>
      <c r="D61" s="75">
        <f>VLOOKUP($A61,'Data Vlaue (Cr)'!$C:$FB,4)</f>
        <v>523.29999999999995</v>
      </c>
      <c r="E61" s="75">
        <f>VLOOKUP($A61,'Data Vlaue (Cr)'!$C:$FB,5)</f>
        <v>520</v>
      </c>
      <c r="F61" s="75">
        <f t="shared" si="0"/>
        <v>0.94999999999993179</v>
      </c>
      <c r="G61" s="75">
        <f t="shared" si="1"/>
        <v>0.63061341486718037</v>
      </c>
      <c r="H61" s="75">
        <f>VLOOKUP($A61,'Data Vlaue (Cr)'!$C:$FB,99)</f>
        <v>2420</v>
      </c>
      <c r="I61" s="75">
        <f>VLOOKUP($A61,'Data Vlaue (Cr)'!$C:$FB,100)</f>
        <v>2411</v>
      </c>
      <c r="J61" s="75">
        <f t="shared" si="2"/>
        <v>9</v>
      </c>
      <c r="K61" s="75">
        <f t="shared" si="3"/>
        <v>0.37190082644628097</v>
      </c>
      <c r="L61" s="75">
        <f>VLOOKUP($A61,'Data Vlaue (Cr)'!$C:$FB,67)</f>
        <v>1111</v>
      </c>
      <c r="M61" s="75">
        <f>VLOOKUP($A61,'Data Vlaue (Cr)'!$C:$FB,68)</f>
        <v>1012</v>
      </c>
      <c r="N61" s="75">
        <f t="shared" si="4"/>
        <v>99</v>
      </c>
      <c r="O61" s="75">
        <f t="shared" si="5"/>
        <v>8.9108910891089099</v>
      </c>
      <c r="P61" s="75">
        <f>VLOOKUP($A61,'Data Vlaue (Cr)'!$C:$FB,119)</f>
        <v>0.57999999999999996</v>
      </c>
      <c r="Q61" s="75">
        <f>VLOOKUP($A61,'Data Vlaue (Cr)'!$C:$FB,122)*100</f>
        <v>-1.69</v>
      </c>
      <c r="R61" s="75">
        <f>VLOOKUP($A61,'Data Vlaue (Cr)'!$C:$FB,125)</f>
        <v>0.51</v>
      </c>
      <c r="S61" s="75">
        <f>VLOOKUP($A61,'Data Vlaue (Cr)'!$C:$FB,128)*100</f>
        <v>30.769999999999996</v>
      </c>
    </row>
    <row r="62" spans="1:19" x14ac:dyDescent="0.25">
      <c r="A62" s="96" t="str">
        <f>'Data Vlaue (Cr)'!C53</f>
        <v>DALBHARAT</v>
      </c>
      <c r="B62" s="75">
        <f>VLOOKUP($A62,'Data Vlaue (Cr)'!$C:$FB,2)</f>
        <v>325</v>
      </c>
      <c r="C62" s="75">
        <f>VLOOKUP($A62,'Data Vlaue (Cr)'!$C:$FB,8)</f>
        <v>2175.1999999999998</v>
      </c>
      <c r="D62" s="75">
        <f>VLOOKUP($A62,'Data Vlaue (Cr)'!$C:$FB,4)</f>
        <v>2181.6999999999998</v>
      </c>
      <c r="E62" s="75">
        <f>VLOOKUP($A62,'Data Vlaue (Cr)'!$C:$FB,5)</f>
        <v>2194.5</v>
      </c>
      <c r="F62" s="75">
        <f t="shared" si="0"/>
        <v>6.5</v>
      </c>
      <c r="G62" s="75">
        <f t="shared" si="1"/>
        <v>-0.58669844616584232</v>
      </c>
      <c r="H62" s="75">
        <f>VLOOKUP($A62,'Data Vlaue (Cr)'!$C:$FB,99)</f>
        <v>1198</v>
      </c>
      <c r="I62" s="75">
        <f>VLOOKUP($A62,'Data Vlaue (Cr)'!$C:$FB,100)</f>
        <v>1160</v>
      </c>
      <c r="J62" s="75">
        <f t="shared" si="2"/>
        <v>38</v>
      </c>
      <c r="K62" s="75">
        <f t="shared" si="3"/>
        <v>3.1719532554257093</v>
      </c>
      <c r="L62" s="75">
        <f>VLOOKUP($A62,'Data Vlaue (Cr)'!$C:$FB,67)</f>
        <v>240</v>
      </c>
      <c r="M62" s="75">
        <f>VLOOKUP($A62,'Data Vlaue (Cr)'!$C:$FB,68)</f>
        <v>331</v>
      </c>
      <c r="N62" s="75">
        <f t="shared" si="4"/>
        <v>-91</v>
      </c>
      <c r="O62" s="75">
        <f t="shared" si="5"/>
        <v>-37.916666666666664</v>
      </c>
      <c r="P62" s="75">
        <f>VLOOKUP($A62,'Data Vlaue (Cr)'!$C:$FB,119)</f>
        <v>2.12</v>
      </c>
      <c r="Q62" s="75">
        <f>VLOOKUP($A62,'Data Vlaue (Cr)'!$C:$FB,122)*100</f>
        <v>-0.92999999999999994</v>
      </c>
      <c r="R62" s="75">
        <f>VLOOKUP($A62,'Data Vlaue (Cr)'!$C:$FB,125)</f>
        <v>1.1399999999999999</v>
      </c>
      <c r="S62" s="75">
        <f>VLOOKUP($A62,'Data Vlaue (Cr)'!$C:$FB,128)*100</f>
        <v>216.67000000000002</v>
      </c>
    </row>
    <row r="63" spans="1:19" x14ac:dyDescent="0.25">
      <c r="A63" s="96" t="str">
        <f>'Data Vlaue (Cr)'!C54</f>
        <v>DELHIVERY</v>
      </c>
      <c r="B63" s="75">
        <f>VLOOKUP($A63,'Data Vlaue (Cr)'!$C:$FB,2)</f>
        <v>2075</v>
      </c>
      <c r="C63" s="75">
        <f>VLOOKUP($A63,'Data Vlaue (Cr)'!$C:$FB,8)</f>
        <v>429.5</v>
      </c>
      <c r="D63" s="75">
        <f>VLOOKUP($A63,'Data Vlaue (Cr)'!$C:$FB,4)</f>
        <v>430.15</v>
      </c>
      <c r="E63" s="75">
        <f>VLOOKUP($A63,'Data Vlaue (Cr)'!$C:$FB,5)</f>
        <v>436.75</v>
      </c>
      <c r="F63" s="75">
        <f t="shared" si="0"/>
        <v>0.64999999999997726</v>
      </c>
      <c r="G63" s="75">
        <f t="shared" si="1"/>
        <v>-1.5343484830873004</v>
      </c>
      <c r="H63" s="75">
        <f>VLOOKUP($A63,'Data Vlaue (Cr)'!$C:$FB,99)</f>
        <v>1789</v>
      </c>
      <c r="I63" s="75">
        <f>VLOOKUP($A63,'Data Vlaue (Cr)'!$C:$FB,100)</f>
        <v>1770</v>
      </c>
      <c r="J63" s="75">
        <f t="shared" si="2"/>
        <v>19</v>
      </c>
      <c r="K63" s="75">
        <f t="shared" si="3"/>
        <v>1.0620458356623812</v>
      </c>
      <c r="L63" s="75">
        <f>VLOOKUP($A63,'Data Vlaue (Cr)'!$C:$FB,67)</f>
        <v>847</v>
      </c>
      <c r="M63" s="75">
        <f>VLOOKUP($A63,'Data Vlaue (Cr)'!$C:$FB,68)</f>
        <v>1150</v>
      </c>
      <c r="N63" s="75">
        <f t="shared" si="4"/>
        <v>-303</v>
      </c>
      <c r="O63" s="75">
        <f t="shared" si="5"/>
        <v>-35.773317591499406</v>
      </c>
      <c r="P63" s="75">
        <f>VLOOKUP($A63,'Data Vlaue (Cr)'!$C:$FB,119)</f>
        <v>0.56999999999999995</v>
      </c>
      <c r="Q63" s="75">
        <f>VLOOKUP($A63,'Data Vlaue (Cr)'!$C:$FB,122)*100</f>
        <v>0</v>
      </c>
      <c r="R63" s="75">
        <f>VLOOKUP($A63,'Data Vlaue (Cr)'!$C:$FB,125)</f>
        <v>0.4</v>
      </c>
      <c r="S63" s="75">
        <f>VLOOKUP($A63,'Data Vlaue (Cr)'!$C:$FB,128)*100</f>
        <v>8.1100000000000012</v>
      </c>
    </row>
    <row r="64" spans="1:19" x14ac:dyDescent="0.25">
      <c r="A64" s="96" t="str">
        <f>'Data Vlaue (Cr)'!C55</f>
        <v>DIVISLAB</v>
      </c>
      <c r="B64" s="75">
        <f>VLOOKUP($A64,'Data Vlaue (Cr)'!$C:$FB,2)</f>
        <v>100</v>
      </c>
      <c r="C64" s="75">
        <f>VLOOKUP($A64,'Data Vlaue (Cr)'!$C:$FB,8)</f>
        <v>6386.5</v>
      </c>
      <c r="D64" s="75">
        <f>VLOOKUP($A64,'Data Vlaue (Cr)'!$C:$FB,4)</f>
        <v>6363</v>
      </c>
      <c r="E64" s="75">
        <f>VLOOKUP($A64,'Data Vlaue (Cr)'!$C:$FB,5)</f>
        <v>6182</v>
      </c>
      <c r="F64" s="75">
        <f t="shared" si="0"/>
        <v>-23.5</v>
      </c>
      <c r="G64" s="75">
        <f t="shared" si="1"/>
        <v>2.8445701713028444</v>
      </c>
      <c r="H64" s="75">
        <f>VLOOKUP($A64,'Data Vlaue (Cr)'!$C:$FB,99)</f>
        <v>4093</v>
      </c>
      <c r="I64" s="75">
        <f>VLOOKUP($A64,'Data Vlaue (Cr)'!$C:$FB,100)</f>
        <v>3609</v>
      </c>
      <c r="J64" s="75">
        <f t="shared" si="2"/>
        <v>484</v>
      </c>
      <c r="K64" s="75">
        <f t="shared" si="3"/>
        <v>11.82506718788175</v>
      </c>
      <c r="L64" s="75">
        <f>VLOOKUP($A64,'Data Vlaue (Cr)'!$C:$FB,67)</f>
        <v>14588</v>
      </c>
      <c r="M64" s="75">
        <f>VLOOKUP($A64,'Data Vlaue (Cr)'!$C:$FB,68)</f>
        <v>2258</v>
      </c>
      <c r="N64" s="75">
        <f t="shared" si="4"/>
        <v>12330</v>
      </c>
      <c r="O64" s="75">
        <f t="shared" si="5"/>
        <v>84.521524540718389</v>
      </c>
      <c r="P64" s="75">
        <f>VLOOKUP($A64,'Data Vlaue (Cr)'!$C:$FB,119)</f>
        <v>0.64</v>
      </c>
      <c r="Q64" s="75">
        <f>VLOOKUP($A64,'Data Vlaue (Cr)'!$C:$FB,122)*100</f>
        <v>-3.0300000000000002</v>
      </c>
      <c r="R64" s="75">
        <f>VLOOKUP($A64,'Data Vlaue (Cr)'!$C:$FB,125)</f>
        <v>0.44</v>
      </c>
      <c r="S64" s="75">
        <f>VLOOKUP($A64,'Data Vlaue (Cr)'!$C:$FB,128)*100</f>
        <v>33.33</v>
      </c>
    </row>
    <row r="65" spans="1:19" x14ac:dyDescent="0.25">
      <c r="A65" s="96" t="str">
        <f>'Data Vlaue (Cr)'!C56</f>
        <v>DIXON</v>
      </c>
      <c r="B65" s="75">
        <f>VLOOKUP($A65,'Data Vlaue (Cr)'!$C:$FB,2)</f>
        <v>50</v>
      </c>
      <c r="C65" s="75">
        <f>VLOOKUP($A65,'Data Vlaue (Cr)'!$C:$FB,8)</f>
        <v>11741</v>
      </c>
      <c r="D65" s="75">
        <f>VLOOKUP($A65,'Data Vlaue (Cr)'!$C:$FB,4)</f>
        <v>11776</v>
      </c>
      <c r="E65" s="75">
        <f>VLOOKUP($A65,'Data Vlaue (Cr)'!$C:$FB,5)</f>
        <v>11621</v>
      </c>
      <c r="F65" s="75">
        <f t="shared" si="0"/>
        <v>35</v>
      </c>
      <c r="G65" s="75">
        <f t="shared" si="1"/>
        <v>1.3162364130434783</v>
      </c>
      <c r="H65" s="75">
        <f>VLOOKUP($A65,'Data Vlaue (Cr)'!$C:$FB,99)</f>
        <v>7370</v>
      </c>
      <c r="I65" s="75">
        <f>VLOOKUP($A65,'Data Vlaue (Cr)'!$C:$FB,100)</f>
        <v>7400</v>
      </c>
      <c r="J65" s="75">
        <f t="shared" si="2"/>
        <v>-30</v>
      </c>
      <c r="K65" s="75">
        <f t="shared" si="3"/>
        <v>-0.40705563093622793</v>
      </c>
      <c r="L65" s="75">
        <f>VLOOKUP($A65,'Data Vlaue (Cr)'!$C:$FB,67)</f>
        <v>6412</v>
      </c>
      <c r="M65" s="75">
        <f>VLOOKUP($A65,'Data Vlaue (Cr)'!$C:$FB,68)</f>
        <v>6478</v>
      </c>
      <c r="N65" s="75">
        <f t="shared" si="4"/>
        <v>-66</v>
      </c>
      <c r="O65" s="75">
        <f t="shared" si="5"/>
        <v>-1.0293200249532126</v>
      </c>
      <c r="P65" s="75">
        <f>VLOOKUP($A65,'Data Vlaue (Cr)'!$C:$FB,119)</f>
        <v>0.78</v>
      </c>
      <c r="Q65" s="75">
        <f>VLOOKUP($A65,'Data Vlaue (Cr)'!$C:$FB,122)*100</f>
        <v>6.8500000000000005</v>
      </c>
      <c r="R65" s="75">
        <f>VLOOKUP($A65,'Data Vlaue (Cr)'!$C:$FB,125)</f>
        <v>0.45</v>
      </c>
      <c r="S65" s="75">
        <f>VLOOKUP($A65,'Data Vlaue (Cr)'!$C:$FB,128)*100</f>
        <v>-10</v>
      </c>
    </row>
    <row r="66" spans="1:19" x14ac:dyDescent="0.25">
      <c r="A66" s="96" t="str">
        <f>'Data Vlaue (Cr)'!C57</f>
        <v>DLF</v>
      </c>
      <c r="B66" s="75">
        <f>VLOOKUP($A66,'Data Vlaue (Cr)'!$C:$FB,2)</f>
        <v>825</v>
      </c>
      <c r="C66" s="75">
        <f>VLOOKUP($A66,'Data Vlaue (Cr)'!$C:$FB,8)</f>
        <v>672.05</v>
      </c>
      <c r="D66" s="75">
        <f>VLOOKUP($A66,'Data Vlaue (Cr)'!$C:$FB,4)</f>
        <v>672.55</v>
      </c>
      <c r="E66" s="75">
        <f>VLOOKUP($A66,'Data Vlaue (Cr)'!$C:$FB,5)</f>
        <v>674.15</v>
      </c>
      <c r="F66" s="75">
        <f t="shared" si="0"/>
        <v>0.5</v>
      </c>
      <c r="G66" s="75">
        <f t="shared" si="1"/>
        <v>-0.23790052784179952</v>
      </c>
      <c r="H66" s="75">
        <f>VLOOKUP($A66,'Data Vlaue (Cr)'!$C:$FB,99)</f>
        <v>5113</v>
      </c>
      <c r="I66" s="75">
        <f>VLOOKUP($A66,'Data Vlaue (Cr)'!$C:$FB,100)</f>
        <v>5108</v>
      </c>
      <c r="J66" s="75">
        <f t="shared" si="2"/>
        <v>5</v>
      </c>
      <c r="K66" s="75">
        <f t="shared" si="3"/>
        <v>9.7789947193428525E-2</v>
      </c>
      <c r="L66" s="75">
        <f>VLOOKUP($A66,'Data Vlaue (Cr)'!$C:$FB,67)</f>
        <v>1594</v>
      </c>
      <c r="M66" s="75">
        <f>VLOOKUP($A66,'Data Vlaue (Cr)'!$C:$FB,68)</f>
        <v>1515</v>
      </c>
      <c r="N66" s="75">
        <f t="shared" si="4"/>
        <v>79</v>
      </c>
      <c r="O66" s="75">
        <f t="shared" si="5"/>
        <v>4.9560853199498123</v>
      </c>
      <c r="P66" s="75">
        <f>VLOOKUP($A66,'Data Vlaue (Cr)'!$C:$FB,119)</f>
        <v>0.87</v>
      </c>
      <c r="Q66" s="75">
        <f>VLOOKUP($A66,'Data Vlaue (Cr)'!$C:$FB,122)*100</f>
        <v>2.35</v>
      </c>
      <c r="R66" s="75">
        <f>VLOOKUP($A66,'Data Vlaue (Cr)'!$C:$FB,125)</f>
        <v>0.63</v>
      </c>
      <c r="S66" s="75">
        <f>VLOOKUP($A66,'Data Vlaue (Cr)'!$C:$FB,128)*100</f>
        <v>43.18</v>
      </c>
    </row>
    <row r="67" spans="1:19" x14ac:dyDescent="0.25">
      <c r="A67" s="96" t="str">
        <f>'Data Vlaue (Cr)'!C58</f>
        <v>DMART</v>
      </c>
      <c r="B67" s="75">
        <f>VLOOKUP($A67,'Data Vlaue (Cr)'!$C:$FB,2)</f>
        <v>150</v>
      </c>
      <c r="C67" s="75">
        <f>VLOOKUP($A67,'Data Vlaue (Cr)'!$C:$FB,8)</f>
        <v>4003.7</v>
      </c>
      <c r="D67" s="75">
        <f>VLOOKUP($A67,'Data Vlaue (Cr)'!$C:$FB,4)</f>
        <v>3988.1</v>
      </c>
      <c r="E67" s="75">
        <f>VLOOKUP($A67,'Data Vlaue (Cr)'!$C:$FB,5)</f>
        <v>3998.8</v>
      </c>
      <c r="F67" s="75">
        <f t="shared" si="0"/>
        <v>-15.599999999999909</v>
      </c>
      <c r="G67" s="75">
        <f t="shared" si="1"/>
        <v>-0.2682981871066491</v>
      </c>
      <c r="H67" s="75">
        <f>VLOOKUP($A67,'Data Vlaue (Cr)'!$C:$FB,99)</f>
        <v>3577</v>
      </c>
      <c r="I67" s="75">
        <f>VLOOKUP($A67,'Data Vlaue (Cr)'!$C:$FB,100)</f>
        <v>3492</v>
      </c>
      <c r="J67" s="75">
        <f t="shared" si="2"/>
        <v>85</v>
      </c>
      <c r="K67" s="75">
        <f t="shared" si="3"/>
        <v>2.3762929829466031</v>
      </c>
      <c r="L67" s="75">
        <f>VLOOKUP($A67,'Data Vlaue (Cr)'!$C:$FB,67)</f>
        <v>1057</v>
      </c>
      <c r="M67" s="75">
        <f>VLOOKUP($A67,'Data Vlaue (Cr)'!$C:$FB,68)</f>
        <v>2420</v>
      </c>
      <c r="N67" s="75">
        <f t="shared" si="4"/>
        <v>-1363</v>
      </c>
      <c r="O67" s="75">
        <f t="shared" si="5"/>
        <v>-128.94985808893094</v>
      </c>
      <c r="P67" s="75">
        <f>VLOOKUP($A67,'Data Vlaue (Cr)'!$C:$FB,119)</f>
        <v>0.69</v>
      </c>
      <c r="Q67" s="75">
        <f>VLOOKUP($A67,'Data Vlaue (Cr)'!$C:$FB,122)*100</f>
        <v>-5.48</v>
      </c>
      <c r="R67" s="75">
        <f>VLOOKUP($A67,'Data Vlaue (Cr)'!$C:$FB,125)</f>
        <v>0.32</v>
      </c>
      <c r="S67" s="75">
        <f>VLOOKUP($A67,'Data Vlaue (Cr)'!$C:$FB,128)*100</f>
        <v>-11.110000000000001</v>
      </c>
    </row>
    <row r="68" spans="1:19" x14ac:dyDescent="0.25">
      <c r="A68" s="96" t="str">
        <f>'Data Vlaue (Cr)'!C59</f>
        <v>DRREDDY</v>
      </c>
      <c r="B68" s="75">
        <f>VLOOKUP($A68,'Data Vlaue (Cr)'!$C:$FB,2)</f>
        <v>625</v>
      </c>
      <c r="C68" s="75">
        <f>VLOOKUP($A68,'Data Vlaue (Cr)'!$C:$FB,8)</f>
        <v>1270.3</v>
      </c>
      <c r="D68" s="75">
        <f>VLOOKUP($A68,'Data Vlaue (Cr)'!$C:$FB,4)</f>
        <v>1271</v>
      </c>
      <c r="E68" s="75">
        <f>VLOOKUP($A68,'Data Vlaue (Cr)'!$C:$FB,5)</f>
        <v>1259</v>
      </c>
      <c r="F68" s="75">
        <f t="shared" si="0"/>
        <v>0.70000000000004547</v>
      </c>
      <c r="G68" s="75">
        <f t="shared" si="1"/>
        <v>0.9441384736428009</v>
      </c>
      <c r="H68" s="75">
        <f>VLOOKUP($A68,'Data Vlaue (Cr)'!$C:$FB,99)</f>
        <v>3531</v>
      </c>
      <c r="I68" s="75">
        <f>VLOOKUP($A68,'Data Vlaue (Cr)'!$C:$FB,100)</f>
        <v>3578</v>
      </c>
      <c r="J68" s="75">
        <f t="shared" si="2"/>
        <v>-47</v>
      </c>
      <c r="K68" s="75">
        <f t="shared" si="3"/>
        <v>-1.3310676862078732</v>
      </c>
      <c r="L68" s="75">
        <f>VLOOKUP($A68,'Data Vlaue (Cr)'!$C:$FB,67)</f>
        <v>1687</v>
      </c>
      <c r="M68" s="75">
        <f>VLOOKUP($A68,'Data Vlaue (Cr)'!$C:$FB,68)</f>
        <v>2262</v>
      </c>
      <c r="N68" s="75">
        <f t="shared" si="4"/>
        <v>-575</v>
      </c>
      <c r="O68" s="75">
        <f t="shared" si="5"/>
        <v>-34.084173088322466</v>
      </c>
      <c r="P68" s="75">
        <f>VLOOKUP($A68,'Data Vlaue (Cr)'!$C:$FB,119)</f>
        <v>0.47</v>
      </c>
      <c r="Q68" s="75">
        <f>VLOOKUP($A68,'Data Vlaue (Cr)'!$C:$FB,122)*100</f>
        <v>4.4400000000000004</v>
      </c>
      <c r="R68" s="75">
        <f>VLOOKUP($A68,'Data Vlaue (Cr)'!$C:$FB,125)</f>
        <v>0.31</v>
      </c>
      <c r="S68" s="75">
        <f>VLOOKUP($A68,'Data Vlaue (Cr)'!$C:$FB,128)*100</f>
        <v>-8.82</v>
      </c>
    </row>
    <row r="69" spans="1:19" x14ac:dyDescent="0.25">
      <c r="A69" s="96" t="str">
        <f>'Data Vlaue (Cr)'!C60</f>
        <v>EICHERMOT</v>
      </c>
      <c r="B69" s="75">
        <f>VLOOKUP($A69,'Data Vlaue (Cr)'!$C:$FB,2)</f>
        <v>100</v>
      </c>
      <c r="C69" s="75">
        <f>VLOOKUP($A69,'Data Vlaue (Cr)'!$C:$FB,8)</f>
        <v>7771</v>
      </c>
      <c r="D69" s="75">
        <f>VLOOKUP($A69,'Data Vlaue (Cr)'!$C:$FB,4)</f>
        <v>7795.5</v>
      </c>
      <c r="E69" s="75">
        <f>VLOOKUP($A69,'Data Vlaue (Cr)'!$C:$FB,5)</f>
        <v>7305</v>
      </c>
      <c r="F69" s="75">
        <f t="shared" si="0"/>
        <v>24.5</v>
      </c>
      <c r="G69" s="75">
        <f t="shared" si="1"/>
        <v>6.2920915913026745</v>
      </c>
      <c r="H69" s="75">
        <f>VLOOKUP($A69,'Data Vlaue (Cr)'!$C:$FB,99)</f>
        <v>6824</v>
      </c>
      <c r="I69" s="75">
        <f>VLOOKUP($A69,'Data Vlaue (Cr)'!$C:$FB,100)</f>
        <v>4968</v>
      </c>
      <c r="J69" s="75">
        <f t="shared" si="2"/>
        <v>1856</v>
      </c>
      <c r="K69" s="75">
        <f t="shared" si="3"/>
        <v>27.198124267291913</v>
      </c>
      <c r="L69" s="75">
        <f>VLOOKUP($A69,'Data Vlaue (Cr)'!$C:$FB,67)</f>
        <v>34975</v>
      </c>
      <c r="M69" s="75">
        <f>VLOOKUP($A69,'Data Vlaue (Cr)'!$C:$FB,68)</f>
        <v>5975</v>
      </c>
      <c r="N69" s="75">
        <f t="shared" si="4"/>
        <v>29000</v>
      </c>
      <c r="O69" s="75">
        <f t="shared" si="5"/>
        <v>82.916368834882064</v>
      </c>
      <c r="P69" s="75">
        <f>VLOOKUP($A69,'Data Vlaue (Cr)'!$C:$FB,119)</f>
        <v>0.95</v>
      </c>
      <c r="Q69" s="75">
        <f>VLOOKUP($A69,'Data Vlaue (Cr)'!$C:$FB,122)*100</f>
        <v>25</v>
      </c>
      <c r="R69" s="75">
        <f>VLOOKUP($A69,'Data Vlaue (Cr)'!$C:$FB,125)</f>
        <v>0.44</v>
      </c>
      <c r="S69" s="75">
        <f>VLOOKUP($A69,'Data Vlaue (Cr)'!$C:$FB,128)*100</f>
        <v>33.33</v>
      </c>
    </row>
    <row r="70" spans="1:19" x14ac:dyDescent="0.25">
      <c r="A70" s="96" t="str">
        <f>'Data Vlaue (Cr)'!C61</f>
        <v>ETERNAL</v>
      </c>
      <c r="B70" s="75">
        <f>VLOOKUP($A70,'Data Vlaue (Cr)'!$C:$FB,2)</f>
        <v>2425</v>
      </c>
      <c r="C70" s="75">
        <f>VLOOKUP($A70,'Data Vlaue (Cr)'!$C:$FB,8)</f>
        <v>300.7</v>
      </c>
      <c r="D70" s="75">
        <f>VLOOKUP($A70,'Data Vlaue (Cr)'!$C:$FB,4)</f>
        <v>301.64999999999998</v>
      </c>
      <c r="E70" s="75">
        <f>VLOOKUP($A70,'Data Vlaue (Cr)'!$C:$FB,5)</f>
        <v>304.10000000000002</v>
      </c>
      <c r="F70" s="75">
        <f t="shared" si="0"/>
        <v>0.94999999999998863</v>
      </c>
      <c r="G70" s="75">
        <f t="shared" si="1"/>
        <v>-0.81219956903697854</v>
      </c>
      <c r="H70" s="75">
        <f>VLOOKUP($A70,'Data Vlaue (Cr)'!$C:$FB,99)</f>
        <v>11654</v>
      </c>
      <c r="I70" s="75">
        <f>VLOOKUP($A70,'Data Vlaue (Cr)'!$C:$FB,100)</f>
        <v>11748</v>
      </c>
      <c r="J70" s="75">
        <f t="shared" si="2"/>
        <v>-94</v>
      </c>
      <c r="K70" s="75">
        <f t="shared" si="3"/>
        <v>-0.8065900120130427</v>
      </c>
      <c r="L70" s="75">
        <f>VLOOKUP($A70,'Data Vlaue (Cr)'!$C:$FB,67)</f>
        <v>6813</v>
      </c>
      <c r="M70" s="75">
        <f>VLOOKUP($A70,'Data Vlaue (Cr)'!$C:$FB,68)</f>
        <v>24544</v>
      </c>
      <c r="N70" s="75">
        <f t="shared" si="4"/>
        <v>-17731</v>
      </c>
      <c r="O70" s="75">
        <f t="shared" si="5"/>
        <v>-260.25245853515338</v>
      </c>
      <c r="P70" s="75">
        <f>VLOOKUP($A70,'Data Vlaue (Cr)'!$C:$FB,119)</f>
        <v>0.82</v>
      </c>
      <c r="Q70" s="75">
        <f>VLOOKUP($A70,'Data Vlaue (Cr)'!$C:$FB,122)*100</f>
        <v>-6.8199999999999994</v>
      </c>
      <c r="R70" s="75">
        <f>VLOOKUP($A70,'Data Vlaue (Cr)'!$C:$FB,125)</f>
        <v>0.59</v>
      </c>
      <c r="S70" s="75">
        <f>VLOOKUP($A70,'Data Vlaue (Cr)'!$C:$FB,128)*100</f>
        <v>47.5</v>
      </c>
    </row>
    <row r="71" spans="1:19" x14ac:dyDescent="0.25">
      <c r="A71" s="96" t="str">
        <f>'Data Vlaue (Cr)'!C62</f>
        <v>EXIDEIND</v>
      </c>
      <c r="B71" s="75">
        <f>VLOOKUP($A71,'Data Vlaue (Cr)'!$C:$FB,2)</f>
        <v>1800</v>
      </c>
      <c r="C71" s="75">
        <f>VLOOKUP($A71,'Data Vlaue (Cr)'!$C:$FB,8)</f>
        <v>341.1</v>
      </c>
      <c r="D71" s="75">
        <f>VLOOKUP($A71,'Data Vlaue (Cr)'!$C:$FB,4)</f>
        <v>341.45</v>
      </c>
      <c r="E71" s="75">
        <f>VLOOKUP($A71,'Data Vlaue (Cr)'!$C:$FB,5)</f>
        <v>339.05</v>
      </c>
      <c r="F71" s="75">
        <f t="shared" si="0"/>
        <v>0.34999999999996589</v>
      </c>
      <c r="G71" s="75">
        <f t="shared" si="1"/>
        <v>0.70288475618684354</v>
      </c>
      <c r="H71" s="75">
        <f>VLOOKUP($A71,'Data Vlaue (Cr)'!$C:$FB,99)</f>
        <v>2224</v>
      </c>
      <c r="I71" s="75">
        <f>VLOOKUP($A71,'Data Vlaue (Cr)'!$C:$FB,100)</f>
        <v>2218</v>
      </c>
      <c r="J71" s="75">
        <f t="shared" si="2"/>
        <v>6</v>
      </c>
      <c r="K71" s="75">
        <f t="shared" si="3"/>
        <v>0.26978417266187049</v>
      </c>
      <c r="L71" s="75">
        <f>VLOOKUP($A71,'Data Vlaue (Cr)'!$C:$FB,67)</f>
        <v>481</v>
      </c>
      <c r="M71" s="75">
        <f>VLOOKUP($A71,'Data Vlaue (Cr)'!$C:$FB,68)</f>
        <v>664</v>
      </c>
      <c r="N71" s="75">
        <f t="shared" si="4"/>
        <v>-183</v>
      </c>
      <c r="O71" s="75">
        <f t="shared" si="5"/>
        <v>-38.045738045738048</v>
      </c>
      <c r="P71" s="75">
        <f>VLOOKUP($A71,'Data Vlaue (Cr)'!$C:$FB,119)</f>
        <v>0.57999999999999996</v>
      </c>
      <c r="Q71" s="75">
        <f>VLOOKUP($A71,'Data Vlaue (Cr)'!$C:$FB,122)*100</f>
        <v>-1.69</v>
      </c>
      <c r="R71" s="75">
        <f>VLOOKUP($A71,'Data Vlaue (Cr)'!$C:$FB,125)</f>
        <v>0.38</v>
      </c>
      <c r="S71" s="75">
        <f>VLOOKUP($A71,'Data Vlaue (Cr)'!$C:$FB,128)*100</f>
        <v>18.75</v>
      </c>
    </row>
    <row r="72" spans="1:19" x14ac:dyDescent="0.25">
      <c r="A72" s="96" t="str">
        <f>'Data Vlaue (Cr)'!C63</f>
        <v>FEDERALBNK</v>
      </c>
      <c r="B72" s="75">
        <f>VLOOKUP($A72,'Data Vlaue (Cr)'!$C:$FB,2)</f>
        <v>5000</v>
      </c>
      <c r="C72" s="75">
        <f>VLOOKUP($A72,'Data Vlaue (Cr)'!$C:$FB,8)</f>
        <v>290.5</v>
      </c>
      <c r="D72" s="75">
        <f>VLOOKUP($A72,'Data Vlaue (Cr)'!$C:$FB,4)</f>
        <v>291.5</v>
      </c>
      <c r="E72" s="75">
        <f>VLOOKUP($A72,'Data Vlaue (Cr)'!$C:$FB,5)</f>
        <v>281.85000000000002</v>
      </c>
      <c r="F72" s="75">
        <f t="shared" si="0"/>
        <v>1</v>
      </c>
      <c r="G72" s="75">
        <f t="shared" si="1"/>
        <v>3.3104631217838687</v>
      </c>
      <c r="H72" s="75">
        <f>VLOOKUP($A72,'Data Vlaue (Cr)'!$C:$FB,99)</f>
        <v>4030</v>
      </c>
      <c r="I72" s="75">
        <f>VLOOKUP($A72,'Data Vlaue (Cr)'!$C:$FB,100)</f>
        <v>3759</v>
      </c>
      <c r="J72" s="75">
        <f t="shared" si="2"/>
        <v>271</v>
      </c>
      <c r="K72" s="75">
        <f t="shared" si="3"/>
        <v>6.7245657568238206</v>
      </c>
      <c r="L72" s="75">
        <f>VLOOKUP($A72,'Data Vlaue (Cr)'!$C:$FB,67)</f>
        <v>9179</v>
      </c>
      <c r="M72" s="75">
        <f>VLOOKUP($A72,'Data Vlaue (Cr)'!$C:$FB,68)</f>
        <v>2791</v>
      </c>
      <c r="N72" s="75">
        <f t="shared" si="4"/>
        <v>6388</v>
      </c>
      <c r="O72" s="75">
        <f t="shared" si="5"/>
        <v>69.59363765116025</v>
      </c>
      <c r="P72" s="75">
        <f>VLOOKUP($A72,'Data Vlaue (Cr)'!$C:$FB,119)</f>
        <v>0.88</v>
      </c>
      <c r="Q72" s="75">
        <f>VLOOKUP($A72,'Data Vlaue (Cr)'!$C:$FB,122)*100</f>
        <v>8.64</v>
      </c>
      <c r="R72" s="75">
        <f>VLOOKUP($A72,'Data Vlaue (Cr)'!$C:$FB,125)</f>
        <v>0.48</v>
      </c>
      <c r="S72" s="75">
        <f>VLOOKUP($A72,'Data Vlaue (Cr)'!$C:$FB,128)*100</f>
        <v>-44.190000000000005</v>
      </c>
    </row>
    <row r="73" spans="1:19" x14ac:dyDescent="0.25">
      <c r="A73" s="96" t="str">
        <f>'Data Vlaue (Cr)'!C64</f>
        <v>FINNIFTY</v>
      </c>
      <c r="B73" s="75">
        <f>VLOOKUP($A73,'Data Vlaue (Cr)'!$C:$FB,2)</f>
        <v>60</v>
      </c>
      <c r="C73" s="75">
        <f>VLOOKUP($A73,'Data Vlaue (Cr)'!$C:$FB,8)</f>
        <v>28276.95</v>
      </c>
      <c r="D73" s="75">
        <f>VLOOKUP($A73,'Data Vlaue (Cr)'!$C:$FB,4)</f>
        <v>28286.799999999999</v>
      </c>
      <c r="E73" s="75">
        <f>VLOOKUP($A73,'Data Vlaue (Cr)'!$C:$FB,5)</f>
        <v>28210.2</v>
      </c>
      <c r="F73" s="75">
        <f t="shared" si="0"/>
        <v>9.8499999999985448</v>
      </c>
      <c r="G73" s="75">
        <f t="shared" si="1"/>
        <v>0.27079768655344028</v>
      </c>
      <c r="H73" s="75">
        <f>VLOOKUP($A73,'Data Vlaue (Cr)'!$C:$FB,99)</f>
        <v>5260</v>
      </c>
      <c r="I73" s="75">
        <f>VLOOKUP($A73,'Data Vlaue (Cr)'!$C:$FB,100)</f>
        <v>4809</v>
      </c>
      <c r="J73" s="75">
        <f t="shared" si="2"/>
        <v>451</v>
      </c>
      <c r="K73" s="75">
        <f t="shared" si="3"/>
        <v>8.5741444866920151</v>
      </c>
      <c r="L73" s="75">
        <f>VLOOKUP($A73,'Data Vlaue (Cr)'!$C:$FB,67)</f>
        <v>7715</v>
      </c>
      <c r="M73" s="75">
        <f>VLOOKUP($A73,'Data Vlaue (Cr)'!$C:$FB,68)</f>
        <v>7223</v>
      </c>
      <c r="N73" s="75">
        <f t="shared" si="4"/>
        <v>492</v>
      </c>
      <c r="O73" s="75">
        <f t="shared" si="5"/>
        <v>6.3771872974724557</v>
      </c>
      <c r="P73" s="75">
        <f>VLOOKUP($A73,'Data Vlaue (Cr)'!$C:$FB,119)</f>
        <v>1.22</v>
      </c>
      <c r="Q73" s="75">
        <f>VLOOKUP($A73,'Data Vlaue (Cr)'!$C:$FB,122)*100</f>
        <v>-12.23</v>
      </c>
      <c r="R73" s="75">
        <f>VLOOKUP($A73,'Data Vlaue (Cr)'!$C:$FB,125)</f>
        <v>1.17</v>
      </c>
      <c r="S73" s="75">
        <f>VLOOKUP($A73,'Data Vlaue (Cr)'!$C:$FB,128)*100</f>
        <v>-32.76</v>
      </c>
    </row>
    <row r="74" spans="1:19" x14ac:dyDescent="0.25">
      <c r="A74" s="96" t="str">
        <f>'Data Vlaue (Cr)'!C65</f>
        <v>FORTIS</v>
      </c>
      <c r="B74" s="75">
        <f>VLOOKUP($A74,'Data Vlaue (Cr)'!$C:$FB,2)</f>
        <v>775</v>
      </c>
      <c r="C74" s="75">
        <f>VLOOKUP($A74,'Data Vlaue (Cr)'!$C:$FB,8)</f>
        <v>918.85</v>
      </c>
      <c r="D74" s="75">
        <f>VLOOKUP($A74,'Data Vlaue (Cr)'!$C:$FB,4)</f>
        <v>921.25</v>
      </c>
      <c r="E74" s="75">
        <f>VLOOKUP($A74,'Data Vlaue (Cr)'!$C:$FB,5)</f>
        <v>892.95</v>
      </c>
      <c r="F74" s="75">
        <f t="shared" si="0"/>
        <v>2.3999999999999773</v>
      </c>
      <c r="G74" s="75">
        <f t="shared" si="1"/>
        <v>3.0719131614653952</v>
      </c>
      <c r="H74" s="75">
        <f>VLOOKUP($A74,'Data Vlaue (Cr)'!$C:$FB,99)</f>
        <v>1884</v>
      </c>
      <c r="I74" s="75">
        <f>VLOOKUP($A74,'Data Vlaue (Cr)'!$C:$FB,100)</f>
        <v>1584</v>
      </c>
      <c r="J74" s="75">
        <f t="shared" si="2"/>
        <v>300</v>
      </c>
      <c r="K74" s="75">
        <f t="shared" si="3"/>
        <v>15.923566878980891</v>
      </c>
      <c r="L74" s="75">
        <f>VLOOKUP($A74,'Data Vlaue (Cr)'!$C:$FB,67)</f>
        <v>4624</v>
      </c>
      <c r="M74" s="75">
        <f>VLOOKUP($A74,'Data Vlaue (Cr)'!$C:$FB,68)</f>
        <v>576</v>
      </c>
      <c r="N74" s="75">
        <f t="shared" si="4"/>
        <v>4048</v>
      </c>
      <c r="O74" s="75">
        <f t="shared" si="5"/>
        <v>87.543252595155707</v>
      </c>
      <c r="P74" s="75">
        <f>VLOOKUP($A74,'Data Vlaue (Cr)'!$C:$FB,119)</f>
        <v>0.67</v>
      </c>
      <c r="Q74" s="75">
        <f>VLOOKUP($A74,'Data Vlaue (Cr)'!$C:$FB,122)*100</f>
        <v>-14.099999999999998</v>
      </c>
      <c r="R74" s="75">
        <f>VLOOKUP($A74,'Data Vlaue (Cr)'!$C:$FB,125)</f>
        <v>0.31</v>
      </c>
      <c r="S74" s="75">
        <f>VLOOKUP($A74,'Data Vlaue (Cr)'!$C:$FB,128)*100</f>
        <v>-41.510000000000005</v>
      </c>
    </row>
    <row r="75" spans="1:19" x14ac:dyDescent="0.25">
      <c r="A75" s="96" t="str">
        <f>'Data Vlaue (Cr)'!C66</f>
        <v>GAIL</v>
      </c>
      <c r="B75" s="75">
        <f>VLOOKUP($A75,'Data Vlaue (Cr)'!$C:$FB,2)</f>
        <v>3150</v>
      </c>
      <c r="C75" s="75">
        <f>VLOOKUP($A75,'Data Vlaue (Cr)'!$C:$FB,8)</f>
        <v>163.47</v>
      </c>
      <c r="D75" s="75">
        <f>VLOOKUP($A75,'Data Vlaue (Cr)'!$C:$FB,4)</f>
        <v>164.01</v>
      </c>
      <c r="E75" s="75">
        <f>VLOOKUP($A75,'Data Vlaue (Cr)'!$C:$FB,5)</f>
        <v>165.06</v>
      </c>
      <c r="F75" s="75">
        <f t="shared" si="0"/>
        <v>0.53999999999999204</v>
      </c>
      <c r="G75" s="75">
        <f>(D75-E75)/D75*100</f>
        <v>-0.64020486555698519</v>
      </c>
      <c r="H75" s="75">
        <f>VLOOKUP($A75,'Data Vlaue (Cr)'!$C:$FB,99)</f>
        <v>3121</v>
      </c>
      <c r="I75" s="75">
        <f>VLOOKUP($A75,'Data Vlaue (Cr)'!$C:$FB,100)</f>
        <v>3091</v>
      </c>
      <c r="J75" s="75">
        <f t="shared" si="2"/>
        <v>30</v>
      </c>
      <c r="K75" s="75">
        <f t="shared" si="3"/>
        <v>0.96123037487984619</v>
      </c>
      <c r="L75" s="75">
        <f>VLOOKUP($A75,'Data Vlaue (Cr)'!$C:$FB,67)</f>
        <v>604</v>
      </c>
      <c r="M75" s="75">
        <f>VLOOKUP($A75,'Data Vlaue (Cr)'!$C:$FB,68)</f>
        <v>1265</v>
      </c>
      <c r="N75" s="75">
        <f t="shared" si="4"/>
        <v>-661</v>
      </c>
      <c r="O75" s="75">
        <f t="shared" si="5"/>
        <v>-109.43708609271523</v>
      </c>
      <c r="P75" s="75">
        <f>VLOOKUP($A75,'Data Vlaue (Cr)'!$C:$FB,119)</f>
        <v>0.76</v>
      </c>
      <c r="Q75" s="75">
        <f>VLOOKUP($A75,'Data Vlaue (Cr)'!$C:$FB,122)*100</f>
        <v>0</v>
      </c>
      <c r="R75" s="75">
        <f>VLOOKUP($A75,'Data Vlaue (Cr)'!$C:$FB,125)</f>
        <v>0.5</v>
      </c>
      <c r="S75" s="75">
        <f>VLOOKUP($A75,'Data Vlaue (Cr)'!$C:$FB,128)*100</f>
        <v>-9.09</v>
      </c>
    </row>
    <row r="76" spans="1:19" x14ac:dyDescent="0.25">
      <c r="A76" s="96" t="str">
        <f>'Data Vlaue (Cr)'!C67</f>
        <v>GLENMARK</v>
      </c>
      <c r="B76" s="75">
        <f>VLOOKUP($A76,'Data Vlaue (Cr)'!$C:$FB,2)</f>
        <v>375</v>
      </c>
      <c r="C76" s="75">
        <f>VLOOKUP($A76,'Data Vlaue (Cr)'!$C:$FB,8)</f>
        <v>2015.2</v>
      </c>
      <c r="D76" s="75">
        <f>VLOOKUP($A76,'Data Vlaue (Cr)'!$C:$FB,4)</f>
        <v>2018</v>
      </c>
      <c r="E76" s="75">
        <f>VLOOKUP($A76,'Data Vlaue (Cr)'!$C:$FB,5)</f>
        <v>1963.6</v>
      </c>
      <c r="F76" s="75">
        <f t="shared" ref="F76:F139" si="6">D76-C76</f>
        <v>2.7999999999999545</v>
      </c>
      <c r="G76" s="75">
        <f t="shared" ref="G76:G139" si="7">(D76-E76)/D76*100</f>
        <v>2.695738354806744</v>
      </c>
      <c r="H76" s="75">
        <f>VLOOKUP($A76,'Data Vlaue (Cr)'!$C:$FB,99)</f>
        <v>3171</v>
      </c>
      <c r="I76" s="75">
        <f>VLOOKUP($A76,'Data Vlaue (Cr)'!$C:$FB,100)</f>
        <v>3154</v>
      </c>
      <c r="J76" s="75">
        <f t="shared" ref="J76:J139" si="8">H76-I76</f>
        <v>17</v>
      </c>
      <c r="K76" s="75">
        <f t="shared" ref="K76:K139" si="9">J76/H76*100</f>
        <v>0.53610848312835069</v>
      </c>
      <c r="L76" s="75">
        <f>VLOOKUP($A76,'Data Vlaue (Cr)'!$C:$FB,67)</f>
        <v>1609</v>
      </c>
      <c r="M76" s="75">
        <f>VLOOKUP($A76,'Data Vlaue (Cr)'!$C:$FB,68)</f>
        <v>682</v>
      </c>
      <c r="N76" s="75">
        <f t="shared" ref="N76:N139" si="10">L76-M76</f>
        <v>927</v>
      </c>
      <c r="O76" s="75">
        <f t="shared" ref="O76:O139" si="11">N76/L76*100</f>
        <v>57.613424487259167</v>
      </c>
      <c r="P76" s="75">
        <f>VLOOKUP($A76,'Data Vlaue (Cr)'!$C:$FB,119)</f>
        <v>0.71</v>
      </c>
      <c r="Q76" s="75">
        <f>VLOOKUP($A76,'Data Vlaue (Cr)'!$C:$FB,122)*100</f>
        <v>9.2299999999999986</v>
      </c>
      <c r="R76" s="75">
        <f>VLOOKUP($A76,'Data Vlaue (Cr)'!$C:$FB,125)</f>
        <v>0.31</v>
      </c>
      <c r="S76" s="75">
        <f>VLOOKUP($A76,'Data Vlaue (Cr)'!$C:$FB,128)*100</f>
        <v>-13.889999999999999</v>
      </c>
    </row>
    <row r="77" spans="1:19" x14ac:dyDescent="0.25">
      <c r="A77" s="96" t="str">
        <f>'Data Vlaue (Cr)'!C68</f>
        <v>GMRAIRPORT</v>
      </c>
      <c r="B77" s="75">
        <f>VLOOKUP($A77,'Data Vlaue (Cr)'!$C:$FB,2)</f>
        <v>6975</v>
      </c>
      <c r="C77" s="75">
        <f>VLOOKUP($A77,'Data Vlaue (Cr)'!$C:$FB,8)</f>
        <v>96.81</v>
      </c>
      <c r="D77" s="75">
        <f>VLOOKUP($A77,'Data Vlaue (Cr)'!$C:$FB,4)</f>
        <v>97.09</v>
      </c>
      <c r="E77" s="75">
        <f>VLOOKUP($A77,'Data Vlaue (Cr)'!$C:$FB,5)</f>
        <v>97.94</v>
      </c>
      <c r="F77" s="75">
        <f t="shared" si="6"/>
        <v>0.28000000000000114</v>
      </c>
      <c r="G77" s="75">
        <f t="shared" si="7"/>
        <v>-0.87547636213821634</v>
      </c>
      <c r="H77" s="75">
        <f>VLOOKUP($A77,'Data Vlaue (Cr)'!$C:$FB,99)</f>
        <v>2855</v>
      </c>
      <c r="I77" s="75">
        <f>VLOOKUP($A77,'Data Vlaue (Cr)'!$C:$FB,100)</f>
        <v>2783</v>
      </c>
      <c r="J77" s="75">
        <f t="shared" si="8"/>
        <v>72</v>
      </c>
      <c r="K77" s="75">
        <f t="shared" si="9"/>
        <v>2.5218914185639227</v>
      </c>
      <c r="L77" s="75">
        <f>VLOOKUP($A77,'Data Vlaue (Cr)'!$C:$FB,67)</f>
        <v>528</v>
      </c>
      <c r="M77" s="75">
        <f>VLOOKUP($A77,'Data Vlaue (Cr)'!$C:$FB,68)</f>
        <v>537</v>
      </c>
      <c r="N77" s="75">
        <f t="shared" si="10"/>
        <v>-9</v>
      </c>
      <c r="O77" s="75">
        <f t="shared" si="11"/>
        <v>-1.7045454545454544</v>
      </c>
      <c r="P77" s="75">
        <f>VLOOKUP($A77,'Data Vlaue (Cr)'!$C:$FB,119)</f>
        <v>0.68</v>
      </c>
      <c r="Q77" s="75">
        <f>VLOOKUP($A77,'Data Vlaue (Cr)'!$C:$FB,122)*100</f>
        <v>-4.2299999999999995</v>
      </c>
      <c r="R77" s="75">
        <f>VLOOKUP($A77,'Data Vlaue (Cr)'!$C:$FB,125)</f>
        <v>0.32</v>
      </c>
      <c r="S77" s="75">
        <f>VLOOKUP($A77,'Data Vlaue (Cr)'!$C:$FB,128)*100</f>
        <v>-38.46</v>
      </c>
    </row>
    <row r="78" spans="1:19" x14ac:dyDescent="0.25">
      <c r="A78" s="96" t="str">
        <f>'Data Vlaue (Cr)'!C69</f>
        <v>GODREJCP</v>
      </c>
      <c r="B78" s="75">
        <f>VLOOKUP($A78,'Data Vlaue (Cr)'!$C:$FB,2)</f>
        <v>500</v>
      </c>
      <c r="C78" s="75">
        <f>VLOOKUP($A78,'Data Vlaue (Cr)'!$C:$FB,8)</f>
        <v>1208.5999999999999</v>
      </c>
      <c r="D78" s="75">
        <f>VLOOKUP($A78,'Data Vlaue (Cr)'!$C:$FB,4)</f>
        <v>1211.7</v>
      </c>
      <c r="E78" s="75">
        <f>VLOOKUP($A78,'Data Vlaue (Cr)'!$C:$FB,5)</f>
        <v>1206.8</v>
      </c>
      <c r="F78" s="75">
        <f t="shared" si="6"/>
        <v>3.1000000000001364</v>
      </c>
      <c r="G78" s="75">
        <f t="shared" si="7"/>
        <v>0.40439052570769085</v>
      </c>
      <c r="H78" s="75">
        <f>VLOOKUP($A78,'Data Vlaue (Cr)'!$C:$FB,99)</f>
        <v>1624</v>
      </c>
      <c r="I78" s="75">
        <f>VLOOKUP($A78,'Data Vlaue (Cr)'!$C:$FB,100)</f>
        <v>1630</v>
      </c>
      <c r="J78" s="75">
        <f t="shared" si="8"/>
        <v>-6</v>
      </c>
      <c r="K78" s="75">
        <f t="shared" si="9"/>
        <v>-0.36945812807881773</v>
      </c>
      <c r="L78" s="75">
        <f>VLOOKUP($A78,'Data Vlaue (Cr)'!$C:$FB,67)</f>
        <v>550</v>
      </c>
      <c r="M78" s="75">
        <f>VLOOKUP($A78,'Data Vlaue (Cr)'!$C:$FB,68)</f>
        <v>807</v>
      </c>
      <c r="N78" s="75">
        <f t="shared" si="10"/>
        <v>-257</v>
      </c>
      <c r="O78" s="75">
        <f t="shared" si="11"/>
        <v>-46.727272727272727</v>
      </c>
      <c r="P78" s="75">
        <f>VLOOKUP($A78,'Data Vlaue (Cr)'!$C:$FB,119)</f>
        <v>0.74</v>
      </c>
      <c r="Q78" s="75">
        <f>VLOOKUP($A78,'Data Vlaue (Cr)'!$C:$FB,122)*100</f>
        <v>0</v>
      </c>
      <c r="R78" s="75">
        <f>VLOOKUP($A78,'Data Vlaue (Cr)'!$C:$FB,125)</f>
        <v>0.36</v>
      </c>
      <c r="S78" s="75">
        <f>VLOOKUP($A78,'Data Vlaue (Cr)'!$C:$FB,128)*100</f>
        <v>-5.26</v>
      </c>
    </row>
    <row r="79" spans="1:19" x14ac:dyDescent="0.25">
      <c r="A79" s="96" t="str">
        <f>'Data Vlaue (Cr)'!C70</f>
        <v>GODREJPROP</v>
      </c>
      <c r="B79" s="75">
        <f>VLOOKUP($A79,'Data Vlaue (Cr)'!$C:$FB,2)</f>
        <v>275</v>
      </c>
      <c r="C79" s="75">
        <f>VLOOKUP($A79,'Data Vlaue (Cr)'!$C:$FB,8)</f>
        <v>1852.1</v>
      </c>
      <c r="D79" s="75">
        <f>VLOOKUP($A79,'Data Vlaue (Cr)'!$C:$FB,4)</f>
        <v>1853.4</v>
      </c>
      <c r="E79" s="75">
        <f>VLOOKUP($A79,'Data Vlaue (Cr)'!$C:$FB,5)</f>
        <v>1824.1</v>
      </c>
      <c r="F79" s="75">
        <f t="shared" si="6"/>
        <v>1.3000000000001819</v>
      </c>
      <c r="G79" s="75">
        <f t="shared" si="7"/>
        <v>1.5808783856695898</v>
      </c>
      <c r="H79" s="75">
        <f>VLOOKUP($A79,'Data Vlaue (Cr)'!$C:$FB,99)</f>
        <v>3282</v>
      </c>
      <c r="I79" s="75">
        <f>VLOOKUP($A79,'Data Vlaue (Cr)'!$C:$FB,100)</f>
        <v>3366</v>
      </c>
      <c r="J79" s="75">
        <f t="shared" si="8"/>
        <v>-84</v>
      </c>
      <c r="K79" s="75">
        <f t="shared" si="9"/>
        <v>-2.5594149908592323</v>
      </c>
      <c r="L79" s="75">
        <f>VLOOKUP($A79,'Data Vlaue (Cr)'!$C:$FB,67)</f>
        <v>2242</v>
      </c>
      <c r="M79" s="75">
        <f>VLOOKUP($A79,'Data Vlaue (Cr)'!$C:$FB,68)</f>
        <v>2141</v>
      </c>
      <c r="N79" s="75">
        <f t="shared" si="10"/>
        <v>101</v>
      </c>
      <c r="O79" s="75">
        <f t="shared" si="11"/>
        <v>4.5049063336306876</v>
      </c>
      <c r="P79" s="75">
        <f>VLOOKUP($A79,'Data Vlaue (Cr)'!$C:$FB,119)</f>
        <v>0.72</v>
      </c>
      <c r="Q79" s="75">
        <f>VLOOKUP($A79,'Data Vlaue (Cr)'!$C:$FB,122)*100</f>
        <v>-1.37</v>
      </c>
      <c r="R79" s="75">
        <f>VLOOKUP($A79,'Data Vlaue (Cr)'!$C:$FB,125)</f>
        <v>0.54</v>
      </c>
      <c r="S79" s="75">
        <f>VLOOKUP($A79,'Data Vlaue (Cr)'!$C:$FB,128)*100</f>
        <v>22.73</v>
      </c>
    </row>
    <row r="80" spans="1:19" x14ac:dyDescent="0.25">
      <c r="A80" s="96" t="str">
        <f>'Data Vlaue (Cr)'!C71</f>
        <v>GRASIM</v>
      </c>
      <c r="B80" s="75">
        <f>VLOOKUP($A80,'Data Vlaue (Cr)'!$C:$FB,2)</f>
        <v>250</v>
      </c>
      <c r="C80" s="75">
        <f>VLOOKUP($A80,'Data Vlaue (Cr)'!$C:$FB,8)</f>
        <v>2932.6</v>
      </c>
      <c r="D80" s="75">
        <f>VLOOKUP($A80,'Data Vlaue (Cr)'!$C:$FB,4)</f>
        <v>2935.8</v>
      </c>
      <c r="E80" s="75">
        <f>VLOOKUP($A80,'Data Vlaue (Cr)'!$C:$FB,5)</f>
        <v>2958.1</v>
      </c>
      <c r="F80" s="75">
        <f t="shared" si="6"/>
        <v>3.2000000000002728</v>
      </c>
      <c r="G80" s="75">
        <f t="shared" si="7"/>
        <v>-0.75958852782886177</v>
      </c>
      <c r="H80" s="75">
        <f>VLOOKUP($A80,'Data Vlaue (Cr)'!$C:$FB,99)</f>
        <v>6227</v>
      </c>
      <c r="I80" s="75">
        <f>VLOOKUP($A80,'Data Vlaue (Cr)'!$C:$FB,100)</f>
        <v>6263</v>
      </c>
      <c r="J80" s="75">
        <f t="shared" si="8"/>
        <v>-36</v>
      </c>
      <c r="K80" s="75">
        <f t="shared" si="9"/>
        <v>-0.57812750923398104</v>
      </c>
      <c r="L80" s="75">
        <f>VLOOKUP($A80,'Data Vlaue (Cr)'!$C:$FB,67)</f>
        <v>4835</v>
      </c>
      <c r="M80" s="75">
        <f>VLOOKUP($A80,'Data Vlaue (Cr)'!$C:$FB,68)</f>
        <v>3549</v>
      </c>
      <c r="N80" s="75">
        <f t="shared" si="10"/>
        <v>1286</v>
      </c>
      <c r="O80" s="75">
        <f t="shared" si="11"/>
        <v>26.597724922440534</v>
      </c>
      <c r="P80" s="75">
        <f>VLOOKUP($A80,'Data Vlaue (Cr)'!$C:$FB,119)</f>
        <v>0.84</v>
      </c>
      <c r="Q80" s="75">
        <f>VLOOKUP($A80,'Data Vlaue (Cr)'!$C:$FB,122)*100</f>
        <v>-12.5</v>
      </c>
      <c r="R80" s="75">
        <f>VLOOKUP($A80,'Data Vlaue (Cr)'!$C:$FB,125)</f>
        <v>0.51</v>
      </c>
      <c r="S80" s="75">
        <f>VLOOKUP($A80,'Data Vlaue (Cr)'!$C:$FB,128)*100</f>
        <v>-16.39</v>
      </c>
    </row>
    <row r="81" spans="1:19" x14ac:dyDescent="0.25">
      <c r="A81" s="96" t="str">
        <f>'Data Vlaue (Cr)'!C72</f>
        <v>HAL</v>
      </c>
      <c r="B81" s="75">
        <f>VLOOKUP($A81,'Data Vlaue (Cr)'!$C:$FB,2)</f>
        <v>150</v>
      </c>
      <c r="C81" s="75">
        <f>VLOOKUP($A81,'Data Vlaue (Cr)'!$C:$FB,8)</f>
        <v>4133</v>
      </c>
      <c r="D81" s="75">
        <f>VLOOKUP($A81,'Data Vlaue (Cr)'!$C:$FB,4)</f>
        <v>4117.6000000000004</v>
      </c>
      <c r="E81" s="75">
        <f>VLOOKUP($A81,'Data Vlaue (Cr)'!$C:$FB,5)</f>
        <v>4139.3999999999996</v>
      </c>
      <c r="F81" s="75">
        <f t="shared" si="6"/>
        <v>-15.399999999999636</v>
      </c>
      <c r="G81" s="75">
        <f t="shared" si="7"/>
        <v>-0.52943462210994918</v>
      </c>
      <c r="H81" s="75">
        <f>VLOOKUP($A81,'Data Vlaue (Cr)'!$C:$FB,99)</f>
        <v>10589</v>
      </c>
      <c r="I81" s="75">
        <f>VLOOKUP($A81,'Data Vlaue (Cr)'!$C:$FB,100)</f>
        <v>10504</v>
      </c>
      <c r="J81" s="75">
        <f t="shared" si="8"/>
        <v>85</v>
      </c>
      <c r="K81" s="75">
        <f t="shared" si="9"/>
        <v>0.80271980356974215</v>
      </c>
      <c r="L81" s="75">
        <f>VLOOKUP($A81,'Data Vlaue (Cr)'!$C:$FB,67)</f>
        <v>3909</v>
      </c>
      <c r="M81" s="75">
        <f>VLOOKUP($A81,'Data Vlaue (Cr)'!$C:$FB,68)</f>
        <v>5004</v>
      </c>
      <c r="N81" s="75">
        <f t="shared" si="10"/>
        <v>-1095</v>
      </c>
      <c r="O81" s="75">
        <f t="shared" si="11"/>
        <v>-28.012279355333845</v>
      </c>
      <c r="P81" s="75">
        <f>VLOOKUP($A81,'Data Vlaue (Cr)'!$C:$FB,119)</f>
        <v>0.55000000000000004</v>
      </c>
      <c r="Q81" s="75">
        <f>VLOOKUP($A81,'Data Vlaue (Cr)'!$C:$FB,122)*100</f>
        <v>0</v>
      </c>
      <c r="R81" s="75">
        <f>VLOOKUP($A81,'Data Vlaue (Cr)'!$C:$FB,125)</f>
        <v>0.36</v>
      </c>
      <c r="S81" s="75">
        <f>VLOOKUP($A81,'Data Vlaue (Cr)'!$C:$FB,128)*100</f>
        <v>0</v>
      </c>
    </row>
    <row r="82" spans="1:19" x14ac:dyDescent="0.25">
      <c r="A82" s="96" t="str">
        <f>'Data Vlaue (Cr)'!C73</f>
        <v>HAVELLS</v>
      </c>
      <c r="B82" s="75">
        <f>VLOOKUP($A82,'Data Vlaue (Cr)'!$C:$FB,2)</f>
        <v>500</v>
      </c>
      <c r="C82" s="75">
        <f>VLOOKUP($A82,'Data Vlaue (Cr)'!$C:$FB,8)</f>
        <v>1383.8</v>
      </c>
      <c r="D82" s="75">
        <f>VLOOKUP($A82,'Data Vlaue (Cr)'!$C:$FB,4)</f>
        <v>1387.1</v>
      </c>
      <c r="E82" s="75">
        <f>VLOOKUP($A82,'Data Vlaue (Cr)'!$C:$FB,5)</f>
        <v>1374.6</v>
      </c>
      <c r="F82" s="75">
        <f t="shared" si="6"/>
        <v>3.2999999999999545</v>
      </c>
      <c r="G82" s="75">
        <f t="shared" si="7"/>
        <v>0.90116069497512796</v>
      </c>
      <c r="H82" s="75">
        <f>VLOOKUP($A82,'Data Vlaue (Cr)'!$C:$FB,99)</f>
        <v>2198</v>
      </c>
      <c r="I82" s="75">
        <f>VLOOKUP($A82,'Data Vlaue (Cr)'!$C:$FB,100)</f>
        <v>2194</v>
      </c>
      <c r="J82" s="75">
        <f t="shared" si="8"/>
        <v>4</v>
      </c>
      <c r="K82" s="75">
        <f t="shared" si="9"/>
        <v>0.18198362147406735</v>
      </c>
      <c r="L82" s="75">
        <f>VLOOKUP($A82,'Data Vlaue (Cr)'!$C:$FB,67)</f>
        <v>651</v>
      </c>
      <c r="M82" s="75">
        <f>VLOOKUP($A82,'Data Vlaue (Cr)'!$C:$FB,68)</f>
        <v>841</v>
      </c>
      <c r="N82" s="75">
        <f t="shared" si="10"/>
        <v>-190</v>
      </c>
      <c r="O82" s="75">
        <f t="shared" si="11"/>
        <v>-29.185867895545314</v>
      </c>
      <c r="P82" s="75">
        <f>VLOOKUP($A82,'Data Vlaue (Cr)'!$C:$FB,119)</f>
        <v>0.68</v>
      </c>
      <c r="Q82" s="75">
        <f>VLOOKUP($A82,'Data Vlaue (Cr)'!$C:$FB,122)*100</f>
        <v>-1.4500000000000002</v>
      </c>
      <c r="R82" s="75">
        <f>VLOOKUP($A82,'Data Vlaue (Cr)'!$C:$FB,125)</f>
        <v>0.46</v>
      </c>
      <c r="S82" s="75">
        <f>VLOOKUP($A82,'Data Vlaue (Cr)'!$C:$FB,128)*100</f>
        <v>-6.12</v>
      </c>
    </row>
    <row r="83" spans="1:19" x14ac:dyDescent="0.25">
      <c r="A83" s="96" t="str">
        <f>'Data Vlaue (Cr)'!C74</f>
        <v>HCLTECH</v>
      </c>
      <c r="B83" s="75">
        <f>VLOOKUP($A83,'Data Vlaue (Cr)'!$C:$FB,2)</f>
        <v>350</v>
      </c>
      <c r="C83" s="75">
        <f>VLOOKUP($A83,'Data Vlaue (Cr)'!$C:$FB,8)</f>
        <v>1551.6</v>
      </c>
      <c r="D83" s="75">
        <f>VLOOKUP($A83,'Data Vlaue (Cr)'!$C:$FB,4)</f>
        <v>1553.5</v>
      </c>
      <c r="E83" s="75">
        <f>VLOOKUP($A83,'Data Vlaue (Cr)'!$C:$FB,5)</f>
        <v>1578.3</v>
      </c>
      <c r="F83" s="75">
        <f t="shared" si="6"/>
        <v>1.9000000000000909</v>
      </c>
      <c r="G83" s="75">
        <f t="shared" si="7"/>
        <v>-1.5963952365625977</v>
      </c>
      <c r="H83" s="75">
        <f>VLOOKUP($A83,'Data Vlaue (Cr)'!$C:$FB,99)</f>
        <v>5539</v>
      </c>
      <c r="I83" s="75">
        <f>VLOOKUP($A83,'Data Vlaue (Cr)'!$C:$FB,100)</f>
        <v>5343</v>
      </c>
      <c r="J83" s="75">
        <f t="shared" si="8"/>
        <v>196</v>
      </c>
      <c r="K83" s="75">
        <f t="shared" si="9"/>
        <v>3.5385448636938079</v>
      </c>
      <c r="L83" s="75">
        <f>VLOOKUP($A83,'Data Vlaue (Cr)'!$C:$FB,67)</f>
        <v>3293</v>
      </c>
      <c r="M83" s="75">
        <f>VLOOKUP($A83,'Data Vlaue (Cr)'!$C:$FB,68)</f>
        <v>3242</v>
      </c>
      <c r="N83" s="75">
        <f t="shared" si="10"/>
        <v>51</v>
      </c>
      <c r="O83" s="75">
        <f t="shared" si="11"/>
        <v>1.5487397509869418</v>
      </c>
      <c r="P83" s="75">
        <f>VLOOKUP($A83,'Data Vlaue (Cr)'!$C:$FB,119)</f>
        <v>0.53</v>
      </c>
      <c r="Q83" s="75">
        <f>VLOOKUP($A83,'Data Vlaue (Cr)'!$C:$FB,122)*100</f>
        <v>-10.17</v>
      </c>
      <c r="R83" s="75">
        <f>VLOOKUP($A83,'Data Vlaue (Cr)'!$C:$FB,125)</f>
        <v>0.7</v>
      </c>
      <c r="S83" s="75">
        <f>VLOOKUP($A83,'Data Vlaue (Cr)'!$C:$FB,128)*100</f>
        <v>20.69</v>
      </c>
    </row>
    <row r="84" spans="1:19" x14ac:dyDescent="0.25">
      <c r="A84" s="96" t="str">
        <f>'Data Vlaue (Cr)'!C75</f>
        <v>HDFCAMC</v>
      </c>
      <c r="B84" s="75">
        <f>VLOOKUP($A84,'Data Vlaue (Cr)'!$C:$FB,2)</f>
        <v>300</v>
      </c>
      <c r="C84" s="75">
        <f>VLOOKUP($A84,'Data Vlaue (Cr)'!$C:$FB,8)</f>
        <v>2826.9</v>
      </c>
      <c r="D84" s="75">
        <f>VLOOKUP($A84,'Data Vlaue (Cr)'!$C:$FB,4)</f>
        <v>2831.7</v>
      </c>
      <c r="E84" s="75">
        <f>VLOOKUP($A84,'Data Vlaue (Cr)'!$C:$FB,5)</f>
        <v>2819.5</v>
      </c>
      <c r="F84" s="75">
        <f t="shared" si="6"/>
        <v>4.7999999999997272</v>
      </c>
      <c r="G84" s="75">
        <f t="shared" si="7"/>
        <v>0.43083659992230172</v>
      </c>
      <c r="H84" s="75">
        <f>VLOOKUP($A84,'Data Vlaue (Cr)'!$C:$FB,99)</f>
        <v>2799</v>
      </c>
      <c r="I84" s="75">
        <f>VLOOKUP($A84,'Data Vlaue (Cr)'!$C:$FB,100)</f>
        <v>2820</v>
      </c>
      <c r="J84" s="75">
        <f t="shared" si="8"/>
        <v>-21</v>
      </c>
      <c r="K84" s="75">
        <f t="shared" si="9"/>
        <v>-0.75026795284030012</v>
      </c>
      <c r="L84" s="75">
        <f>VLOOKUP($A84,'Data Vlaue (Cr)'!$C:$FB,67)</f>
        <v>1174</v>
      </c>
      <c r="M84" s="75">
        <f>VLOOKUP($A84,'Data Vlaue (Cr)'!$C:$FB,68)</f>
        <v>2767</v>
      </c>
      <c r="N84" s="75">
        <f t="shared" si="10"/>
        <v>-1593</v>
      </c>
      <c r="O84" s="75">
        <f t="shared" si="11"/>
        <v>-135.68994889267464</v>
      </c>
      <c r="P84" s="75">
        <f>VLOOKUP($A84,'Data Vlaue (Cr)'!$C:$FB,119)</f>
        <v>0.91</v>
      </c>
      <c r="Q84" s="75">
        <f>VLOOKUP($A84,'Data Vlaue (Cr)'!$C:$FB,122)*100</f>
        <v>0</v>
      </c>
      <c r="R84" s="75">
        <f>VLOOKUP($A84,'Data Vlaue (Cr)'!$C:$FB,125)</f>
        <v>0.48</v>
      </c>
      <c r="S84" s="75">
        <f>VLOOKUP($A84,'Data Vlaue (Cr)'!$C:$FB,128)*100</f>
        <v>23.080000000000002</v>
      </c>
    </row>
    <row r="85" spans="1:19" x14ac:dyDescent="0.25">
      <c r="A85" s="96" t="str">
        <f>'Data Vlaue (Cr)'!C76</f>
        <v>HDFCBANK</v>
      </c>
      <c r="B85" s="75">
        <f>VLOOKUP($A85,'Data Vlaue (Cr)'!$C:$FB,2)</f>
        <v>550</v>
      </c>
      <c r="C85" s="75">
        <f>VLOOKUP($A85,'Data Vlaue (Cr)'!$C:$FB,8)</f>
        <v>927.1</v>
      </c>
      <c r="D85" s="75">
        <f>VLOOKUP($A85,'Data Vlaue (Cr)'!$C:$FB,4)</f>
        <v>930.7</v>
      </c>
      <c r="E85" s="75">
        <f>VLOOKUP($A85,'Data Vlaue (Cr)'!$C:$FB,5)</f>
        <v>935.8</v>
      </c>
      <c r="F85" s="75">
        <f t="shared" si="6"/>
        <v>3.6000000000000227</v>
      </c>
      <c r="G85" s="75">
        <f t="shared" si="7"/>
        <v>-0.54797464274201235</v>
      </c>
      <c r="H85" s="75">
        <f>VLOOKUP($A85,'Data Vlaue (Cr)'!$C:$FB,99)</f>
        <v>33817</v>
      </c>
      <c r="I85" s="75">
        <f>VLOOKUP($A85,'Data Vlaue (Cr)'!$C:$FB,100)</f>
        <v>32830</v>
      </c>
      <c r="J85" s="75">
        <f t="shared" si="8"/>
        <v>987</v>
      </c>
      <c r="K85" s="75">
        <f t="shared" si="9"/>
        <v>2.9186503829434898</v>
      </c>
      <c r="L85" s="75">
        <f>VLOOKUP($A85,'Data Vlaue (Cr)'!$C:$FB,67)</f>
        <v>11725</v>
      </c>
      <c r="M85" s="75">
        <f>VLOOKUP($A85,'Data Vlaue (Cr)'!$C:$FB,68)</f>
        <v>11059</v>
      </c>
      <c r="N85" s="75">
        <f t="shared" si="10"/>
        <v>666</v>
      </c>
      <c r="O85" s="75">
        <f t="shared" si="11"/>
        <v>5.6801705756929639</v>
      </c>
      <c r="P85" s="75">
        <f>VLOOKUP($A85,'Data Vlaue (Cr)'!$C:$FB,119)</f>
        <v>0.55000000000000004</v>
      </c>
      <c r="Q85" s="75">
        <f>VLOOKUP($A85,'Data Vlaue (Cr)'!$C:$FB,122)*100</f>
        <v>-5.17</v>
      </c>
      <c r="R85" s="75">
        <f>VLOOKUP($A85,'Data Vlaue (Cr)'!$C:$FB,125)</f>
        <v>0.5</v>
      </c>
      <c r="S85" s="75">
        <f>VLOOKUP($A85,'Data Vlaue (Cr)'!$C:$FB,128)*100</f>
        <v>-9.09</v>
      </c>
    </row>
    <row r="86" spans="1:19" x14ac:dyDescent="0.25">
      <c r="A86" s="96" t="str">
        <f>'Data Vlaue (Cr)'!C77</f>
        <v>HDFCLIFE</v>
      </c>
      <c r="B86" s="75">
        <f>VLOOKUP($A86,'Data Vlaue (Cr)'!$C:$FB,2)</f>
        <v>1100</v>
      </c>
      <c r="C86" s="75">
        <f>VLOOKUP($A86,'Data Vlaue (Cr)'!$C:$FB,8)</f>
        <v>701.1</v>
      </c>
      <c r="D86" s="75">
        <f>VLOOKUP($A86,'Data Vlaue (Cr)'!$C:$FB,4)</f>
        <v>702.95</v>
      </c>
      <c r="E86" s="75">
        <f>VLOOKUP($A86,'Data Vlaue (Cr)'!$C:$FB,5)</f>
        <v>706.35</v>
      </c>
      <c r="F86" s="75">
        <f t="shared" si="6"/>
        <v>1.8500000000000227</v>
      </c>
      <c r="G86" s="75">
        <f t="shared" si="7"/>
        <v>-0.48367593712212492</v>
      </c>
      <c r="H86" s="75">
        <f>VLOOKUP($A86,'Data Vlaue (Cr)'!$C:$FB,99)</f>
        <v>4317</v>
      </c>
      <c r="I86" s="75">
        <f>VLOOKUP($A86,'Data Vlaue (Cr)'!$C:$FB,100)</f>
        <v>4225</v>
      </c>
      <c r="J86" s="75">
        <f t="shared" si="8"/>
        <v>92</v>
      </c>
      <c r="K86" s="75">
        <f t="shared" si="9"/>
        <v>2.1311095668288162</v>
      </c>
      <c r="L86" s="75">
        <f>VLOOKUP($A86,'Data Vlaue (Cr)'!$C:$FB,67)</f>
        <v>1185</v>
      </c>
      <c r="M86" s="75">
        <f>VLOOKUP($A86,'Data Vlaue (Cr)'!$C:$FB,68)</f>
        <v>1110</v>
      </c>
      <c r="N86" s="75">
        <f t="shared" si="10"/>
        <v>75</v>
      </c>
      <c r="O86" s="75">
        <f t="shared" si="11"/>
        <v>6.3291139240506329</v>
      </c>
      <c r="P86" s="75">
        <f>VLOOKUP($A86,'Data Vlaue (Cr)'!$C:$FB,119)</f>
        <v>0.43</v>
      </c>
      <c r="Q86" s="75">
        <f>VLOOKUP($A86,'Data Vlaue (Cr)'!$C:$FB,122)*100</f>
        <v>0</v>
      </c>
      <c r="R86" s="75">
        <f>VLOOKUP($A86,'Data Vlaue (Cr)'!$C:$FB,125)</f>
        <v>0.39</v>
      </c>
      <c r="S86" s="75">
        <f>VLOOKUP($A86,'Data Vlaue (Cr)'!$C:$FB,128)*100</f>
        <v>18.18</v>
      </c>
    </row>
    <row r="87" spans="1:19" x14ac:dyDescent="0.25">
      <c r="A87" s="96" t="str">
        <f>'Data Vlaue (Cr)'!C78</f>
        <v>HEROMOTOCO</v>
      </c>
      <c r="B87" s="75">
        <f>VLOOKUP($A87,'Data Vlaue (Cr)'!$C:$FB,2)</f>
        <v>150</v>
      </c>
      <c r="C87" s="75">
        <f>VLOOKUP($A87,'Data Vlaue (Cr)'!$C:$FB,8)</f>
        <v>5682.5</v>
      </c>
      <c r="D87" s="75">
        <f>VLOOKUP($A87,'Data Vlaue (Cr)'!$C:$FB,4)</f>
        <v>5700.5</v>
      </c>
      <c r="E87" s="75">
        <f>VLOOKUP($A87,'Data Vlaue (Cr)'!$C:$FB,5)</f>
        <v>5664</v>
      </c>
      <c r="F87" s="75">
        <f t="shared" si="6"/>
        <v>18</v>
      </c>
      <c r="G87" s="75">
        <f t="shared" si="7"/>
        <v>0.64029471099026403</v>
      </c>
      <c r="H87" s="75">
        <f>VLOOKUP($A87,'Data Vlaue (Cr)'!$C:$FB,99)</f>
        <v>5083</v>
      </c>
      <c r="I87" s="75">
        <f>VLOOKUP($A87,'Data Vlaue (Cr)'!$C:$FB,100)</f>
        <v>5374</v>
      </c>
      <c r="J87" s="75">
        <f t="shared" si="8"/>
        <v>-291</v>
      </c>
      <c r="K87" s="75">
        <f t="shared" si="9"/>
        <v>-5.724965571512886</v>
      </c>
      <c r="L87" s="75">
        <f>VLOOKUP($A87,'Data Vlaue (Cr)'!$C:$FB,67)</f>
        <v>7864</v>
      </c>
      <c r="M87" s="75">
        <f>VLOOKUP($A87,'Data Vlaue (Cr)'!$C:$FB,68)</f>
        <v>5349</v>
      </c>
      <c r="N87" s="75">
        <f t="shared" si="10"/>
        <v>2515</v>
      </c>
      <c r="O87" s="75">
        <f t="shared" si="11"/>
        <v>31.981180061037641</v>
      </c>
      <c r="P87" s="75">
        <f>VLOOKUP($A87,'Data Vlaue (Cr)'!$C:$FB,119)</f>
        <v>0.61</v>
      </c>
      <c r="Q87" s="75">
        <f>VLOOKUP($A87,'Data Vlaue (Cr)'!$C:$FB,122)*100</f>
        <v>8.93</v>
      </c>
      <c r="R87" s="75">
        <f>VLOOKUP($A87,'Data Vlaue (Cr)'!$C:$FB,125)</f>
        <v>0.4</v>
      </c>
      <c r="S87" s="75">
        <f>VLOOKUP($A87,'Data Vlaue (Cr)'!$C:$FB,128)*100</f>
        <v>21.21</v>
      </c>
    </row>
    <row r="88" spans="1:19" x14ac:dyDescent="0.25">
      <c r="A88" s="96" t="str">
        <f>'Data Vlaue (Cr)'!C79</f>
        <v>HINDALCO</v>
      </c>
      <c r="B88" s="75">
        <f>VLOOKUP($A88,'Data Vlaue (Cr)'!$C:$FB,2)</f>
        <v>700</v>
      </c>
      <c r="C88" s="75">
        <f>VLOOKUP($A88,'Data Vlaue (Cr)'!$C:$FB,8)</f>
        <v>965.95</v>
      </c>
      <c r="D88" s="75">
        <f>VLOOKUP($A88,'Data Vlaue (Cr)'!$C:$FB,4)</f>
        <v>964.85</v>
      </c>
      <c r="E88" s="75">
        <f>VLOOKUP($A88,'Data Vlaue (Cr)'!$C:$FB,5)</f>
        <v>968.2</v>
      </c>
      <c r="F88" s="75">
        <f t="shared" si="6"/>
        <v>-1.1000000000000227</v>
      </c>
      <c r="G88" s="75">
        <f t="shared" si="7"/>
        <v>-0.34720422863657796</v>
      </c>
      <c r="H88" s="75">
        <f>VLOOKUP($A88,'Data Vlaue (Cr)'!$C:$FB,99)</f>
        <v>6792</v>
      </c>
      <c r="I88" s="75">
        <f>VLOOKUP($A88,'Data Vlaue (Cr)'!$C:$FB,100)</f>
        <v>6504</v>
      </c>
      <c r="J88" s="75">
        <f t="shared" si="8"/>
        <v>288</v>
      </c>
      <c r="K88" s="75">
        <f t="shared" si="9"/>
        <v>4.2402826855123674</v>
      </c>
      <c r="L88" s="75">
        <f>VLOOKUP($A88,'Data Vlaue (Cr)'!$C:$FB,67)</f>
        <v>4791</v>
      </c>
      <c r="M88" s="75">
        <f>VLOOKUP($A88,'Data Vlaue (Cr)'!$C:$FB,68)</f>
        <v>2568</v>
      </c>
      <c r="N88" s="75">
        <f t="shared" si="10"/>
        <v>2223</v>
      </c>
      <c r="O88" s="75">
        <f t="shared" si="11"/>
        <v>46.399499060738883</v>
      </c>
      <c r="P88" s="75">
        <f>VLOOKUP($A88,'Data Vlaue (Cr)'!$C:$FB,119)</f>
        <v>0.8</v>
      </c>
      <c r="Q88" s="75">
        <f>VLOOKUP($A88,'Data Vlaue (Cr)'!$C:$FB,122)*100</f>
        <v>6.67</v>
      </c>
      <c r="R88" s="75">
        <f>VLOOKUP($A88,'Data Vlaue (Cr)'!$C:$FB,125)</f>
        <v>0.59</v>
      </c>
      <c r="S88" s="75">
        <f>VLOOKUP($A88,'Data Vlaue (Cr)'!$C:$FB,128)*100</f>
        <v>34.089999999999996</v>
      </c>
    </row>
    <row r="89" spans="1:19" x14ac:dyDescent="0.25">
      <c r="A89" s="96" t="str">
        <f>'Data Vlaue (Cr)'!C80</f>
        <v>HINDPETRO</v>
      </c>
      <c r="B89" s="75">
        <f>VLOOKUP($A89,'Data Vlaue (Cr)'!$C:$FB,2)</f>
        <v>2025</v>
      </c>
      <c r="C89" s="75">
        <f>VLOOKUP($A89,'Data Vlaue (Cr)'!$C:$FB,8)</f>
        <v>461.75</v>
      </c>
      <c r="D89" s="75">
        <f>VLOOKUP($A89,'Data Vlaue (Cr)'!$C:$FB,4)</f>
        <v>462.1</v>
      </c>
      <c r="E89" s="75">
        <f>VLOOKUP($A89,'Data Vlaue (Cr)'!$C:$FB,5)</f>
        <v>462.25</v>
      </c>
      <c r="F89" s="75">
        <f t="shared" si="6"/>
        <v>0.35000000000002274</v>
      </c>
      <c r="G89" s="75">
        <f t="shared" si="7"/>
        <v>-3.2460506383894666E-2</v>
      </c>
      <c r="H89" s="75">
        <f>VLOOKUP($A89,'Data Vlaue (Cr)'!$C:$FB,99)</f>
        <v>3034</v>
      </c>
      <c r="I89" s="75">
        <f>VLOOKUP($A89,'Data Vlaue (Cr)'!$C:$FB,100)</f>
        <v>3024</v>
      </c>
      <c r="J89" s="75">
        <f t="shared" si="8"/>
        <v>10</v>
      </c>
      <c r="K89" s="75">
        <f t="shared" si="9"/>
        <v>0.32959789057350031</v>
      </c>
      <c r="L89" s="75">
        <f>VLOOKUP($A89,'Data Vlaue (Cr)'!$C:$FB,67)</f>
        <v>1076</v>
      </c>
      <c r="M89" s="75">
        <f>VLOOKUP($A89,'Data Vlaue (Cr)'!$C:$FB,68)</f>
        <v>1062</v>
      </c>
      <c r="N89" s="75">
        <f t="shared" si="10"/>
        <v>14</v>
      </c>
      <c r="O89" s="75">
        <f t="shared" si="11"/>
        <v>1.3011152416356877</v>
      </c>
      <c r="P89" s="75">
        <f>VLOOKUP($A89,'Data Vlaue (Cr)'!$C:$FB,119)</f>
        <v>0.66</v>
      </c>
      <c r="Q89" s="75">
        <f>VLOOKUP($A89,'Data Vlaue (Cr)'!$C:$FB,122)*100</f>
        <v>-1.49</v>
      </c>
      <c r="R89" s="75">
        <f>VLOOKUP($A89,'Data Vlaue (Cr)'!$C:$FB,125)</f>
        <v>0.28000000000000003</v>
      </c>
      <c r="S89" s="75">
        <f>VLOOKUP($A89,'Data Vlaue (Cr)'!$C:$FB,128)*100</f>
        <v>-26.32</v>
      </c>
    </row>
    <row r="90" spans="1:19" x14ac:dyDescent="0.25">
      <c r="A90" s="96" t="str">
        <f>'Data Vlaue (Cr)'!C81</f>
        <v>HINDUNILVR</v>
      </c>
      <c r="B90" s="75">
        <f>VLOOKUP($A90,'Data Vlaue (Cr)'!$C:$FB,2)</f>
        <v>300</v>
      </c>
      <c r="C90" s="75">
        <f>VLOOKUP($A90,'Data Vlaue (Cr)'!$C:$FB,8)</f>
        <v>2462.9</v>
      </c>
      <c r="D90" s="75">
        <f>VLOOKUP($A90,'Data Vlaue (Cr)'!$C:$FB,4)</f>
        <v>2469.1999999999998</v>
      </c>
      <c r="E90" s="75">
        <f>VLOOKUP($A90,'Data Vlaue (Cr)'!$C:$FB,5)</f>
        <v>2454.1999999999998</v>
      </c>
      <c r="F90" s="75">
        <f t="shared" si="6"/>
        <v>6.2999999999997272</v>
      </c>
      <c r="G90" s="75">
        <f t="shared" si="7"/>
        <v>0.60748420541065939</v>
      </c>
      <c r="H90" s="75">
        <f>VLOOKUP($A90,'Data Vlaue (Cr)'!$C:$FB,99)</f>
        <v>6087</v>
      </c>
      <c r="I90" s="75">
        <f>VLOOKUP($A90,'Data Vlaue (Cr)'!$C:$FB,100)</f>
        <v>5935</v>
      </c>
      <c r="J90" s="75">
        <f t="shared" si="8"/>
        <v>152</v>
      </c>
      <c r="K90" s="75">
        <f t="shared" si="9"/>
        <v>2.4971250205355675</v>
      </c>
      <c r="L90" s="75">
        <f>VLOOKUP($A90,'Data Vlaue (Cr)'!$C:$FB,67)</f>
        <v>3332</v>
      </c>
      <c r="M90" s="75">
        <f>VLOOKUP($A90,'Data Vlaue (Cr)'!$C:$FB,68)</f>
        <v>2796</v>
      </c>
      <c r="N90" s="75">
        <f t="shared" si="10"/>
        <v>536</v>
      </c>
      <c r="O90" s="75">
        <f t="shared" si="11"/>
        <v>16.086434573829532</v>
      </c>
      <c r="P90" s="75">
        <f>VLOOKUP($A90,'Data Vlaue (Cr)'!$C:$FB,119)</f>
        <v>0.72</v>
      </c>
      <c r="Q90" s="75">
        <f>VLOOKUP($A90,'Data Vlaue (Cr)'!$C:$FB,122)*100</f>
        <v>2.86</v>
      </c>
      <c r="R90" s="75">
        <f>VLOOKUP($A90,'Data Vlaue (Cr)'!$C:$FB,125)</f>
        <v>0.44</v>
      </c>
      <c r="S90" s="75">
        <f>VLOOKUP($A90,'Data Vlaue (Cr)'!$C:$FB,128)*100</f>
        <v>18.920000000000002</v>
      </c>
    </row>
    <row r="91" spans="1:19" x14ac:dyDescent="0.25">
      <c r="A91" s="96" t="str">
        <f>'Data Vlaue (Cr)'!C82</f>
        <v>HINDZINC</v>
      </c>
      <c r="B91" s="75">
        <f>VLOOKUP($A91,'Data Vlaue (Cr)'!$C:$FB,2)</f>
        <v>1225</v>
      </c>
      <c r="C91" s="75">
        <f>VLOOKUP($A91,'Data Vlaue (Cr)'!$C:$FB,8)</f>
        <v>628.54999999999995</v>
      </c>
      <c r="D91" s="75">
        <f>VLOOKUP($A91,'Data Vlaue (Cr)'!$C:$FB,4)</f>
        <v>630.9</v>
      </c>
      <c r="E91" s="75">
        <f>VLOOKUP($A91,'Data Vlaue (Cr)'!$C:$FB,5)</f>
        <v>619.54999999999995</v>
      </c>
      <c r="F91" s="75">
        <f t="shared" si="6"/>
        <v>2.3500000000000227</v>
      </c>
      <c r="G91" s="75">
        <f t="shared" si="7"/>
        <v>1.7990172769060109</v>
      </c>
      <c r="H91" s="75">
        <f>VLOOKUP($A91,'Data Vlaue (Cr)'!$C:$FB,99)</f>
        <v>9092</v>
      </c>
      <c r="I91" s="75">
        <f>VLOOKUP($A91,'Data Vlaue (Cr)'!$C:$FB,100)</f>
        <v>9308</v>
      </c>
      <c r="J91" s="75">
        <f t="shared" si="8"/>
        <v>-216</v>
      </c>
      <c r="K91" s="75">
        <f t="shared" si="9"/>
        <v>-2.3757149142102949</v>
      </c>
      <c r="L91" s="75">
        <f>VLOOKUP($A91,'Data Vlaue (Cr)'!$C:$FB,67)</f>
        <v>4691</v>
      </c>
      <c r="M91" s="75">
        <f>VLOOKUP($A91,'Data Vlaue (Cr)'!$C:$FB,68)</f>
        <v>5106</v>
      </c>
      <c r="N91" s="75">
        <f t="shared" si="10"/>
        <v>-415</v>
      </c>
      <c r="O91" s="75">
        <f t="shared" si="11"/>
        <v>-8.8467277765934771</v>
      </c>
      <c r="P91" s="75">
        <f>VLOOKUP($A91,'Data Vlaue (Cr)'!$C:$FB,119)</f>
        <v>0.55000000000000004</v>
      </c>
      <c r="Q91" s="75">
        <f>VLOOKUP($A91,'Data Vlaue (Cr)'!$C:$FB,122)*100</f>
        <v>1.8499999999999999</v>
      </c>
      <c r="R91" s="75">
        <f>VLOOKUP($A91,'Data Vlaue (Cr)'!$C:$FB,125)</f>
        <v>0.45</v>
      </c>
      <c r="S91" s="75">
        <f>VLOOKUP($A91,'Data Vlaue (Cr)'!$C:$FB,128)*100</f>
        <v>-18.18</v>
      </c>
    </row>
    <row r="92" spans="1:19" x14ac:dyDescent="0.25">
      <c r="A92" s="96" t="str">
        <f>'Data Vlaue (Cr)'!C83</f>
        <v>HUDCO</v>
      </c>
      <c r="B92" s="75">
        <f>VLOOKUP($A92,'Data Vlaue (Cr)'!$C:$FB,2)</f>
        <v>2775</v>
      </c>
      <c r="C92" s="75">
        <f>VLOOKUP($A92,'Data Vlaue (Cr)'!$C:$FB,8)</f>
        <v>193.24</v>
      </c>
      <c r="D92" s="75">
        <f>VLOOKUP($A92,'Data Vlaue (Cr)'!$C:$FB,4)</f>
        <v>193.89</v>
      </c>
      <c r="E92" s="75">
        <f>VLOOKUP($A92,'Data Vlaue (Cr)'!$C:$FB,5)</f>
        <v>194.08</v>
      </c>
      <c r="F92" s="75">
        <f t="shared" si="6"/>
        <v>0.64999999999997726</v>
      </c>
      <c r="G92" s="75">
        <f t="shared" si="7"/>
        <v>-9.7993707772461788E-2</v>
      </c>
      <c r="H92" s="75">
        <f>VLOOKUP($A92,'Data Vlaue (Cr)'!$C:$FB,99)</f>
        <v>1863</v>
      </c>
      <c r="I92" s="75">
        <f>VLOOKUP($A92,'Data Vlaue (Cr)'!$C:$FB,100)</f>
        <v>1850</v>
      </c>
      <c r="J92" s="75">
        <f t="shared" si="8"/>
        <v>13</v>
      </c>
      <c r="K92" s="75">
        <f t="shared" si="9"/>
        <v>0.6977992485238862</v>
      </c>
      <c r="L92" s="75">
        <f>VLOOKUP($A92,'Data Vlaue (Cr)'!$C:$FB,67)</f>
        <v>523</v>
      </c>
      <c r="M92" s="75">
        <f>VLOOKUP($A92,'Data Vlaue (Cr)'!$C:$FB,68)</f>
        <v>453</v>
      </c>
      <c r="N92" s="75">
        <f t="shared" si="10"/>
        <v>70</v>
      </c>
      <c r="O92" s="75">
        <f t="shared" si="11"/>
        <v>13.384321223709369</v>
      </c>
      <c r="P92" s="75">
        <f>VLOOKUP($A92,'Data Vlaue (Cr)'!$C:$FB,119)</f>
        <v>0.57999999999999996</v>
      </c>
      <c r="Q92" s="75">
        <f>VLOOKUP($A92,'Data Vlaue (Cr)'!$C:$FB,122)*100</f>
        <v>-1.69</v>
      </c>
      <c r="R92" s="75">
        <f>VLOOKUP($A92,'Data Vlaue (Cr)'!$C:$FB,125)</f>
        <v>0.47</v>
      </c>
      <c r="S92" s="75">
        <f>VLOOKUP($A92,'Data Vlaue (Cr)'!$C:$FB,128)*100</f>
        <v>-7.84</v>
      </c>
    </row>
    <row r="93" spans="1:19" x14ac:dyDescent="0.25">
      <c r="A93" s="96" t="str">
        <f>'Data Vlaue (Cr)'!C84</f>
        <v>ICICIBANK</v>
      </c>
      <c r="B93" s="75">
        <f>VLOOKUP($A93,'Data Vlaue (Cr)'!$C:$FB,2)</f>
        <v>700</v>
      </c>
      <c r="C93" s="75">
        <f>VLOOKUP($A93,'Data Vlaue (Cr)'!$C:$FB,8)</f>
        <v>1406.1</v>
      </c>
      <c r="D93" s="75">
        <f>VLOOKUP($A93,'Data Vlaue (Cr)'!$C:$FB,4)</f>
        <v>1409.6</v>
      </c>
      <c r="E93" s="75">
        <f>VLOOKUP($A93,'Data Vlaue (Cr)'!$C:$FB,5)</f>
        <v>1408.3</v>
      </c>
      <c r="F93" s="75">
        <f t="shared" si="6"/>
        <v>3.5</v>
      </c>
      <c r="G93" s="75">
        <f t="shared" si="7"/>
        <v>9.2224744608396317E-2</v>
      </c>
      <c r="H93" s="75">
        <f>VLOOKUP($A93,'Data Vlaue (Cr)'!$C:$FB,99)</f>
        <v>25922</v>
      </c>
      <c r="I93" s="75">
        <f>VLOOKUP($A93,'Data Vlaue (Cr)'!$C:$FB,100)</f>
        <v>25628</v>
      </c>
      <c r="J93" s="75">
        <f t="shared" si="8"/>
        <v>294</v>
      </c>
      <c r="K93" s="75">
        <f t="shared" si="9"/>
        <v>1.1341717460072525</v>
      </c>
      <c r="L93" s="75">
        <f>VLOOKUP($A93,'Data Vlaue (Cr)'!$C:$FB,67)</f>
        <v>6797</v>
      </c>
      <c r="M93" s="75">
        <f>VLOOKUP($A93,'Data Vlaue (Cr)'!$C:$FB,68)</f>
        <v>9441</v>
      </c>
      <c r="N93" s="75">
        <f t="shared" si="10"/>
        <v>-2644</v>
      </c>
      <c r="O93" s="75">
        <f t="shared" si="11"/>
        <v>-38.899514491687512</v>
      </c>
      <c r="P93" s="75">
        <f>VLOOKUP($A93,'Data Vlaue (Cr)'!$C:$FB,119)</f>
        <v>0.65</v>
      </c>
      <c r="Q93" s="75">
        <f>VLOOKUP($A93,'Data Vlaue (Cr)'!$C:$FB,122)*100</f>
        <v>1.5599999999999998</v>
      </c>
      <c r="R93" s="75">
        <f>VLOOKUP($A93,'Data Vlaue (Cr)'!$C:$FB,125)</f>
        <v>0.73</v>
      </c>
      <c r="S93" s="75">
        <f>VLOOKUP($A93,'Data Vlaue (Cr)'!$C:$FB,128)*100</f>
        <v>5.8000000000000007</v>
      </c>
    </row>
    <row r="94" spans="1:19" x14ac:dyDescent="0.25">
      <c r="A94" s="96" t="str">
        <f>'Data Vlaue (Cr)'!C85</f>
        <v>ICICIGI</v>
      </c>
      <c r="B94" s="75">
        <f>VLOOKUP($A94,'Data Vlaue (Cr)'!$C:$FB,2)</f>
        <v>325</v>
      </c>
      <c r="C94" s="75">
        <f>VLOOKUP($A94,'Data Vlaue (Cr)'!$C:$FB,8)</f>
        <v>1931.7</v>
      </c>
      <c r="D94" s="75">
        <f>VLOOKUP($A94,'Data Vlaue (Cr)'!$C:$FB,4)</f>
        <v>1922.3</v>
      </c>
      <c r="E94" s="75">
        <f>VLOOKUP($A94,'Data Vlaue (Cr)'!$C:$FB,5)</f>
        <v>1915.5</v>
      </c>
      <c r="F94" s="75">
        <f t="shared" si="6"/>
        <v>-9.4000000000000909</v>
      </c>
      <c r="G94" s="75">
        <f t="shared" si="7"/>
        <v>0.35374291213650078</v>
      </c>
      <c r="H94" s="75">
        <f>VLOOKUP($A94,'Data Vlaue (Cr)'!$C:$FB,99)</f>
        <v>1586</v>
      </c>
      <c r="I94" s="75">
        <f>VLOOKUP($A94,'Data Vlaue (Cr)'!$C:$FB,100)</f>
        <v>1529</v>
      </c>
      <c r="J94" s="75">
        <f t="shared" si="8"/>
        <v>57</v>
      </c>
      <c r="K94" s="75">
        <f t="shared" si="9"/>
        <v>3.5939470365699875</v>
      </c>
      <c r="L94" s="75">
        <f>VLOOKUP($A94,'Data Vlaue (Cr)'!$C:$FB,67)</f>
        <v>531</v>
      </c>
      <c r="M94" s="75">
        <f>VLOOKUP($A94,'Data Vlaue (Cr)'!$C:$FB,68)</f>
        <v>980</v>
      </c>
      <c r="N94" s="75">
        <f t="shared" si="10"/>
        <v>-449</v>
      </c>
      <c r="O94" s="75">
        <f t="shared" si="11"/>
        <v>-84.557438794726934</v>
      </c>
      <c r="P94" s="75">
        <f>VLOOKUP($A94,'Data Vlaue (Cr)'!$C:$FB,119)</f>
        <v>1.05</v>
      </c>
      <c r="Q94" s="75">
        <f>VLOOKUP($A94,'Data Vlaue (Cr)'!$C:$FB,122)*100</f>
        <v>2.94</v>
      </c>
      <c r="R94" s="75">
        <f>VLOOKUP($A94,'Data Vlaue (Cr)'!$C:$FB,125)</f>
        <v>0.49</v>
      </c>
      <c r="S94" s="75">
        <f>VLOOKUP($A94,'Data Vlaue (Cr)'!$C:$FB,128)*100</f>
        <v>-15.52</v>
      </c>
    </row>
    <row r="95" spans="1:19" x14ac:dyDescent="0.25">
      <c r="A95" s="96" t="str">
        <f>'Data Vlaue (Cr)'!C86</f>
        <v>ICICIPRULI</v>
      </c>
      <c r="B95" s="75">
        <f>VLOOKUP($A95,'Data Vlaue (Cr)'!$C:$FB,2)</f>
        <v>925</v>
      </c>
      <c r="C95" s="75">
        <f>VLOOKUP($A95,'Data Vlaue (Cr)'!$C:$FB,8)</f>
        <v>640.95000000000005</v>
      </c>
      <c r="D95" s="75">
        <f>VLOOKUP($A95,'Data Vlaue (Cr)'!$C:$FB,4)</f>
        <v>643.15</v>
      </c>
      <c r="E95" s="75">
        <f>VLOOKUP($A95,'Data Vlaue (Cr)'!$C:$FB,5)</f>
        <v>644.85</v>
      </c>
      <c r="F95" s="75">
        <f t="shared" si="6"/>
        <v>2.1999999999999318</v>
      </c>
      <c r="G95" s="75">
        <f t="shared" si="7"/>
        <v>-0.26432403016404349</v>
      </c>
      <c r="H95" s="75">
        <f>VLOOKUP($A95,'Data Vlaue (Cr)'!$C:$FB,99)</f>
        <v>1334</v>
      </c>
      <c r="I95" s="75">
        <f>VLOOKUP($A95,'Data Vlaue (Cr)'!$C:$FB,100)</f>
        <v>1341</v>
      </c>
      <c r="J95" s="75">
        <f t="shared" si="8"/>
        <v>-7</v>
      </c>
      <c r="K95" s="75">
        <f t="shared" si="9"/>
        <v>-0.52473763118440786</v>
      </c>
      <c r="L95" s="75">
        <f>VLOOKUP($A95,'Data Vlaue (Cr)'!$C:$FB,67)</f>
        <v>274</v>
      </c>
      <c r="M95" s="75">
        <f>VLOOKUP($A95,'Data Vlaue (Cr)'!$C:$FB,68)</f>
        <v>564</v>
      </c>
      <c r="N95" s="75">
        <f t="shared" si="10"/>
        <v>-290</v>
      </c>
      <c r="O95" s="75">
        <f t="shared" si="11"/>
        <v>-105.83941605839415</v>
      </c>
      <c r="P95" s="75">
        <f>VLOOKUP($A95,'Data Vlaue (Cr)'!$C:$FB,119)</f>
        <v>0.72</v>
      </c>
      <c r="Q95" s="75">
        <f>VLOOKUP($A95,'Data Vlaue (Cr)'!$C:$FB,122)*100</f>
        <v>-1.37</v>
      </c>
      <c r="R95" s="75">
        <f>VLOOKUP($A95,'Data Vlaue (Cr)'!$C:$FB,125)</f>
        <v>0.59</v>
      </c>
      <c r="S95" s="75">
        <f>VLOOKUP($A95,'Data Vlaue (Cr)'!$C:$FB,128)*100</f>
        <v>-29.759999999999998</v>
      </c>
    </row>
    <row r="96" spans="1:19" x14ac:dyDescent="0.25">
      <c r="A96" s="96" t="str">
        <f>'Data Vlaue (Cr)'!C87</f>
        <v>IDEA</v>
      </c>
      <c r="B96" s="75">
        <f>VLOOKUP($A96,'Data Vlaue (Cr)'!$C:$FB,2)</f>
        <v>71475</v>
      </c>
      <c r="C96" s="75">
        <f>VLOOKUP($A96,'Data Vlaue (Cr)'!$C:$FB,8)</f>
        <v>11.85</v>
      </c>
      <c r="D96" s="75">
        <f>VLOOKUP($A96,'Data Vlaue (Cr)'!$C:$FB,4)</f>
        <v>11.85</v>
      </c>
      <c r="E96" s="75">
        <f>VLOOKUP($A96,'Data Vlaue (Cr)'!$C:$FB,5)</f>
        <v>11.51</v>
      </c>
      <c r="F96" s="75">
        <f t="shared" si="6"/>
        <v>0</v>
      </c>
      <c r="G96" s="75">
        <f t="shared" si="7"/>
        <v>2.8691983122362856</v>
      </c>
      <c r="H96" s="75">
        <f>VLOOKUP($A96,'Data Vlaue (Cr)'!$C:$FB,99)</f>
        <v>11763</v>
      </c>
      <c r="I96" s="75">
        <f>VLOOKUP($A96,'Data Vlaue (Cr)'!$C:$FB,100)</f>
        <v>11783</v>
      </c>
      <c r="J96" s="75">
        <f t="shared" si="8"/>
        <v>-20</v>
      </c>
      <c r="K96" s="75">
        <f t="shared" si="9"/>
        <v>-0.17002465357476834</v>
      </c>
      <c r="L96" s="75">
        <f>VLOOKUP($A96,'Data Vlaue (Cr)'!$C:$FB,67)</f>
        <v>4350</v>
      </c>
      <c r="M96" s="75">
        <f>VLOOKUP($A96,'Data Vlaue (Cr)'!$C:$FB,68)</f>
        <v>1871</v>
      </c>
      <c r="N96" s="75">
        <f t="shared" si="10"/>
        <v>2479</v>
      </c>
      <c r="O96" s="75">
        <f t="shared" si="11"/>
        <v>56.988505747126439</v>
      </c>
      <c r="P96" s="75">
        <f>VLOOKUP($A96,'Data Vlaue (Cr)'!$C:$FB,119)</f>
        <v>0.62</v>
      </c>
      <c r="Q96" s="75">
        <f>VLOOKUP($A96,'Data Vlaue (Cr)'!$C:$FB,122)*100</f>
        <v>1.6400000000000001</v>
      </c>
      <c r="R96" s="75">
        <f>VLOOKUP($A96,'Data Vlaue (Cr)'!$C:$FB,125)</f>
        <v>0.44</v>
      </c>
      <c r="S96" s="75">
        <f>VLOOKUP($A96,'Data Vlaue (Cr)'!$C:$FB,128)*100</f>
        <v>-4.3499999999999996</v>
      </c>
    </row>
    <row r="97" spans="1:19" x14ac:dyDescent="0.25">
      <c r="A97" s="96" t="str">
        <f>'Data Vlaue (Cr)'!C88</f>
        <v>IDFCFIRSTB</v>
      </c>
      <c r="B97" s="75">
        <f>VLOOKUP($A97,'Data Vlaue (Cr)'!$C:$FB,2)</f>
        <v>9275</v>
      </c>
      <c r="C97" s="75">
        <f>VLOOKUP($A97,'Data Vlaue (Cr)'!$C:$FB,8)</f>
        <v>82.56</v>
      </c>
      <c r="D97" s="75">
        <f>VLOOKUP($A97,'Data Vlaue (Cr)'!$C:$FB,4)</f>
        <v>82.73</v>
      </c>
      <c r="E97" s="75">
        <f>VLOOKUP($A97,'Data Vlaue (Cr)'!$C:$FB,5)</f>
        <v>84.08</v>
      </c>
      <c r="F97" s="75">
        <f t="shared" si="6"/>
        <v>0.17000000000000171</v>
      </c>
      <c r="G97" s="75">
        <f t="shared" si="7"/>
        <v>-1.6318143357911208</v>
      </c>
      <c r="H97" s="75">
        <f>VLOOKUP($A97,'Data Vlaue (Cr)'!$C:$FB,99)</f>
        <v>4386</v>
      </c>
      <c r="I97" s="75">
        <f>VLOOKUP($A97,'Data Vlaue (Cr)'!$C:$FB,100)</f>
        <v>4162</v>
      </c>
      <c r="J97" s="75">
        <f t="shared" si="8"/>
        <v>224</v>
      </c>
      <c r="K97" s="75">
        <f t="shared" si="9"/>
        <v>5.1071591427268581</v>
      </c>
      <c r="L97" s="75">
        <f>VLOOKUP($A97,'Data Vlaue (Cr)'!$C:$FB,67)</f>
        <v>1692</v>
      </c>
      <c r="M97" s="75">
        <f>VLOOKUP($A97,'Data Vlaue (Cr)'!$C:$FB,68)</f>
        <v>1272</v>
      </c>
      <c r="N97" s="75">
        <f t="shared" si="10"/>
        <v>420</v>
      </c>
      <c r="O97" s="75">
        <f t="shared" si="11"/>
        <v>24.822695035460992</v>
      </c>
      <c r="P97" s="75">
        <f>VLOOKUP($A97,'Data Vlaue (Cr)'!$C:$FB,119)</f>
        <v>0.68</v>
      </c>
      <c r="Q97" s="75">
        <f>VLOOKUP($A97,'Data Vlaue (Cr)'!$C:$FB,122)*100</f>
        <v>-4.2299999999999995</v>
      </c>
      <c r="R97" s="75">
        <f>VLOOKUP($A97,'Data Vlaue (Cr)'!$C:$FB,125)</f>
        <v>0.57999999999999996</v>
      </c>
      <c r="S97" s="75">
        <f>VLOOKUP($A97,'Data Vlaue (Cr)'!$C:$FB,128)*100</f>
        <v>45</v>
      </c>
    </row>
    <row r="98" spans="1:19" x14ac:dyDescent="0.25">
      <c r="A98" s="96" t="str">
        <f>'Data Vlaue (Cr)'!C89</f>
        <v>IEX</v>
      </c>
      <c r="B98" s="75">
        <f>VLOOKUP($A98,'Data Vlaue (Cr)'!$C:$FB,2)</f>
        <v>3750</v>
      </c>
      <c r="C98" s="75">
        <f>VLOOKUP($A98,'Data Vlaue (Cr)'!$C:$FB,8)</f>
        <v>127.16</v>
      </c>
      <c r="D98" s="75">
        <f>VLOOKUP($A98,'Data Vlaue (Cr)'!$C:$FB,4)</f>
        <v>127.65</v>
      </c>
      <c r="E98" s="75">
        <f>VLOOKUP($A98,'Data Vlaue (Cr)'!$C:$FB,5)</f>
        <v>126.23</v>
      </c>
      <c r="F98" s="75">
        <f t="shared" si="6"/>
        <v>0.49000000000000909</v>
      </c>
      <c r="G98" s="75">
        <f t="shared" si="7"/>
        <v>1.1124167645906788</v>
      </c>
      <c r="H98" s="75">
        <f>VLOOKUP($A98,'Data Vlaue (Cr)'!$C:$FB,99)</f>
        <v>2613</v>
      </c>
      <c r="I98" s="75">
        <f>VLOOKUP($A98,'Data Vlaue (Cr)'!$C:$FB,100)</f>
        <v>2591</v>
      </c>
      <c r="J98" s="75">
        <f t="shared" si="8"/>
        <v>22</v>
      </c>
      <c r="K98" s="75">
        <f t="shared" si="9"/>
        <v>0.84194412552621511</v>
      </c>
      <c r="L98" s="75">
        <f>VLOOKUP($A98,'Data Vlaue (Cr)'!$C:$FB,67)</f>
        <v>820</v>
      </c>
      <c r="M98" s="75">
        <f>VLOOKUP($A98,'Data Vlaue (Cr)'!$C:$FB,68)</f>
        <v>690</v>
      </c>
      <c r="N98" s="75">
        <f t="shared" si="10"/>
        <v>130</v>
      </c>
      <c r="O98" s="75">
        <f t="shared" si="11"/>
        <v>15.853658536585366</v>
      </c>
      <c r="P98" s="75">
        <f>VLOOKUP($A98,'Data Vlaue (Cr)'!$C:$FB,119)</f>
        <v>0.67</v>
      </c>
      <c r="Q98" s="75">
        <f>VLOOKUP($A98,'Data Vlaue (Cr)'!$C:$FB,122)*100</f>
        <v>-2.9000000000000004</v>
      </c>
      <c r="R98" s="75">
        <f>VLOOKUP($A98,'Data Vlaue (Cr)'!$C:$FB,125)</f>
        <v>0.28999999999999998</v>
      </c>
      <c r="S98" s="75">
        <f>VLOOKUP($A98,'Data Vlaue (Cr)'!$C:$FB,128)*100</f>
        <v>-29.270000000000003</v>
      </c>
    </row>
    <row r="99" spans="1:19" x14ac:dyDescent="0.25">
      <c r="A99" s="96" t="str">
        <f>'Data Vlaue (Cr)'!C90</f>
        <v>INDHOTEL</v>
      </c>
      <c r="B99" s="75">
        <f>VLOOKUP($A99,'Data Vlaue (Cr)'!$C:$FB,2)</f>
        <v>1000</v>
      </c>
      <c r="C99" s="75">
        <f>VLOOKUP($A99,'Data Vlaue (Cr)'!$C:$FB,8)</f>
        <v>707.55</v>
      </c>
      <c r="D99" s="75">
        <f>VLOOKUP($A99,'Data Vlaue (Cr)'!$C:$FB,4)</f>
        <v>708.45</v>
      </c>
      <c r="E99" s="75">
        <f>VLOOKUP($A99,'Data Vlaue (Cr)'!$C:$FB,5)</f>
        <v>703.25</v>
      </c>
      <c r="F99" s="75">
        <f t="shared" si="6"/>
        <v>0.90000000000009095</v>
      </c>
      <c r="G99" s="75">
        <f t="shared" si="7"/>
        <v>0.73399675347590443</v>
      </c>
      <c r="H99" s="75">
        <f>VLOOKUP($A99,'Data Vlaue (Cr)'!$C:$FB,99)</f>
        <v>3175</v>
      </c>
      <c r="I99" s="75">
        <f>VLOOKUP($A99,'Data Vlaue (Cr)'!$C:$FB,100)</f>
        <v>3004</v>
      </c>
      <c r="J99" s="75">
        <f t="shared" si="8"/>
        <v>171</v>
      </c>
      <c r="K99" s="75">
        <f t="shared" si="9"/>
        <v>5.3858267716535435</v>
      </c>
      <c r="L99" s="75">
        <f>VLOOKUP($A99,'Data Vlaue (Cr)'!$C:$FB,67)</f>
        <v>1369</v>
      </c>
      <c r="M99" s="75">
        <f>VLOOKUP($A99,'Data Vlaue (Cr)'!$C:$FB,68)</f>
        <v>1365</v>
      </c>
      <c r="N99" s="75">
        <f t="shared" si="10"/>
        <v>4</v>
      </c>
      <c r="O99" s="75">
        <f t="shared" si="11"/>
        <v>0.29218407596785978</v>
      </c>
      <c r="P99" s="75">
        <f>VLOOKUP($A99,'Data Vlaue (Cr)'!$C:$FB,119)</f>
        <v>0.78</v>
      </c>
      <c r="Q99" s="75">
        <f>VLOOKUP($A99,'Data Vlaue (Cr)'!$C:$FB,122)*100</f>
        <v>-7.1400000000000006</v>
      </c>
      <c r="R99" s="75">
        <f>VLOOKUP($A99,'Data Vlaue (Cr)'!$C:$FB,125)</f>
        <v>0.3</v>
      </c>
      <c r="S99" s="75">
        <f>VLOOKUP($A99,'Data Vlaue (Cr)'!$C:$FB,128)*100</f>
        <v>7.1400000000000006</v>
      </c>
    </row>
    <row r="100" spans="1:19" x14ac:dyDescent="0.25">
      <c r="A100" s="96" t="str">
        <f>'Data Vlaue (Cr)'!C91</f>
        <v>INDIANB</v>
      </c>
      <c r="B100" s="75">
        <f>VLOOKUP($A100,'Data Vlaue (Cr)'!$C:$FB,2)</f>
        <v>1000</v>
      </c>
      <c r="C100" s="75">
        <f>VLOOKUP($A100,'Data Vlaue (Cr)'!$C:$FB,8)</f>
        <v>897.3</v>
      </c>
      <c r="D100" s="75">
        <f>VLOOKUP($A100,'Data Vlaue (Cr)'!$C:$FB,4)</f>
        <v>900.45</v>
      </c>
      <c r="E100" s="75">
        <f>VLOOKUP($A100,'Data Vlaue (Cr)'!$C:$FB,5)</f>
        <v>906.65</v>
      </c>
      <c r="F100" s="75">
        <f t="shared" si="6"/>
        <v>3.1500000000000909</v>
      </c>
      <c r="G100" s="75">
        <f t="shared" si="7"/>
        <v>-0.68854461658059096</v>
      </c>
      <c r="H100" s="75">
        <f>VLOOKUP($A100,'Data Vlaue (Cr)'!$C:$FB,99)</f>
        <v>1689</v>
      </c>
      <c r="I100" s="75">
        <f>VLOOKUP($A100,'Data Vlaue (Cr)'!$C:$FB,100)</f>
        <v>1644</v>
      </c>
      <c r="J100" s="75">
        <f t="shared" si="8"/>
        <v>45</v>
      </c>
      <c r="K100" s="75">
        <f t="shared" si="9"/>
        <v>2.6642984014209592</v>
      </c>
      <c r="L100" s="75">
        <f>VLOOKUP($A100,'Data Vlaue (Cr)'!$C:$FB,67)</f>
        <v>1899</v>
      </c>
      <c r="M100" s="75">
        <f>VLOOKUP($A100,'Data Vlaue (Cr)'!$C:$FB,68)</f>
        <v>978</v>
      </c>
      <c r="N100" s="75">
        <f t="shared" si="10"/>
        <v>921</v>
      </c>
      <c r="O100" s="75">
        <f t="shared" si="11"/>
        <v>48.499210110584521</v>
      </c>
      <c r="P100" s="75">
        <f>VLOOKUP($A100,'Data Vlaue (Cr)'!$C:$FB,119)</f>
        <v>0.69</v>
      </c>
      <c r="Q100" s="75">
        <f>VLOOKUP($A100,'Data Vlaue (Cr)'!$C:$FB,122)*100</f>
        <v>7.8100000000000005</v>
      </c>
      <c r="R100" s="75">
        <f>VLOOKUP($A100,'Data Vlaue (Cr)'!$C:$FB,125)</f>
        <v>0.62</v>
      </c>
      <c r="S100" s="75">
        <f>VLOOKUP($A100,'Data Vlaue (Cr)'!$C:$FB,128)*100</f>
        <v>47.620000000000005</v>
      </c>
    </row>
    <row r="101" spans="1:19" x14ac:dyDescent="0.25">
      <c r="A101" s="96" t="str">
        <f>'Data Vlaue (Cr)'!C92</f>
        <v>INDIAVIX</v>
      </c>
      <c r="B101" s="75">
        <f>VLOOKUP($A101,'Data Vlaue (Cr)'!$C:$FB,2)</f>
        <v>1</v>
      </c>
      <c r="C101" s="75">
        <f>VLOOKUP($A101,'Data Vlaue (Cr)'!$C:$FB,8)</f>
        <v>11.55</v>
      </c>
      <c r="D101" s="75">
        <f>VLOOKUP($A101,'Data Vlaue (Cr)'!$C:$FB,4)</f>
        <v>11.55</v>
      </c>
      <c r="E101" s="75">
        <f>VLOOKUP($A101,'Data Vlaue (Cr)'!$C:$FB,5)</f>
        <v>11.66</v>
      </c>
      <c r="F101" s="75">
        <f t="shared" si="6"/>
        <v>0</v>
      </c>
      <c r="G101" s="75">
        <f t="shared" si="7"/>
        <v>-0.95238095238094744</v>
      </c>
      <c r="H101" s="75">
        <f>VLOOKUP($A101,'Data Vlaue (Cr)'!$C:$FB,99)</f>
        <v>0</v>
      </c>
      <c r="I101" s="75">
        <f>VLOOKUP($A101,'Data Vlaue (Cr)'!$C:$FB,100)</f>
        <v>0</v>
      </c>
      <c r="J101" s="75">
        <f t="shared" si="8"/>
        <v>0</v>
      </c>
      <c r="K101" s="75" t="e">
        <f t="shared" si="9"/>
        <v>#DIV/0!</v>
      </c>
      <c r="L101" s="75">
        <f>VLOOKUP($A101,'Data Vlaue (Cr)'!$C:$FB,67)</f>
        <v>0</v>
      </c>
      <c r="M101" s="75">
        <f>VLOOKUP($A101,'Data Vlaue (Cr)'!$C:$FB,68)</f>
        <v>0</v>
      </c>
      <c r="N101" s="75">
        <f t="shared" si="10"/>
        <v>0</v>
      </c>
      <c r="O101" s="75" t="e">
        <f t="shared" si="11"/>
        <v>#DIV/0!</v>
      </c>
      <c r="P101" s="75">
        <f>VLOOKUP($A101,'Data Vlaue (Cr)'!$C:$FB,119)</f>
        <v>0</v>
      </c>
      <c r="Q101" s="75">
        <f>VLOOKUP($A101,'Data Vlaue (Cr)'!$C:$FB,122)*100</f>
        <v>0</v>
      </c>
      <c r="R101" s="75">
        <f>VLOOKUP($A101,'Data Vlaue (Cr)'!$C:$FB,125)</f>
        <v>0</v>
      </c>
      <c r="S101" s="75">
        <f>VLOOKUP($A101,'Data Vlaue (Cr)'!$C:$FB,128)*100</f>
        <v>0</v>
      </c>
    </row>
    <row r="102" spans="1:19" x14ac:dyDescent="0.25">
      <c r="A102" s="96" t="str">
        <f>'Data Vlaue (Cr)'!C93</f>
        <v>INDIGO</v>
      </c>
      <c r="B102" s="75">
        <f>VLOOKUP($A102,'Data Vlaue (Cr)'!$C:$FB,2)</f>
        <v>150</v>
      </c>
      <c r="C102" s="75">
        <f>VLOOKUP($A102,'Data Vlaue (Cr)'!$C:$FB,8)</f>
        <v>5013.8</v>
      </c>
      <c r="D102" s="75">
        <f>VLOOKUP($A102,'Data Vlaue (Cr)'!$C:$FB,4)</f>
        <v>5017.6000000000004</v>
      </c>
      <c r="E102" s="75">
        <f>VLOOKUP($A102,'Data Vlaue (Cr)'!$C:$FB,5)</f>
        <v>4978.1000000000004</v>
      </c>
      <c r="F102" s="75">
        <f t="shared" si="6"/>
        <v>3.8000000000001819</v>
      </c>
      <c r="G102" s="75">
        <f t="shared" si="7"/>
        <v>0.78722895408163263</v>
      </c>
      <c r="H102" s="75">
        <f>VLOOKUP($A102,'Data Vlaue (Cr)'!$C:$FB,99)</f>
        <v>7629</v>
      </c>
      <c r="I102" s="75">
        <f>VLOOKUP($A102,'Data Vlaue (Cr)'!$C:$FB,100)</f>
        <v>7505</v>
      </c>
      <c r="J102" s="75">
        <f t="shared" si="8"/>
        <v>124</v>
      </c>
      <c r="K102" s="75">
        <f t="shared" si="9"/>
        <v>1.625376851487744</v>
      </c>
      <c r="L102" s="75">
        <f>VLOOKUP($A102,'Data Vlaue (Cr)'!$C:$FB,67)</f>
        <v>4972</v>
      </c>
      <c r="M102" s="75">
        <f>VLOOKUP($A102,'Data Vlaue (Cr)'!$C:$FB,68)</f>
        <v>2617</v>
      </c>
      <c r="N102" s="75">
        <f t="shared" si="10"/>
        <v>2355</v>
      </c>
      <c r="O102" s="75">
        <f t="shared" si="11"/>
        <v>47.365245374094933</v>
      </c>
      <c r="P102" s="75">
        <f>VLOOKUP($A102,'Data Vlaue (Cr)'!$C:$FB,119)</f>
        <v>0.85</v>
      </c>
      <c r="Q102" s="75">
        <f>VLOOKUP($A102,'Data Vlaue (Cr)'!$C:$FB,122)*100</f>
        <v>-1.1599999999999999</v>
      </c>
      <c r="R102" s="75">
        <f>VLOOKUP($A102,'Data Vlaue (Cr)'!$C:$FB,125)</f>
        <v>0.47</v>
      </c>
      <c r="S102" s="75">
        <f>VLOOKUP($A102,'Data Vlaue (Cr)'!$C:$FB,128)*100</f>
        <v>-34.72</v>
      </c>
    </row>
    <row r="103" spans="1:19" x14ac:dyDescent="0.25">
      <c r="A103" s="96" t="str">
        <f>'Data Vlaue (Cr)'!C94</f>
        <v>INDUSINDBK</v>
      </c>
      <c r="B103" s="75">
        <f>VLOOKUP($A103,'Data Vlaue (Cr)'!$C:$FB,2)</f>
        <v>700</v>
      </c>
      <c r="C103" s="75">
        <f>VLOOKUP($A103,'Data Vlaue (Cr)'!$C:$FB,8)</f>
        <v>925</v>
      </c>
      <c r="D103" s="75">
        <f>VLOOKUP($A103,'Data Vlaue (Cr)'!$C:$FB,4)</f>
        <v>922.6</v>
      </c>
      <c r="E103" s="75">
        <f>VLOOKUP($A103,'Data Vlaue (Cr)'!$C:$FB,5)</f>
        <v>926.45</v>
      </c>
      <c r="F103" s="75">
        <f t="shared" si="6"/>
        <v>-2.3999999999999773</v>
      </c>
      <c r="G103" s="75">
        <f t="shared" si="7"/>
        <v>-0.41729893778452448</v>
      </c>
      <c r="H103" s="75">
        <f>VLOOKUP($A103,'Data Vlaue (Cr)'!$C:$FB,99)</f>
        <v>4676</v>
      </c>
      <c r="I103" s="75">
        <f>VLOOKUP($A103,'Data Vlaue (Cr)'!$C:$FB,100)</f>
        <v>4762</v>
      </c>
      <c r="J103" s="75">
        <f t="shared" si="8"/>
        <v>-86</v>
      </c>
      <c r="K103" s="75">
        <f t="shared" si="9"/>
        <v>-1.8391787852865698</v>
      </c>
      <c r="L103" s="75">
        <f>VLOOKUP($A103,'Data Vlaue (Cr)'!$C:$FB,67)</f>
        <v>1214</v>
      </c>
      <c r="M103" s="75">
        <f>VLOOKUP($A103,'Data Vlaue (Cr)'!$C:$FB,68)</f>
        <v>1372</v>
      </c>
      <c r="N103" s="75">
        <f t="shared" si="10"/>
        <v>-158</v>
      </c>
      <c r="O103" s="75">
        <f t="shared" si="11"/>
        <v>-13.01482701812191</v>
      </c>
      <c r="P103" s="75">
        <f>VLOOKUP($A103,'Data Vlaue (Cr)'!$C:$FB,119)</f>
        <v>0.72</v>
      </c>
      <c r="Q103" s="75">
        <f>VLOOKUP($A103,'Data Vlaue (Cr)'!$C:$FB,122)*100</f>
        <v>0</v>
      </c>
      <c r="R103" s="75">
        <f>VLOOKUP($A103,'Data Vlaue (Cr)'!$C:$FB,125)</f>
        <v>0.49</v>
      </c>
      <c r="S103" s="75">
        <f>VLOOKUP($A103,'Data Vlaue (Cr)'!$C:$FB,128)*100</f>
        <v>-9.26</v>
      </c>
    </row>
    <row r="104" spans="1:19" x14ac:dyDescent="0.25">
      <c r="A104" s="96" t="str">
        <f>'Data Vlaue (Cr)'!C95</f>
        <v>INDUSTOWER</v>
      </c>
      <c r="B104" s="75">
        <f>VLOOKUP($A104,'Data Vlaue (Cr)'!$C:$FB,2)</f>
        <v>1700</v>
      </c>
      <c r="C104" s="75">
        <f>VLOOKUP($A104,'Data Vlaue (Cr)'!$C:$FB,8)</f>
        <v>467.05</v>
      </c>
      <c r="D104" s="75">
        <f>VLOOKUP($A104,'Data Vlaue (Cr)'!$C:$FB,4)</f>
        <v>468.15</v>
      </c>
      <c r="E104" s="75">
        <f>VLOOKUP($A104,'Data Vlaue (Cr)'!$C:$FB,5)</f>
        <v>459.25</v>
      </c>
      <c r="F104" s="75">
        <f t="shared" si="6"/>
        <v>1.0999999999999659</v>
      </c>
      <c r="G104" s="75">
        <f t="shared" si="7"/>
        <v>1.9011000747623579</v>
      </c>
      <c r="H104" s="75">
        <f>VLOOKUP($A104,'Data Vlaue (Cr)'!$C:$FB,99)</f>
        <v>5667</v>
      </c>
      <c r="I104" s="75">
        <f>VLOOKUP($A104,'Data Vlaue (Cr)'!$C:$FB,100)</f>
        <v>5382</v>
      </c>
      <c r="J104" s="75">
        <f t="shared" si="8"/>
        <v>285</v>
      </c>
      <c r="K104" s="75">
        <f t="shared" si="9"/>
        <v>5.0291159343568026</v>
      </c>
      <c r="L104" s="75">
        <f>VLOOKUP($A104,'Data Vlaue (Cr)'!$C:$FB,67)</f>
        <v>5762</v>
      </c>
      <c r="M104" s="75">
        <f>VLOOKUP($A104,'Data Vlaue (Cr)'!$C:$FB,68)</f>
        <v>4514</v>
      </c>
      <c r="N104" s="75">
        <f t="shared" si="10"/>
        <v>1248</v>
      </c>
      <c r="O104" s="75">
        <f t="shared" si="11"/>
        <v>21.659146129816037</v>
      </c>
      <c r="P104" s="75">
        <f>VLOOKUP($A104,'Data Vlaue (Cr)'!$C:$FB,119)</f>
        <v>0.69</v>
      </c>
      <c r="Q104" s="75">
        <f>VLOOKUP($A104,'Data Vlaue (Cr)'!$C:$FB,122)*100</f>
        <v>15</v>
      </c>
      <c r="R104" s="75">
        <f>VLOOKUP($A104,'Data Vlaue (Cr)'!$C:$FB,125)</f>
        <v>0.41</v>
      </c>
      <c r="S104" s="75">
        <f>VLOOKUP($A104,'Data Vlaue (Cr)'!$C:$FB,128)*100</f>
        <v>0</v>
      </c>
    </row>
    <row r="105" spans="1:19" x14ac:dyDescent="0.25">
      <c r="A105" s="96" t="str">
        <f>'Data Vlaue (Cr)'!C96</f>
        <v>INFY</v>
      </c>
      <c r="B105" s="75">
        <f>VLOOKUP($A105,'Data Vlaue (Cr)'!$C:$FB,2)</f>
        <v>400</v>
      </c>
      <c r="C105" s="75">
        <f>VLOOKUP($A105,'Data Vlaue (Cr)'!$C:$FB,8)</f>
        <v>1471.9</v>
      </c>
      <c r="D105" s="75">
        <f>VLOOKUP($A105,'Data Vlaue (Cr)'!$C:$FB,4)</f>
        <v>1472.4</v>
      </c>
      <c r="E105" s="75">
        <f>VLOOKUP($A105,'Data Vlaue (Cr)'!$C:$FB,5)</f>
        <v>1501.7</v>
      </c>
      <c r="F105" s="75">
        <f t="shared" si="6"/>
        <v>0.5</v>
      </c>
      <c r="G105" s="75">
        <f t="shared" si="7"/>
        <v>-1.9899483835914122</v>
      </c>
      <c r="H105" s="75">
        <f>VLOOKUP($A105,'Data Vlaue (Cr)'!$C:$FB,99)</f>
        <v>21984</v>
      </c>
      <c r="I105" s="75">
        <f>VLOOKUP($A105,'Data Vlaue (Cr)'!$C:$FB,100)</f>
        <v>21676</v>
      </c>
      <c r="J105" s="75">
        <f t="shared" si="8"/>
        <v>308</v>
      </c>
      <c r="K105" s="75">
        <f t="shared" si="9"/>
        <v>1.4010189228529839</v>
      </c>
      <c r="L105" s="75">
        <f>VLOOKUP($A105,'Data Vlaue (Cr)'!$C:$FB,67)</f>
        <v>15022</v>
      </c>
      <c r="M105" s="75">
        <f>VLOOKUP($A105,'Data Vlaue (Cr)'!$C:$FB,68)</f>
        <v>12911</v>
      </c>
      <c r="N105" s="75">
        <f t="shared" si="10"/>
        <v>2111</v>
      </c>
      <c r="O105" s="75">
        <f t="shared" si="11"/>
        <v>14.05272267341233</v>
      </c>
      <c r="P105" s="75">
        <f>VLOOKUP($A105,'Data Vlaue (Cr)'!$C:$FB,119)</f>
        <v>0.44</v>
      </c>
      <c r="Q105" s="75">
        <f>VLOOKUP($A105,'Data Vlaue (Cr)'!$C:$FB,122)*100</f>
        <v>-2.2200000000000002</v>
      </c>
      <c r="R105" s="75">
        <f>VLOOKUP($A105,'Data Vlaue (Cr)'!$C:$FB,125)</f>
        <v>0.57999999999999996</v>
      </c>
      <c r="S105" s="75">
        <f>VLOOKUP($A105,'Data Vlaue (Cr)'!$C:$FB,128)*100</f>
        <v>13.73</v>
      </c>
    </row>
    <row r="106" spans="1:19" x14ac:dyDescent="0.25">
      <c r="A106" s="96" t="str">
        <f>'Data Vlaue (Cr)'!C97</f>
        <v>INOXWIND</v>
      </c>
      <c r="B106" s="75">
        <f>VLOOKUP($A106,'Data Vlaue (Cr)'!$C:$FB,2)</f>
        <v>3575</v>
      </c>
      <c r="C106" s="75">
        <f>VLOOKUP($A106,'Data Vlaue (Cr)'!$C:$FB,8)</f>
        <v>110.42</v>
      </c>
      <c r="D106" s="75">
        <f>VLOOKUP($A106,'Data Vlaue (Cr)'!$C:$FB,4)</f>
        <v>110.63</v>
      </c>
      <c r="E106" s="75">
        <f>VLOOKUP($A106,'Data Vlaue (Cr)'!$C:$FB,5)</f>
        <v>111.39</v>
      </c>
      <c r="F106" s="75">
        <f t="shared" si="6"/>
        <v>0.20999999999999375</v>
      </c>
      <c r="G106" s="75">
        <f t="shared" si="7"/>
        <v>-0.68697460001808297</v>
      </c>
      <c r="H106" s="75">
        <f>VLOOKUP($A106,'Data Vlaue (Cr)'!$C:$FB,99)</f>
        <v>1621</v>
      </c>
      <c r="I106" s="75">
        <f>VLOOKUP($A106,'Data Vlaue (Cr)'!$C:$FB,100)</f>
        <v>1576</v>
      </c>
      <c r="J106" s="75">
        <f t="shared" si="8"/>
        <v>45</v>
      </c>
      <c r="K106" s="75">
        <f t="shared" si="9"/>
        <v>2.7760641579272054</v>
      </c>
      <c r="L106" s="75">
        <f>VLOOKUP($A106,'Data Vlaue (Cr)'!$C:$FB,67)</f>
        <v>532</v>
      </c>
      <c r="M106" s="75">
        <f>VLOOKUP($A106,'Data Vlaue (Cr)'!$C:$FB,68)</f>
        <v>452</v>
      </c>
      <c r="N106" s="75">
        <f t="shared" si="10"/>
        <v>80</v>
      </c>
      <c r="O106" s="75">
        <f t="shared" si="11"/>
        <v>15.037593984962406</v>
      </c>
      <c r="P106" s="75">
        <f>VLOOKUP($A106,'Data Vlaue (Cr)'!$C:$FB,119)</f>
        <v>0.68</v>
      </c>
      <c r="Q106" s="75">
        <f>VLOOKUP($A106,'Data Vlaue (Cr)'!$C:$FB,122)*100</f>
        <v>-10.530000000000001</v>
      </c>
      <c r="R106" s="75">
        <f>VLOOKUP($A106,'Data Vlaue (Cr)'!$C:$FB,125)</f>
        <v>0.28000000000000003</v>
      </c>
      <c r="S106" s="75">
        <f>VLOOKUP($A106,'Data Vlaue (Cr)'!$C:$FB,128)*100</f>
        <v>-6.67</v>
      </c>
    </row>
    <row r="107" spans="1:19" x14ac:dyDescent="0.25">
      <c r="A107" s="96" t="str">
        <f>'Data Vlaue (Cr)'!C98</f>
        <v>IOC</v>
      </c>
      <c r="B107" s="75">
        <f>VLOOKUP($A107,'Data Vlaue (Cr)'!$C:$FB,2)</f>
        <v>4875</v>
      </c>
      <c r="C107" s="75">
        <f>VLOOKUP($A107,'Data Vlaue (Cr)'!$C:$FB,8)</f>
        <v>181.31</v>
      </c>
      <c r="D107" s="75">
        <f>VLOOKUP($A107,'Data Vlaue (Cr)'!$C:$FB,4)</f>
        <v>181.39</v>
      </c>
      <c r="E107" s="75">
        <f>VLOOKUP($A107,'Data Vlaue (Cr)'!$C:$FB,5)</f>
        <v>178.26</v>
      </c>
      <c r="F107" s="75">
        <f t="shared" si="6"/>
        <v>7.9999999999984084E-2</v>
      </c>
      <c r="G107" s="75">
        <f t="shared" si="7"/>
        <v>1.7255637025194308</v>
      </c>
      <c r="H107" s="75">
        <f>VLOOKUP($A107,'Data Vlaue (Cr)'!$C:$FB,99)</f>
        <v>3658</v>
      </c>
      <c r="I107" s="75">
        <f>VLOOKUP($A107,'Data Vlaue (Cr)'!$C:$FB,100)</f>
        <v>3820</v>
      </c>
      <c r="J107" s="75">
        <f t="shared" si="8"/>
        <v>-162</v>
      </c>
      <c r="K107" s="75">
        <f t="shared" si="9"/>
        <v>-4.4286495352651727</v>
      </c>
      <c r="L107" s="75">
        <f>VLOOKUP($A107,'Data Vlaue (Cr)'!$C:$FB,67)</f>
        <v>2780</v>
      </c>
      <c r="M107" s="75">
        <f>VLOOKUP($A107,'Data Vlaue (Cr)'!$C:$FB,68)</f>
        <v>1604</v>
      </c>
      <c r="N107" s="75">
        <f t="shared" si="10"/>
        <v>1176</v>
      </c>
      <c r="O107" s="75">
        <f t="shared" si="11"/>
        <v>42.302158273381295</v>
      </c>
      <c r="P107" s="75">
        <f>VLOOKUP($A107,'Data Vlaue (Cr)'!$C:$FB,119)</f>
        <v>0.74</v>
      </c>
      <c r="Q107" s="75">
        <f>VLOOKUP($A107,'Data Vlaue (Cr)'!$C:$FB,122)*100</f>
        <v>12.120000000000001</v>
      </c>
      <c r="R107" s="75">
        <f>VLOOKUP($A107,'Data Vlaue (Cr)'!$C:$FB,125)</f>
        <v>0.54</v>
      </c>
      <c r="S107" s="75">
        <f>VLOOKUP($A107,'Data Vlaue (Cr)'!$C:$FB,128)*100</f>
        <v>-15.620000000000001</v>
      </c>
    </row>
    <row r="108" spans="1:19" x14ac:dyDescent="0.25">
      <c r="A108" s="96" t="str">
        <f>'Data Vlaue (Cr)'!C99</f>
        <v>IRCTC</v>
      </c>
      <c r="B108" s="75">
        <f>VLOOKUP($A108,'Data Vlaue (Cr)'!$C:$FB,2)</f>
        <v>875</v>
      </c>
      <c r="C108" s="75">
        <f>VLOOKUP($A108,'Data Vlaue (Cr)'!$C:$FB,8)</f>
        <v>628.35</v>
      </c>
      <c r="D108" s="75">
        <f>VLOOKUP($A108,'Data Vlaue (Cr)'!$C:$FB,4)</f>
        <v>625</v>
      </c>
      <c r="E108" s="75">
        <f>VLOOKUP($A108,'Data Vlaue (Cr)'!$C:$FB,5)</f>
        <v>631.79999999999995</v>
      </c>
      <c r="F108" s="75">
        <f t="shared" si="6"/>
        <v>-3.3500000000000227</v>
      </c>
      <c r="G108" s="75">
        <f t="shared" si="7"/>
        <v>-1.0879999999999928</v>
      </c>
      <c r="H108" s="75">
        <f>VLOOKUP($A108,'Data Vlaue (Cr)'!$C:$FB,99)</f>
        <v>2663</v>
      </c>
      <c r="I108" s="75">
        <f>VLOOKUP($A108,'Data Vlaue (Cr)'!$C:$FB,100)</f>
        <v>2600</v>
      </c>
      <c r="J108" s="75">
        <f t="shared" si="8"/>
        <v>63</v>
      </c>
      <c r="K108" s="75">
        <f t="shared" si="9"/>
        <v>2.365752910251596</v>
      </c>
      <c r="L108" s="75">
        <f>VLOOKUP($A108,'Data Vlaue (Cr)'!$C:$FB,67)</f>
        <v>1042</v>
      </c>
      <c r="M108" s="75">
        <f>VLOOKUP($A108,'Data Vlaue (Cr)'!$C:$FB,68)</f>
        <v>2143</v>
      </c>
      <c r="N108" s="75">
        <f t="shared" si="10"/>
        <v>-1101</v>
      </c>
      <c r="O108" s="75">
        <f t="shared" si="11"/>
        <v>-105.66218809980805</v>
      </c>
      <c r="P108" s="75">
        <f>VLOOKUP($A108,'Data Vlaue (Cr)'!$C:$FB,119)</f>
        <v>0.61</v>
      </c>
      <c r="Q108" s="75">
        <f>VLOOKUP($A108,'Data Vlaue (Cr)'!$C:$FB,122)*100</f>
        <v>-6.15</v>
      </c>
      <c r="R108" s="75">
        <f>VLOOKUP($A108,'Data Vlaue (Cr)'!$C:$FB,125)</f>
        <v>0.28999999999999998</v>
      </c>
      <c r="S108" s="75">
        <f>VLOOKUP($A108,'Data Vlaue (Cr)'!$C:$FB,128)*100</f>
        <v>26.090000000000003</v>
      </c>
    </row>
    <row r="109" spans="1:19" x14ac:dyDescent="0.25">
      <c r="A109" s="96" t="str">
        <f>'Data Vlaue (Cr)'!C100</f>
        <v>IREDA</v>
      </c>
      <c r="B109" s="75">
        <f>VLOOKUP($A109,'Data Vlaue (Cr)'!$C:$FB,2)</f>
        <v>3450</v>
      </c>
      <c r="C109" s="75">
        <f>VLOOKUP($A109,'Data Vlaue (Cr)'!$C:$FB,8)</f>
        <v>126.67</v>
      </c>
      <c r="D109" s="75">
        <f>VLOOKUP($A109,'Data Vlaue (Cr)'!$C:$FB,4)</f>
        <v>125.05</v>
      </c>
      <c r="E109" s="75">
        <f>VLOOKUP($A109,'Data Vlaue (Cr)'!$C:$FB,5)</f>
        <v>128.62</v>
      </c>
      <c r="F109" s="75">
        <f t="shared" si="6"/>
        <v>-1.6200000000000045</v>
      </c>
      <c r="G109" s="75">
        <f t="shared" si="7"/>
        <v>-2.854858056777295</v>
      </c>
      <c r="H109" s="75">
        <f>VLOOKUP($A109,'Data Vlaue (Cr)'!$C:$FB,99)</f>
        <v>1858</v>
      </c>
      <c r="I109" s="75">
        <f>VLOOKUP($A109,'Data Vlaue (Cr)'!$C:$FB,100)</f>
        <v>1690</v>
      </c>
      <c r="J109" s="75">
        <f t="shared" si="8"/>
        <v>168</v>
      </c>
      <c r="K109" s="75">
        <f t="shared" si="9"/>
        <v>9.041980624327234</v>
      </c>
      <c r="L109" s="75">
        <f>VLOOKUP($A109,'Data Vlaue (Cr)'!$C:$FB,67)</f>
        <v>1029</v>
      </c>
      <c r="M109" s="75">
        <f>VLOOKUP($A109,'Data Vlaue (Cr)'!$C:$FB,68)</f>
        <v>387</v>
      </c>
      <c r="N109" s="75">
        <f t="shared" si="10"/>
        <v>642</v>
      </c>
      <c r="O109" s="75">
        <f t="shared" si="11"/>
        <v>62.390670553935855</v>
      </c>
      <c r="P109" s="75">
        <f>VLOOKUP($A109,'Data Vlaue (Cr)'!$C:$FB,119)</f>
        <v>0.53</v>
      </c>
      <c r="Q109" s="75">
        <f>VLOOKUP($A109,'Data Vlaue (Cr)'!$C:$FB,122)*100</f>
        <v>-3.64</v>
      </c>
      <c r="R109" s="75">
        <f>VLOOKUP($A109,'Data Vlaue (Cr)'!$C:$FB,125)</f>
        <v>0.39</v>
      </c>
      <c r="S109" s="75">
        <f>VLOOKUP($A109,'Data Vlaue (Cr)'!$C:$FB,128)*100</f>
        <v>14.71</v>
      </c>
    </row>
    <row r="110" spans="1:19" x14ac:dyDescent="0.25">
      <c r="A110" s="96" t="str">
        <f>'Data Vlaue (Cr)'!C101</f>
        <v>IRFC</v>
      </c>
      <c r="B110" s="75">
        <f>VLOOKUP($A110,'Data Vlaue (Cr)'!$C:$FB,2)</f>
        <v>4250</v>
      </c>
      <c r="C110" s="75">
        <f>VLOOKUP($A110,'Data Vlaue (Cr)'!$C:$FB,8)</f>
        <v>114.33</v>
      </c>
      <c r="D110" s="75">
        <f>VLOOKUP($A110,'Data Vlaue (Cr)'!$C:$FB,4)</f>
        <v>114.28</v>
      </c>
      <c r="E110" s="75">
        <f>VLOOKUP($A110,'Data Vlaue (Cr)'!$C:$FB,5)</f>
        <v>115.82</v>
      </c>
      <c r="F110" s="75">
        <f t="shared" si="6"/>
        <v>-4.9999999999997158E-2</v>
      </c>
      <c r="G110" s="75">
        <f t="shared" si="7"/>
        <v>-1.3475673783689115</v>
      </c>
      <c r="H110" s="75">
        <f>VLOOKUP($A110,'Data Vlaue (Cr)'!$C:$FB,99)</f>
        <v>2547</v>
      </c>
      <c r="I110" s="75">
        <f>VLOOKUP($A110,'Data Vlaue (Cr)'!$C:$FB,100)</f>
        <v>2508</v>
      </c>
      <c r="J110" s="75">
        <f t="shared" si="8"/>
        <v>39</v>
      </c>
      <c r="K110" s="75">
        <f t="shared" si="9"/>
        <v>1.5312131919905771</v>
      </c>
      <c r="L110" s="75">
        <f>VLOOKUP($A110,'Data Vlaue (Cr)'!$C:$FB,67)</f>
        <v>1093</v>
      </c>
      <c r="M110" s="75">
        <f>VLOOKUP($A110,'Data Vlaue (Cr)'!$C:$FB,68)</f>
        <v>1058</v>
      </c>
      <c r="N110" s="75">
        <f t="shared" si="10"/>
        <v>35</v>
      </c>
      <c r="O110" s="75">
        <f t="shared" si="11"/>
        <v>3.2021957913998174</v>
      </c>
      <c r="P110" s="75">
        <f>VLOOKUP($A110,'Data Vlaue (Cr)'!$C:$FB,119)</f>
        <v>0.38</v>
      </c>
      <c r="Q110" s="75">
        <f>VLOOKUP($A110,'Data Vlaue (Cr)'!$C:$FB,122)*100</f>
        <v>-2.56</v>
      </c>
      <c r="R110" s="75">
        <f>VLOOKUP($A110,'Data Vlaue (Cr)'!$C:$FB,125)</f>
        <v>0.25</v>
      </c>
      <c r="S110" s="75">
        <f>VLOOKUP($A110,'Data Vlaue (Cr)'!$C:$FB,128)*100</f>
        <v>19.05</v>
      </c>
    </row>
    <row r="111" spans="1:19" x14ac:dyDescent="0.25">
      <c r="A111" s="96" t="str">
        <f>'Data Vlaue (Cr)'!C102</f>
        <v>ITC</v>
      </c>
      <c r="B111" s="75">
        <f>VLOOKUP($A111,'Data Vlaue (Cr)'!$C:$FB,2)</f>
        <v>1600</v>
      </c>
      <c r="C111" s="75">
        <f>VLOOKUP($A111,'Data Vlaue (Cr)'!$C:$FB,8)</f>
        <v>318.25</v>
      </c>
      <c r="D111" s="75">
        <f>VLOOKUP($A111,'Data Vlaue (Cr)'!$C:$FB,4)</f>
        <v>319.14999999999998</v>
      </c>
      <c r="E111" s="75">
        <f>VLOOKUP($A111,'Data Vlaue (Cr)'!$C:$FB,5)</f>
        <v>321.89999999999998</v>
      </c>
      <c r="F111" s="75">
        <f t="shared" si="6"/>
        <v>0.89999999999997726</v>
      </c>
      <c r="G111" s="75">
        <f t="shared" si="7"/>
        <v>-0.86166379445401853</v>
      </c>
      <c r="H111" s="75">
        <f>VLOOKUP($A111,'Data Vlaue (Cr)'!$C:$FB,99)</f>
        <v>15541</v>
      </c>
      <c r="I111" s="75">
        <f>VLOOKUP($A111,'Data Vlaue (Cr)'!$C:$FB,100)</f>
        <v>15196</v>
      </c>
      <c r="J111" s="75">
        <f t="shared" si="8"/>
        <v>345</v>
      </c>
      <c r="K111" s="75">
        <f t="shared" si="9"/>
        <v>2.2199343671578404</v>
      </c>
      <c r="L111" s="75">
        <f>VLOOKUP($A111,'Data Vlaue (Cr)'!$C:$FB,67)</f>
        <v>8009</v>
      </c>
      <c r="M111" s="75">
        <f>VLOOKUP($A111,'Data Vlaue (Cr)'!$C:$FB,68)</f>
        <v>5869</v>
      </c>
      <c r="N111" s="75">
        <f t="shared" si="10"/>
        <v>2140</v>
      </c>
      <c r="O111" s="75">
        <f t="shared" si="11"/>
        <v>26.719940067424147</v>
      </c>
      <c r="P111" s="75">
        <f>VLOOKUP($A111,'Data Vlaue (Cr)'!$C:$FB,119)</f>
        <v>0.46</v>
      </c>
      <c r="Q111" s="75">
        <f>VLOOKUP($A111,'Data Vlaue (Cr)'!$C:$FB,122)*100</f>
        <v>-6.12</v>
      </c>
      <c r="R111" s="75">
        <f>VLOOKUP($A111,'Data Vlaue (Cr)'!$C:$FB,125)</f>
        <v>0.46</v>
      </c>
      <c r="S111" s="75">
        <f>VLOOKUP($A111,'Data Vlaue (Cr)'!$C:$FB,128)*100</f>
        <v>12.2</v>
      </c>
    </row>
    <row r="112" spans="1:19" x14ac:dyDescent="0.25">
      <c r="A112" s="96" t="str">
        <f>'Data Vlaue (Cr)'!C103</f>
        <v>JINDALSTEL</v>
      </c>
      <c r="B112" s="75">
        <f>VLOOKUP($A112,'Data Vlaue (Cr)'!$C:$FB,2)</f>
        <v>625</v>
      </c>
      <c r="C112" s="75">
        <f>VLOOKUP($A112,'Data Vlaue (Cr)'!$C:$FB,8)</f>
        <v>1190.5</v>
      </c>
      <c r="D112" s="75">
        <f>VLOOKUP($A112,'Data Vlaue (Cr)'!$C:$FB,4)</f>
        <v>1194.5</v>
      </c>
      <c r="E112" s="75">
        <f>VLOOKUP($A112,'Data Vlaue (Cr)'!$C:$FB,5)</f>
        <v>1193.5</v>
      </c>
      <c r="F112" s="75">
        <f t="shared" si="6"/>
        <v>4</v>
      </c>
      <c r="G112" s="75">
        <f t="shared" si="7"/>
        <v>8.3717036416910848E-2</v>
      </c>
      <c r="H112" s="75">
        <f>VLOOKUP($A112,'Data Vlaue (Cr)'!$C:$FB,99)</f>
        <v>2416</v>
      </c>
      <c r="I112" s="75">
        <f>VLOOKUP($A112,'Data Vlaue (Cr)'!$C:$FB,100)</f>
        <v>2457</v>
      </c>
      <c r="J112" s="75">
        <f t="shared" si="8"/>
        <v>-41</v>
      </c>
      <c r="K112" s="75">
        <f t="shared" si="9"/>
        <v>-1.6970198675496688</v>
      </c>
      <c r="L112" s="75">
        <f>VLOOKUP($A112,'Data Vlaue (Cr)'!$C:$FB,67)</f>
        <v>908</v>
      </c>
      <c r="M112" s="75">
        <f>VLOOKUP($A112,'Data Vlaue (Cr)'!$C:$FB,68)</f>
        <v>880</v>
      </c>
      <c r="N112" s="75">
        <f t="shared" si="10"/>
        <v>28</v>
      </c>
      <c r="O112" s="75">
        <f t="shared" si="11"/>
        <v>3.0837004405286343</v>
      </c>
      <c r="P112" s="75">
        <f>VLOOKUP($A112,'Data Vlaue (Cr)'!$C:$FB,119)</f>
        <v>0.92</v>
      </c>
      <c r="Q112" s="75">
        <f>VLOOKUP($A112,'Data Vlaue (Cr)'!$C:$FB,122)*100</f>
        <v>2.2200000000000002</v>
      </c>
      <c r="R112" s="75">
        <f>VLOOKUP($A112,'Data Vlaue (Cr)'!$C:$FB,125)</f>
        <v>0.92</v>
      </c>
      <c r="S112" s="75">
        <f>VLOOKUP($A112,'Data Vlaue (Cr)'!$C:$FB,128)*100</f>
        <v>43.75</v>
      </c>
    </row>
    <row r="113" spans="1:19" x14ac:dyDescent="0.25">
      <c r="A113" s="96" t="str">
        <f>'Data Vlaue (Cr)'!C104</f>
        <v>JIOFIN</v>
      </c>
      <c r="B113" s="75">
        <f>VLOOKUP($A113,'Data Vlaue (Cr)'!$C:$FB,2)</f>
        <v>2350</v>
      </c>
      <c r="C113" s="75">
        <f>VLOOKUP($A113,'Data Vlaue (Cr)'!$C:$FB,8)</f>
        <v>270.3</v>
      </c>
      <c r="D113" s="75">
        <f>VLOOKUP($A113,'Data Vlaue (Cr)'!$C:$FB,4)</f>
        <v>270.85000000000002</v>
      </c>
      <c r="E113" s="75">
        <f>VLOOKUP($A113,'Data Vlaue (Cr)'!$C:$FB,5)</f>
        <v>270.85000000000002</v>
      </c>
      <c r="F113" s="75">
        <f t="shared" si="6"/>
        <v>0.55000000000001137</v>
      </c>
      <c r="G113" s="75">
        <f t="shared" si="7"/>
        <v>0</v>
      </c>
      <c r="H113" s="75">
        <f>VLOOKUP($A113,'Data Vlaue (Cr)'!$C:$FB,99)</f>
        <v>8123</v>
      </c>
      <c r="I113" s="75">
        <f>VLOOKUP($A113,'Data Vlaue (Cr)'!$C:$FB,100)</f>
        <v>8247</v>
      </c>
      <c r="J113" s="75">
        <f t="shared" si="8"/>
        <v>-124</v>
      </c>
      <c r="K113" s="75">
        <f t="shared" si="9"/>
        <v>-1.5265296072879477</v>
      </c>
      <c r="L113" s="75">
        <f>VLOOKUP($A113,'Data Vlaue (Cr)'!$C:$FB,67)</f>
        <v>2122</v>
      </c>
      <c r="M113" s="75">
        <f>VLOOKUP($A113,'Data Vlaue (Cr)'!$C:$FB,68)</f>
        <v>2926</v>
      </c>
      <c r="N113" s="75">
        <f t="shared" si="10"/>
        <v>-804</v>
      </c>
      <c r="O113" s="75">
        <f t="shared" si="11"/>
        <v>-37.888784165881248</v>
      </c>
      <c r="P113" s="75">
        <f>VLOOKUP($A113,'Data Vlaue (Cr)'!$C:$FB,119)</f>
        <v>0.7</v>
      </c>
      <c r="Q113" s="75">
        <f>VLOOKUP($A113,'Data Vlaue (Cr)'!$C:$FB,122)*100</f>
        <v>6.0600000000000005</v>
      </c>
      <c r="R113" s="75">
        <f>VLOOKUP($A113,'Data Vlaue (Cr)'!$C:$FB,125)</f>
        <v>0.34</v>
      </c>
      <c r="S113" s="75">
        <f>VLOOKUP($A113,'Data Vlaue (Cr)'!$C:$FB,128)*100</f>
        <v>-10.530000000000001</v>
      </c>
    </row>
    <row r="114" spans="1:19" x14ac:dyDescent="0.25">
      <c r="A114" s="96" t="str">
        <f>'Data Vlaue (Cr)'!C105</f>
        <v>JSWENERGY</v>
      </c>
      <c r="B114" s="75">
        <f>VLOOKUP($A114,'Data Vlaue (Cr)'!$C:$FB,2)</f>
        <v>1000</v>
      </c>
      <c r="C114" s="75">
        <f>VLOOKUP($A114,'Data Vlaue (Cr)'!$C:$FB,8)</f>
        <v>482.35</v>
      </c>
      <c r="D114" s="75">
        <f>VLOOKUP($A114,'Data Vlaue (Cr)'!$C:$FB,4)</f>
        <v>482.9</v>
      </c>
      <c r="E114" s="75">
        <f>VLOOKUP($A114,'Data Vlaue (Cr)'!$C:$FB,5)</f>
        <v>484.1</v>
      </c>
      <c r="F114" s="75">
        <f t="shared" si="6"/>
        <v>0.54999999999995453</v>
      </c>
      <c r="G114" s="75">
        <f t="shared" si="7"/>
        <v>-0.24849865396563375</v>
      </c>
      <c r="H114" s="75">
        <f>VLOOKUP($A114,'Data Vlaue (Cr)'!$C:$FB,99)</f>
        <v>2346</v>
      </c>
      <c r="I114" s="75">
        <f>VLOOKUP($A114,'Data Vlaue (Cr)'!$C:$FB,100)</f>
        <v>2306</v>
      </c>
      <c r="J114" s="75">
        <f t="shared" si="8"/>
        <v>40</v>
      </c>
      <c r="K114" s="75">
        <f t="shared" si="9"/>
        <v>1.7050298380221656</v>
      </c>
      <c r="L114" s="75">
        <f>VLOOKUP($A114,'Data Vlaue (Cr)'!$C:$FB,67)</f>
        <v>453</v>
      </c>
      <c r="M114" s="75">
        <f>VLOOKUP($A114,'Data Vlaue (Cr)'!$C:$FB,68)</f>
        <v>660</v>
      </c>
      <c r="N114" s="75">
        <f t="shared" si="10"/>
        <v>-207</v>
      </c>
      <c r="O114" s="75">
        <f t="shared" si="11"/>
        <v>-45.695364238410598</v>
      </c>
      <c r="P114" s="75">
        <f>VLOOKUP($A114,'Data Vlaue (Cr)'!$C:$FB,119)</f>
        <v>0.92</v>
      </c>
      <c r="Q114" s="75">
        <f>VLOOKUP($A114,'Data Vlaue (Cr)'!$C:$FB,122)*100</f>
        <v>-6.12</v>
      </c>
      <c r="R114" s="75">
        <f>VLOOKUP($A114,'Data Vlaue (Cr)'!$C:$FB,125)</f>
        <v>0.52</v>
      </c>
      <c r="S114" s="75">
        <f>VLOOKUP($A114,'Data Vlaue (Cr)'!$C:$FB,128)*100</f>
        <v>4</v>
      </c>
    </row>
    <row r="115" spans="1:19" x14ac:dyDescent="0.25">
      <c r="A115" s="96" t="str">
        <f>'Data Vlaue (Cr)'!C106</f>
        <v>JSWSTEEL</v>
      </c>
      <c r="B115" s="75">
        <f>VLOOKUP($A115,'Data Vlaue (Cr)'!$C:$FB,2)</f>
        <v>675</v>
      </c>
      <c r="C115" s="75">
        <f>VLOOKUP($A115,'Data Vlaue (Cr)'!$C:$FB,8)</f>
        <v>1249.2</v>
      </c>
      <c r="D115" s="75">
        <f>VLOOKUP($A115,'Data Vlaue (Cr)'!$C:$FB,4)</f>
        <v>1250.5</v>
      </c>
      <c r="E115" s="75">
        <f>VLOOKUP($A115,'Data Vlaue (Cr)'!$C:$FB,5)</f>
        <v>1248.2</v>
      </c>
      <c r="F115" s="75">
        <f t="shared" si="6"/>
        <v>1.2999999999999545</v>
      </c>
      <c r="G115" s="75">
        <f t="shared" si="7"/>
        <v>0.18392642942822507</v>
      </c>
      <c r="H115" s="75">
        <f>VLOOKUP($A115,'Data Vlaue (Cr)'!$C:$FB,99)</f>
        <v>8205</v>
      </c>
      <c r="I115" s="75">
        <f>VLOOKUP($A115,'Data Vlaue (Cr)'!$C:$FB,100)</f>
        <v>8246</v>
      </c>
      <c r="J115" s="75">
        <f t="shared" si="8"/>
        <v>-41</v>
      </c>
      <c r="K115" s="75">
        <f t="shared" si="9"/>
        <v>-0.49969530773918347</v>
      </c>
      <c r="L115" s="75">
        <f>VLOOKUP($A115,'Data Vlaue (Cr)'!$C:$FB,67)</f>
        <v>1181</v>
      </c>
      <c r="M115" s="75">
        <f>VLOOKUP($A115,'Data Vlaue (Cr)'!$C:$FB,68)</f>
        <v>2524</v>
      </c>
      <c r="N115" s="75">
        <f t="shared" si="10"/>
        <v>-1343</v>
      </c>
      <c r="O115" s="75">
        <f t="shared" si="11"/>
        <v>-113.71718882303132</v>
      </c>
      <c r="P115" s="75">
        <f>VLOOKUP($A115,'Data Vlaue (Cr)'!$C:$FB,119)</f>
        <v>0.72</v>
      </c>
      <c r="Q115" s="75">
        <f>VLOOKUP($A115,'Data Vlaue (Cr)'!$C:$FB,122)*100</f>
        <v>1.41</v>
      </c>
      <c r="R115" s="75">
        <f>VLOOKUP($A115,'Data Vlaue (Cr)'!$C:$FB,125)</f>
        <v>0.59</v>
      </c>
      <c r="S115" s="75">
        <f>VLOOKUP($A115,'Data Vlaue (Cr)'!$C:$FB,128)*100</f>
        <v>55.26</v>
      </c>
    </row>
    <row r="116" spans="1:19" x14ac:dyDescent="0.25">
      <c r="A116" s="96" t="str">
        <f>'Data Vlaue (Cr)'!C107</f>
        <v>JUBLFOOD</v>
      </c>
      <c r="B116" s="75">
        <f>VLOOKUP($A116,'Data Vlaue (Cr)'!$C:$FB,2)</f>
        <v>1250</v>
      </c>
      <c r="C116" s="75">
        <f>VLOOKUP($A116,'Data Vlaue (Cr)'!$C:$FB,8)</f>
        <v>547</v>
      </c>
      <c r="D116" s="75">
        <f>VLOOKUP($A116,'Data Vlaue (Cr)'!$C:$FB,4)</f>
        <v>545</v>
      </c>
      <c r="E116" s="75">
        <f>VLOOKUP($A116,'Data Vlaue (Cr)'!$C:$FB,5)</f>
        <v>556.20000000000005</v>
      </c>
      <c r="F116" s="75">
        <f t="shared" si="6"/>
        <v>-2</v>
      </c>
      <c r="G116" s="75">
        <f t="shared" si="7"/>
        <v>-2.0550458715596411</v>
      </c>
      <c r="H116" s="75">
        <f>VLOOKUP($A116,'Data Vlaue (Cr)'!$C:$FB,99)</f>
        <v>2881</v>
      </c>
      <c r="I116" s="75">
        <f>VLOOKUP($A116,'Data Vlaue (Cr)'!$C:$FB,100)</f>
        <v>2091</v>
      </c>
      <c r="J116" s="75">
        <f t="shared" si="8"/>
        <v>790</v>
      </c>
      <c r="K116" s="75">
        <f t="shared" si="9"/>
        <v>27.421034363068379</v>
      </c>
      <c r="L116" s="75">
        <f>VLOOKUP($A116,'Data Vlaue (Cr)'!$C:$FB,67)</f>
        <v>6771</v>
      </c>
      <c r="M116" s="75">
        <f>VLOOKUP($A116,'Data Vlaue (Cr)'!$C:$FB,68)</f>
        <v>1689</v>
      </c>
      <c r="N116" s="75">
        <f t="shared" si="10"/>
        <v>5082</v>
      </c>
      <c r="O116" s="75">
        <f t="shared" si="11"/>
        <v>75.055383252104562</v>
      </c>
      <c r="P116" s="75">
        <f>VLOOKUP($A116,'Data Vlaue (Cr)'!$C:$FB,119)</f>
        <v>0.49</v>
      </c>
      <c r="Q116" s="75">
        <f>VLOOKUP($A116,'Data Vlaue (Cr)'!$C:$FB,122)*100</f>
        <v>-36.36</v>
      </c>
      <c r="R116" s="75">
        <f>VLOOKUP($A116,'Data Vlaue (Cr)'!$C:$FB,125)</f>
        <v>0.4</v>
      </c>
      <c r="S116" s="75">
        <f>VLOOKUP($A116,'Data Vlaue (Cr)'!$C:$FB,128)*100</f>
        <v>0</v>
      </c>
    </row>
    <row r="117" spans="1:19" x14ac:dyDescent="0.25">
      <c r="A117" s="96" t="str">
        <f>'Data Vlaue (Cr)'!C108</f>
        <v>KALYANKJIL</v>
      </c>
      <c r="B117" s="75">
        <f>VLOOKUP($A117,'Data Vlaue (Cr)'!$C:$FB,2)</f>
        <v>1175</v>
      </c>
      <c r="C117" s="75">
        <f>VLOOKUP($A117,'Data Vlaue (Cr)'!$C:$FB,8)</f>
        <v>426.95</v>
      </c>
      <c r="D117" s="75">
        <f>VLOOKUP($A117,'Data Vlaue (Cr)'!$C:$FB,4)</f>
        <v>427.45</v>
      </c>
      <c r="E117" s="75">
        <f>VLOOKUP($A117,'Data Vlaue (Cr)'!$C:$FB,5)</f>
        <v>434.8</v>
      </c>
      <c r="F117" s="75">
        <f t="shared" si="6"/>
        <v>0.5</v>
      </c>
      <c r="G117" s="75">
        <f t="shared" si="7"/>
        <v>-1.7194993566499057</v>
      </c>
      <c r="H117" s="75">
        <f>VLOOKUP($A117,'Data Vlaue (Cr)'!$C:$FB,99)</f>
        <v>3159</v>
      </c>
      <c r="I117" s="75">
        <f>VLOOKUP($A117,'Data Vlaue (Cr)'!$C:$FB,100)</f>
        <v>3295</v>
      </c>
      <c r="J117" s="75">
        <f t="shared" si="8"/>
        <v>-136</v>
      </c>
      <c r="K117" s="75">
        <f t="shared" si="9"/>
        <v>-4.305159860715416</v>
      </c>
      <c r="L117" s="75">
        <f>VLOOKUP($A117,'Data Vlaue (Cr)'!$C:$FB,67)</f>
        <v>2633</v>
      </c>
      <c r="M117" s="75">
        <f>VLOOKUP($A117,'Data Vlaue (Cr)'!$C:$FB,68)</f>
        <v>5880</v>
      </c>
      <c r="N117" s="75">
        <f t="shared" si="10"/>
        <v>-3247</v>
      </c>
      <c r="O117" s="75">
        <f t="shared" si="11"/>
        <v>-123.31940751993923</v>
      </c>
      <c r="P117" s="75">
        <f>VLOOKUP($A117,'Data Vlaue (Cr)'!$C:$FB,119)</f>
        <v>0.8</v>
      </c>
      <c r="Q117" s="75">
        <f>VLOOKUP($A117,'Data Vlaue (Cr)'!$C:$FB,122)*100</f>
        <v>2.56</v>
      </c>
      <c r="R117" s="75">
        <f>VLOOKUP($A117,'Data Vlaue (Cr)'!$C:$FB,125)</f>
        <v>0.72</v>
      </c>
      <c r="S117" s="75">
        <f>VLOOKUP($A117,'Data Vlaue (Cr)'!$C:$FB,128)*100</f>
        <v>26.32</v>
      </c>
    </row>
    <row r="118" spans="1:19" x14ac:dyDescent="0.25">
      <c r="A118" s="96" t="str">
        <f>'Data Vlaue (Cr)'!C109</f>
        <v>KAYNES</v>
      </c>
      <c r="B118" s="75">
        <f>VLOOKUP($A118,'Data Vlaue (Cr)'!$C:$FB,2)</f>
        <v>100</v>
      </c>
      <c r="C118" s="75">
        <f>VLOOKUP($A118,'Data Vlaue (Cr)'!$C:$FB,8)</f>
        <v>4154.7</v>
      </c>
      <c r="D118" s="75">
        <f>VLOOKUP($A118,'Data Vlaue (Cr)'!$C:$FB,4)</f>
        <v>4169.1000000000004</v>
      </c>
      <c r="E118" s="75">
        <f>VLOOKUP($A118,'Data Vlaue (Cr)'!$C:$FB,5)</f>
        <v>3961.4</v>
      </c>
      <c r="F118" s="75">
        <f t="shared" si="6"/>
        <v>14.400000000000546</v>
      </c>
      <c r="G118" s="75">
        <f t="shared" si="7"/>
        <v>4.9818905759036785</v>
      </c>
      <c r="H118" s="75">
        <f>VLOOKUP($A118,'Data Vlaue (Cr)'!$C:$FB,99)</f>
        <v>3634</v>
      </c>
      <c r="I118" s="75">
        <f>VLOOKUP($A118,'Data Vlaue (Cr)'!$C:$FB,100)</f>
        <v>3386</v>
      </c>
      <c r="J118" s="75">
        <f t="shared" si="8"/>
        <v>248</v>
      </c>
      <c r="K118" s="75">
        <f t="shared" si="9"/>
        <v>6.8244358833241607</v>
      </c>
      <c r="L118" s="75">
        <f>VLOOKUP($A118,'Data Vlaue (Cr)'!$C:$FB,67)</f>
        <v>9088</v>
      </c>
      <c r="M118" s="75">
        <f>VLOOKUP($A118,'Data Vlaue (Cr)'!$C:$FB,68)</f>
        <v>5944</v>
      </c>
      <c r="N118" s="75">
        <f t="shared" si="10"/>
        <v>3144</v>
      </c>
      <c r="O118" s="75">
        <f t="shared" si="11"/>
        <v>34.595070422535215</v>
      </c>
      <c r="P118" s="75">
        <f>VLOOKUP($A118,'Data Vlaue (Cr)'!$C:$FB,119)</f>
        <v>0.89</v>
      </c>
      <c r="Q118" s="75">
        <f>VLOOKUP($A118,'Data Vlaue (Cr)'!$C:$FB,122)*100</f>
        <v>-8.25</v>
      </c>
      <c r="R118" s="75">
        <f>VLOOKUP($A118,'Data Vlaue (Cr)'!$C:$FB,125)</f>
        <v>0.36</v>
      </c>
      <c r="S118" s="75">
        <f>VLOOKUP($A118,'Data Vlaue (Cr)'!$C:$FB,128)*100</f>
        <v>-36.840000000000003</v>
      </c>
    </row>
    <row r="119" spans="1:19" x14ac:dyDescent="0.25">
      <c r="A119" s="96" t="str">
        <f>'Data Vlaue (Cr)'!C110</f>
        <v>KEI</v>
      </c>
      <c r="B119" s="75">
        <f>VLOOKUP($A119,'Data Vlaue (Cr)'!$C:$FB,2)</f>
        <v>175</v>
      </c>
      <c r="C119" s="75">
        <f>VLOOKUP($A119,'Data Vlaue (Cr)'!$C:$FB,8)</f>
        <v>4605.8999999999996</v>
      </c>
      <c r="D119" s="75">
        <f>VLOOKUP($A119,'Data Vlaue (Cr)'!$C:$FB,4)</f>
        <v>4619.5</v>
      </c>
      <c r="E119" s="75">
        <f>VLOOKUP($A119,'Data Vlaue (Cr)'!$C:$FB,5)</f>
        <v>4606.6000000000004</v>
      </c>
      <c r="F119" s="75">
        <f t="shared" si="6"/>
        <v>13.600000000000364</v>
      </c>
      <c r="G119" s="75">
        <f t="shared" si="7"/>
        <v>0.27925100119059715</v>
      </c>
      <c r="H119" s="75">
        <f>VLOOKUP($A119,'Data Vlaue (Cr)'!$C:$FB,99)</f>
        <v>1385</v>
      </c>
      <c r="I119" s="75">
        <f>VLOOKUP($A119,'Data Vlaue (Cr)'!$C:$FB,100)</f>
        <v>1373</v>
      </c>
      <c r="J119" s="75">
        <f t="shared" si="8"/>
        <v>12</v>
      </c>
      <c r="K119" s="75">
        <f t="shared" si="9"/>
        <v>0.86642599277978338</v>
      </c>
      <c r="L119" s="75">
        <f>VLOOKUP($A119,'Data Vlaue (Cr)'!$C:$FB,67)</f>
        <v>710</v>
      </c>
      <c r="M119" s="75">
        <f>VLOOKUP($A119,'Data Vlaue (Cr)'!$C:$FB,68)</f>
        <v>923</v>
      </c>
      <c r="N119" s="75">
        <f t="shared" si="10"/>
        <v>-213</v>
      </c>
      <c r="O119" s="75">
        <f t="shared" si="11"/>
        <v>-30</v>
      </c>
      <c r="P119" s="75">
        <f>VLOOKUP($A119,'Data Vlaue (Cr)'!$C:$FB,119)</f>
        <v>0.95</v>
      </c>
      <c r="Q119" s="75">
        <f>VLOOKUP($A119,'Data Vlaue (Cr)'!$C:$FB,122)*100</f>
        <v>6.74</v>
      </c>
      <c r="R119" s="75">
        <f>VLOOKUP($A119,'Data Vlaue (Cr)'!$C:$FB,125)</f>
        <v>0.41</v>
      </c>
      <c r="S119" s="75">
        <f>VLOOKUP($A119,'Data Vlaue (Cr)'!$C:$FB,128)*100</f>
        <v>70.83</v>
      </c>
    </row>
    <row r="120" spans="1:19" x14ac:dyDescent="0.25">
      <c r="A120" s="96" t="str">
        <f>'Data Vlaue (Cr)'!C111</f>
        <v>KFINTECH</v>
      </c>
      <c r="B120" s="75">
        <f>VLOOKUP($A120,'Data Vlaue (Cr)'!$C:$FB,2)</f>
        <v>500</v>
      </c>
      <c r="C120" s="75">
        <f>VLOOKUP($A120,'Data Vlaue (Cr)'!$C:$FB,8)</f>
        <v>1022.5</v>
      </c>
      <c r="D120" s="75">
        <f>VLOOKUP($A120,'Data Vlaue (Cr)'!$C:$FB,4)</f>
        <v>1019.4</v>
      </c>
      <c r="E120" s="75">
        <f>VLOOKUP($A120,'Data Vlaue (Cr)'!$C:$FB,5)</f>
        <v>1026.0999999999999</v>
      </c>
      <c r="F120" s="75">
        <f t="shared" si="6"/>
        <v>-3.1000000000000227</v>
      </c>
      <c r="G120" s="75">
        <f t="shared" si="7"/>
        <v>-0.65724936237001497</v>
      </c>
      <c r="H120" s="75">
        <f>VLOOKUP($A120,'Data Vlaue (Cr)'!$C:$FB,99)</f>
        <v>910</v>
      </c>
      <c r="I120" s="75">
        <f>VLOOKUP($A120,'Data Vlaue (Cr)'!$C:$FB,100)</f>
        <v>856</v>
      </c>
      <c r="J120" s="75">
        <f t="shared" si="8"/>
        <v>54</v>
      </c>
      <c r="K120" s="75">
        <f t="shared" si="9"/>
        <v>5.9340659340659334</v>
      </c>
      <c r="L120" s="75">
        <f>VLOOKUP($A120,'Data Vlaue (Cr)'!$C:$FB,67)</f>
        <v>273</v>
      </c>
      <c r="M120" s="75">
        <f>VLOOKUP($A120,'Data Vlaue (Cr)'!$C:$FB,68)</f>
        <v>1625</v>
      </c>
      <c r="N120" s="75">
        <f t="shared" si="10"/>
        <v>-1352</v>
      </c>
      <c r="O120" s="75">
        <f t="shared" si="11"/>
        <v>-495.23809523809524</v>
      </c>
      <c r="P120" s="75">
        <f>VLOOKUP($A120,'Data Vlaue (Cr)'!$C:$FB,119)</f>
        <v>0.76</v>
      </c>
      <c r="Q120" s="75">
        <f>VLOOKUP($A120,'Data Vlaue (Cr)'!$C:$FB,122)*100</f>
        <v>0</v>
      </c>
      <c r="R120" s="75">
        <f>VLOOKUP($A120,'Data Vlaue (Cr)'!$C:$FB,125)</f>
        <v>0.39</v>
      </c>
      <c r="S120" s="75">
        <f>VLOOKUP($A120,'Data Vlaue (Cr)'!$C:$FB,128)*100</f>
        <v>11.43</v>
      </c>
    </row>
    <row r="121" spans="1:19" x14ac:dyDescent="0.25">
      <c r="A121" s="96" t="str">
        <f>'Data Vlaue (Cr)'!C112</f>
        <v>KOTAKBANK</v>
      </c>
      <c r="B121" s="75">
        <f>VLOOKUP($A121,'Data Vlaue (Cr)'!$C:$FB,2)</f>
        <v>2000</v>
      </c>
      <c r="C121" s="75">
        <f>VLOOKUP($A121,'Data Vlaue (Cr)'!$C:$FB,8)</f>
        <v>429.55</v>
      </c>
      <c r="D121" s="75">
        <f>VLOOKUP($A121,'Data Vlaue (Cr)'!$C:$FB,4)</f>
        <v>429.9</v>
      </c>
      <c r="E121" s="75">
        <f>VLOOKUP($A121,'Data Vlaue (Cr)'!$C:$FB,5)</f>
        <v>429.8</v>
      </c>
      <c r="F121" s="75">
        <f t="shared" si="6"/>
        <v>0.34999999999996589</v>
      </c>
      <c r="G121" s="75">
        <f t="shared" si="7"/>
        <v>2.326122354035029E-2</v>
      </c>
      <c r="H121" s="75">
        <f>VLOOKUP($A121,'Data Vlaue (Cr)'!$C:$FB,99)</f>
        <v>11816</v>
      </c>
      <c r="I121" s="75">
        <f>VLOOKUP($A121,'Data Vlaue (Cr)'!$C:$FB,100)</f>
        <v>11996</v>
      </c>
      <c r="J121" s="75">
        <f t="shared" si="8"/>
        <v>-180</v>
      </c>
      <c r="K121" s="75">
        <f t="shared" si="9"/>
        <v>-1.5233581584292486</v>
      </c>
      <c r="L121" s="75">
        <f>VLOOKUP($A121,'Data Vlaue (Cr)'!$C:$FB,67)</f>
        <v>2263</v>
      </c>
      <c r="M121" s="75">
        <f>VLOOKUP($A121,'Data Vlaue (Cr)'!$C:$FB,68)</f>
        <v>3354</v>
      </c>
      <c r="N121" s="75">
        <f t="shared" si="10"/>
        <v>-1091</v>
      </c>
      <c r="O121" s="75">
        <f t="shared" si="11"/>
        <v>-48.210340256296952</v>
      </c>
      <c r="P121" s="75">
        <f>VLOOKUP($A121,'Data Vlaue (Cr)'!$C:$FB,119)</f>
        <v>0.97</v>
      </c>
      <c r="Q121" s="75">
        <f>VLOOKUP($A121,'Data Vlaue (Cr)'!$C:$FB,122)*100</f>
        <v>-1.02</v>
      </c>
      <c r="R121" s="75">
        <f>VLOOKUP($A121,'Data Vlaue (Cr)'!$C:$FB,125)</f>
        <v>0.74</v>
      </c>
      <c r="S121" s="75">
        <f>VLOOKUP($A121,'Data Vlaue (Cr)'!$C:$FB,128)*100</f>
        <v>4.2299999999999995</v>
      </c>
    </row>
    <row r="122" spans="1:19" x14ac:dyDescent="0.25">
      <c r="A122" s="96" t="str">
        <f>'Data Vlaue (Cr)'!C113</f>
        <v>KPITTECH</v>
      </c>
      <c r="B122" s="75">
        <f>VLOOKUP($A122,'Data Vlaue (Cr)'!$C:$FB,2)</f>
        <v>425</v>
      </c>
      <c r="C122" s="75">
        <f>VLOOKUP($A122,'Data Vlaue (Cr)'!$C:$FB,8)</f>
        <v>959.4</v>
      </c>
      <c r="D122" s="75">
        <f>VLOOKUP($A122,'Data Vlaue (Cr)'!$C:$FB,4)</f>
        <v>962</v>
      </c>
      <c r="E122" s="75">
        <f>VLOOKUP($A122,'Data Vlaue (Cr)'!$C:$FB,5)</f>
        <v>977</v>
      </c>
      <c r="F122" s="75">
        <f t="shared" si="6"/>
        <v>2.6000000000000227</v>
      </c>
      <c r="G122" s="75">
        <f t="shared" si="7"/>
        <v>-1.5592515592515594</v>
      </c>
      <c r="H122" s="75">
        <f>VLOOKUP($A122,'Data Vlaue (Cr)'!$C:$FB,99)</f>
        <v>1247</v>
      </c>
      <c r="I122" s="75">
        <f>VLOOKUP($A122,'Data Vlaue (Cr)'!$C:$FB,100)</f>
        <v>1211</v>
      </c>
      <c r="J122" s="75">
        <f t="shared" si="8"/>
        <v>36</v>
      </c>
      <c r="K122" s="75">
        <f t="shared" si="9"/>
        <v>2.8869286287089011</v>
      </c>
      <c r="L122" s="75">
        <f>VLOOKUP($A122,'Data Vlaue (Cr)'!$C:$FB,67)</f>
        <v>373</v>
      </c>
      <c r="M122" s="75">
        <f>VLOOKUP($A122,'Data Vlaue (Cr)'!$C:$FB,68)</f>
        <v>863</v>
      </c>
      <c r="N122" s="75">
        <f t="shared" si="10"/>
        <v>-490</v>
      </c>
      <c r="O122" s="75">
        <f t="shared" si="11"/>
        <v>-131.36729222520108</v>
      </c>
      <c r="P122" s="75">
        <f>VLOOKUP($A122,'Data Vlaue (Cr)'!$C:$FB,119)</f>
        <v>0.41</v>
      </c>
      <c r="Q122" s="75">
        <f>VLOOKUP($A122,'Data Vlaue (Cr)'!$C:$FB,122)*100</f>
        <v>5.13</v>
      </c>
      <c r="R122" s="75">
        <f>VLOOKUP($A122,'Data Vlaue (Cr)'!$C:$FB,125)</f>
        <v>0.26</v>
      </c>
      <c r="S122" s="75">
        <f>VLOOKUP($A122,'Data Vlaue (Cr)'!$C:$FB,128)*100</f>
        <v>52.94</v>
      </c>
    </row>
    <row r="123" spans="1:19" x14ac:dyDescent="0.25">
      <c r="A123" s="96" t="str">
        <f>'Data Vlaue (Cr)'!C114</f>
        <v>LAURUSLABS</v>
      </c>
      <c r="B123" s="75">
        <f>VLOOKUP($A123,'Data Vlaue (Cr)'!$C:$FB,2)</f>
        <v>850</v>
      </c>
      <c r="C123" s="75">
        <f>VLOOKUP($A123,'Data Vlaue (Cr)'!$C:$FB,8)</f>
        <v>1013.65</v>
      </c>
      <c r="D123" s="75">
        <f>VLOOKUP($A123,'Data Vlaue (Cr)'!$C:$FB,4)</f>
        <v>1015.6</v>
      </c>
      <c r="E123" s="75">
        <f>VLOOKUP($A123,'Data Vlaue (Cr)'!$C:$FB,5)</f>
        <v>969.65</v>
      </c>
      <c r="F123" s="75">
        <f t="shared" si="6"/>
        <v>1.9500000000000455</v>
      </c>
      <c r="G123" s="75">
        <f t="shared" si="7"/>
        <v>4.5244190626230845</v>
      </c>
      <c r="H123" s="75">
        <f>VLOOKUP($A123,'Data Vlaue (Cr)'!$C:$FB,99)</f>
        <v>3905</v>
      </c>
      <c r="I123" s="75">
        <f>VLOOKUP($A123,'Data Vlaue (Cr)'!$C:$FB,100)</f>
        <v>3818</v>
      </c>
      <c r="J123" s="75">
        <f t="shared" si="8"/>
        <v>87</v>
      </c>
      <c r="K123" s="75">
        <f t="shared" si="9"/>
        <v>2.2279129321382842</v>
      </c>
      <c r="L123" s="75">
        <f>VLOOKUP($A123,'Data Vlaue (Cr)'!$C:$FB,67)</f>
        <v>4251</v>
      </c>
      <c r="M123" s="75">
        <f>VLOOKUP($A123,'Data Vlaue (Cr)'!$C:$FB,68)</f>
        <v>1059</v>
      </c>
      <c r="N123" s="75">
        <f t="shared" si="10"/>
        <v>3192</v>
      </c>
      <c r="O123" s="75">
        <f t="shared" si="11"/>
        <v>75.088214537755832</v>
      </c>
      <c r="P123" s="75">
        <f>VLOOKUP($A123,'Data Vlaue (Cr)'!$C:$FB,119)</f>
        <v>0.51</v>
      </c>
      <c r="Q123" s="75">
        <f>VLOOKUP($A123,'Data Vlaue (Cr)'!$C:$FB,122)*100</f>
        <v>4.08</v>
      </c>
      <c r="R123" s="75">
        <f>VLOOKUP($A123,'Data Vlaue (Cr)'!$C:$FB,125)</f>
        <v>0.28999999999999998</v>
      </c>
      <c r="S123" s="75">
        <f>VLOOKUP($A123,'Data Vlaue (Cr)'!$C:$FB,128)*100</f>
        <v>-46.300000000000004</v>
      </c>
    </row>
    <row r="124" spans="1:19" x14ac:dyDescent="0.25">
      <c r="A124" s="96" t="str">
        <f>'Data Vlaue (Cr)'!C115</f>
        <v>LICHSGFIN</v>
      </c>
      <c r="B124" s="75">
        <f>VLOOKUP($A124,'Data Vlaue (Cr)'!$C:$FB,2)</f>
        <v>1000</v>
      </c>
      <c r="C124" s="75">
        <f>VLOOKUP($A124,'Data Vlaue (Cr)'!$C:$FB,8)</f>
        <v>525.54999999999995</v>
      </c>
      <c r="D124" s="75">
        <f>VLOOKUP($A124,'Data Vlaue (Cr)'!$C:$FB,4)</f>
        <v>526</v>
      </c>
      <c r="E124" s="75">
        <f>VLOOKUP($A124,'Data Vlaue (Cr)'!$C:$FB,5)</f>
        <v>523.95000000000005</v>
      </c>
      <c r="F124" s="75">
        <f t="shared" si="6"/>
        <v>0.45000000000004547</v>
      </c>
      <c r="G124" s="75">
        <f t="shared" si="7"/>
        <v>0.38973384030417385</v>
      </c>
      <c r="H124" s="75">
        <f>VLOOKUP($A124,'Data Vlaue (Cr)'!$C:$FB,99)</f>
        <v>2777</v>
      </c>
      <c r="I124" s="75">
        <f>VLOOKUP($A124,'Data Vlaue (Cr)'!$C:$FB,100)</f>
        <v>2755</v>
      </c>
      <c r="J124" s="75">
        <f t="shared" si="8"/>
        <v>22</v>
      </c>
      <c r="K124" s="75">
        <f t="shared" si="9"/>
        <v>0.79222182211019088</v>
      </c>
      <c r="L124" s="75">
        <f>VLOOKUP($A124,'Data Vlaue (Cr)'!$C:$FB,67)</f>
        <v>653</v>
      </c>
      <c r="M124" s="75">
        <f>VLOOKUP($A124,'Data Vlaue (Cr)'!$C:$FB,68)</f>
        <v>385</v>
      </c>
      <c r="N124" s="75">
        <f t="shared" si="10"/>
        <v>268</v>
      </c>
      <c r="O124" s="75">
        <f t="shared" si="11"/>
        <v>41.04134762633997</v>
      </c>
      <c r="P124" s="75">
        <f>VLOOKUP($A124,'Data Vlaue (Cr)'!$C:$FB,119)</f>
        <v>0.78</v>
      </c>
      <c r="Q124" s="75">
        <f>VLOOKUP($A124,'Data Vlaue (Cr)'!$C:$FB,122)*100</f>
        <v>-1.27</v>
      </c>
      <c r="R124" s="75">
        <f>VLOOKUP($A124,'Data Vlaue (Cr)'!$C:$FB,125)</f>
        <v>0.39</v>
      </c>
      <c r="S124" s="75">
        <f>VLOOKUP($A124,'Data Vlaue (Cr)'!$C:$FB,128)*100</f>
        <v>8.33</v>
      </c>
    </row>
    <row r="125" spans="1:19" x14ac:dyDescent="0.25">
      <c r="A125" s="96" t="str">
        <f>'Data Vlaue (Cr)'!C116</f>
        <v>LICI</v>
      </c>
      <c r="B125" s="75">
        <f>VLOOKUP($A125,'Data Vlaue (Cr)'!$C:$FB,2)</f>
        <v>700</v>
      </c>
      <c r="C125" s="75">
        <f>VLOOKUP($A125,'Data Vlaue (Cr)'!$C:$FB,8)</f>
        <v>875.3</v>
      </c>
      <c r="D125" s="75">
        <f>VLOOKUP($A125,'Data Vlaue (Cr)'!$C:$FB,4)</f>
        <v>875.55</v>
      </c>
      <c r="E125" s="75">
        <f>VLOOKUP($A125,'Data Vlaue (Cr)'!$C:$FB,5)</f>
        <v>892.45</v>
      </c>
      <c r="F125" s="75">
        <f t="shared" si="6"/>
        <v>0.25</v>
      </c>
      <c r="G125" s="75">
        <f t="shared" si="7"/>
        <v>-1.9302152932442571</v>
      </c>
      <c r="H125" s="75">
        <f>VLOOKUP($A125,'Data Vlaue (Cr)'!$C:$FB,99)</f>
        <v>2646</v>
      </c>
      <c r="I125" s="75">
        <f>VLOOKUP($A125,'Data Vlaue (Cr)'!$C:$FB,100)</f>
        <v>2593</v>
      </c>
      <c r="J125" s="75">
        <f t="shared" si="8"/>
        <v>53</v>
      </c>
      <c r="K125" s="75">
        <f t="shared" si="9"/>
        <v>2.0030234315948601</v>
      </c>
      <c r="L125" s="75">
        <f>VLOOKUP($A125,'Data Vlaue (Cr)'!$C:$FB,67)</f>
        <v>2739</v>
      </c>
      <c r="M125" s="75">
        <f>VLOOKUP($A125,'Data Vlaue (Cr)'!$C:$FB,68)</f>
        <v>1453</v>
      </c>
      <c r="N125" s="75">
        <f t="shared" si="10"/>
        <v>1286</v>
      </c>
      <c r="O125" s="75">
        <f t="shared" si="11"/>
        <v>46.95144213216502</v>
      </c>
      <c r="P125" s="75">
        <f>VLOOKUP($A125,'Data Vlaue (Cr)'!$C:$FB,119)</f>
        <v>0.47</v>
      </c>
      <c r="Q125" s="75">
        <f>VLOOKUP($A125,'Data Vlaue (Cr)'!$C:$FB,122)*100</f>
        <v>-12.959999999999999</v>
      </c>
      <c r="R125" s="75">
        <f>VLOOKUP($A125,'Data Vlaue (Cr)'!$C:$FB,125)</f>
        <v>0.61</v>
      </c>
      <c r="S125" s="75">
        <f>VLOOKUP($A125,'Data Vlaue (Cr)'!$C:$FB,128)*100</f>
        <v>10.91</v>
      </c>
    </row>
    <row r="126" spans="1:19" x14ac:dyDescent="0.25">
      <c r="A126" s="96" t="str">
        <f>'Data Vlaue (Cr)'!C117</f>
        <v>LODHA</v>
      </c>
      <c r="B126" s="75">
        <f>VLOOKUP($A126,'Data Vlaue (Cr)'!$C:$FB,2)</f>
        <v>450</v>
      </c>
      <c r="C126" s="75">
        <f>VLOOKUP($A126,'Data Vlaue (Cr)'!$C:$FB,8)</f>
        <v>1094.9000000000001</v>
      </c>
      <c r="D126" s="75">
        <f>VLOOKUP($A126,'Data Vlaue (Cr)'!$C:$FB,4)</f>
        <v>1095.5</v>
      </c>
      <c r="E126" s="75">
        <f>VLOOKUP($A126,'Data Vlaue (Cr)'!$C:$FB,5)</f>
        <v>1095.4000000000001</v>
      </c>
      <c r="F126" s="75">
        <f t="shared" si="6"/>
        <v>0.59999999999990905</v>
      </c>
      <c r="G126" s="75">
        <f t="shared" si="7"/>
        <v>9.1282519397452352E-3</v>
      </c>
      <c r="H126" s="75">
        <f>VLOOKUP($A126,'Data Vlaue (Cr)'!$C:$FB,99)</f>
        <v>1635</v>
      </c>
      <c r="I126" s="75">
        <f>VLOOKUP($A126,'Data Vlaue (Cr)'!$C:$FB,100)</f>
        <v>1638</v>
      </c>
      <c r="J126" s="75">
        <f t="shared" si="8"/>
        <v>-3</v>
      </c>
      <c r="K126" s="75">
        <f t="shared" si="9"/>
        <v>-0.1834862385321101</v>
      </c>
      <c r="L126" s="75">
        <f>VLOOKUP($A126,'Data Vlaue (Cr)'!$C:$FB,67)</f>
        <v>434</v>
      </c>
      <c r="M126" s="75">
        <f>VLOOKUP($A126,'Data Vlaue (Cr)'!$C:$FB,68)</f>
        <v>867</v>
      </c>
      <c r="N126" s="75">
        <f t="shared" si="10"/>
        <v>-433</v>
      </c>
      <c r="O126" s="75">
        <f t="shared" si="11"/>
        <v>-99.769585253456214</v>
      </c>
      <c r="P126" s="75">
        <f>VLOOKUP($A126,'Data Vlaue (Cr)'!$C:$FB,119)</f>
        <v>1.04</v>
      </c>
      <c r="Q126" s="75">
        <f>VLOOKUP($A126,'Data Vlaue (Cr)'!$C:$FB,122)*100</f>
        <v>-4.5900000000000007</v>
      </c>
      <c r="R126" s="75">
        <f>VLOOKUP($A126,'Data Vlaue (Cr)'!$C:$FB,125)</f>
        <v>0.78</v>
      </c>
      <c r="S126" s="75">
        <f>VLOOKUP($A126,'Data Vlaue (Cr)'!$C:$FB,128)*100</f>
        <v>34.479999999999997</v>
      </c>
    </row>
    <row r="127" spans="1:19" x14ac:dyDescent="0.25">
      <c r="A127" s="96" t="str">
        <f>'Data Vlaue (Cr)'!C118</f>
        <v>LT</v>
      </c>
      <c r="B127" s="75">
        <f>VLOOKUP($A127,'Data Vlaue (Cr)'!$C:$FB,2)</f>
        <v>175</v>
      </c>
      <c r="C127" s="75">
        <f>VLOOKUP($A127,'Data Vlaue (Cr)'!$C:$FB,8)</f>
        <v>4170.3999999999996</v>
      </c>
      <c r="D127" s="75">
        <f>VLOOKUP($A127,'Data Vlaue (Cr)'!$C:$FB,4)</f>
        <v>4170.8999999999996</v>
      </c>
      <c r="E127" s="75">
        <f>VLOOKUP($A127,'Data Vlaue (Cr)'!$C:$FB,5)</f>
        <v>4169.8999999999996</v>
      </c>
      <c r="F127" s="75">
        <f t="shared" si="6"/>
        <v>0.5</v>
      </c>
      <c r="G127" s="75">
        <f t="shared" si="7"/>
        <v>2.3975640748999019E-2</v>
      </c>
      <c r="H127" s="75">
        <f>VLOOKUP($A127,'Data Vlaue (Cr)'!$C:$FB,99)</f>
        <v>12696</v>
      </c>
      <c r="I127" s="75">
        <f>VLOOKUP($A127,'Data Vlaue (Cr)'!$C:$FB,100)</f>
        <v>12502</v>
      </c>
      <c r="J127" s="75">
        <f t="shared" si="8"/>
        <v>194</v>
      </c>
      <c r="K127" s="75">
        <f t="shared" si="9"/>
        <v>1.5280403276622558</v>
      </c>
      <c r="L127" s="75">
        <f>VLOOKUP($A127,'Data Vlaue (Cr)'!$C:$FB,67)</f>
        <v>6398</v>
      </c>
      <c r="M127" s="75">
        <f>VLOOKUP($A127,'Data Vlaue (Cr)'!$C:$FB,68)</f>
        <v>6675</v>
      </c>
      <c r="N127" s="75">
        <f t="shared" si="10"/>
        <v>-277</v>
      </c>
      <c r="O127" s="75">
        <f t="shared" si="11"/>
        <v>-4.3294779618630823</v>
      </c>
      <c r="P127" s="75">
        <f>VLOOKUP($A127,'Data Vlaue (Cr)'!$C:$FB,119)</f>
        <v>0.83</v>
      </c>
      <c r="Q127" s="75">
        <f>VLOOKUP($A127,'Data Vlaue (Cr)'!$C:$FB,122)*100</f>
        <v>-2.35</v>
      </c>
      <c r="R127" s="75">
        <f>VLOOKUP($A127,'Data Vlaue (Cr)'!$C:$FB,125)</f>
        <v>1.29</v>
      </c>
      <c r="S127" s="75">
        <f>VLOOKUP($A127,'Data Vlaue (Cr)'!$C:$FB,128)*100</f>
        <v>95.45</v>
      </c>
    </row>
    <row r="128" spans="1:19" x14ac:dyDescent="0.25">
      <c r="A128" s="96" t="str">
        <f>'Data Vlaue (Cr)'!C119</f>
        <v>LTF</v>
      </c>
      <c r="B128" s="75">
        <f>VLOOKUP($A128,'Data Vlaue (Cr)'!$C:$FB,2)</f>
        <v>2250</v>
      </c>
      <c r="C128" s="75">
        <f>VLOOKUP($A128,'Data Vlaue (Cr)'!$C:$FB,8)</f>
        <v>288.3</v>
      </c>
      <c r="D128" s="75">
        <f>VLOOKUP($A128,'Data Vlaue (Cr)'!$C:$FB,4)</f>
        <v>288.05</v>
      </c>
      <c r="E128" s="75">
        <f>VLOOKUP($A128,'Data Vlaue (Cr)'!$C:$FB,5)</f>
        <v>293.95</v>
      </c>
      <c r="F128" s="75">
        <f t="shared" si="6"/>
        <v>-0.25</v>
      </c>
      <c r="G128" s="75">
        <f t="shared" si="7"/>
        <v>-2.0482555111959648</v>
      </c>
      <c r="H128" s="75">
        <f>VLOOKUP($A128,'Data Vlaue (Cr)'!$C:$FB,99)</f>
        <v>3232</v>
      </c>
      <c r="I128" s="75">
        <f>VLOOKUP($A128,'Data Vlaue (Cr)'!$C:$FB,100)</f>
        <v>2858</v>
      </c>
      <c r="J128" s="75">
        <f t="shared" si="8"/>
        <v>374</v>
      </c>
      <c r="K128" s="75">
        <f t="shared" si="9"/>
        <v>11.571782178217822</v>
      </c>
      <c r="L128" s="75">
        <f>VLOOKUP($A128,'Data Vlaue (Cr)'!$C:$FB,67)</f>
        <v>2198</v>
      </c>
      <c r="M128" s="75">
        <f>VLOOKUP($A128,'Data Vlaue (Cr)'!$C:$FB,68)</f>
        <v>1467</v>
      </c>
      <c r="N128" s="75">
        <f t="shared" si="10"/>
        <v>731</v>
      </c>
      <c r="O128" s="75">
        <f t="shared" si="11"/>
        <v>33.257506824385807</v>
      </c>
      <c r="P128" s="75">
        <f>VLOOKUP($A128,'Data Vlaue (Cr)'!$C:$FB,119)</f>
        <v>0.6</v>
      </c>
      <c r="Q128" s="75">
        <f>VLOOKUP($A128,'Data Vlaue (Cr)'!$C:$FB,122)*100</f>
        <v>-10.45</v>
      </c>
      <c r="R128" s="75">
        <f>VLOOKUP($A128,'Data Vlaue (Cr)'!$C:$FB,125)</f>
        <v>0.43</v>
      </c>
      <c r="S128" s="75">
        <f>VLOOKUP($A128,'Data Vlaue (Cr)'!$C:$FB,128)*100</f>
        <v>2.3800000000000003</v>
      </c>
    </row>
    <row r="129" spans="1:19" x14ac:dyDescent="0.25">
      <c r="A129" s="96" t="str">
        <f>'Data Vlaue (Cr)'!C120</f>
        <v>LTIM</v>
      </c>
      <c r="B129" s="75">
        <f>VLOOKUP($A129,'Data Vlaue (Cr)'!$C:$FB,2)</f>
        <v>150</v>
      </c>
      <c r="C129" s="75">
        <f>VLOOKUP($A129,'Data Vlaue (Cr)'!$C:$FB,8)</f>
        <v>5515.5</v>
      </c>
      <c r="D129" s="75">
        <f>VLOOKUP($A129,'Data Vlaue (Cr)'!$C:$FB,4)</f>
        <v>5532</v>
      </c>
      <c r="E129" s="75">
        <f>VLOOKUP($A129,'Data Vlaue (Cr)'!$C:$FB,5)</f>
        <v>5659.5</v>
      </c>
      <c r="F129" s="75">
        <f t="shared" si="6"/>
        <v>16.5</v>
      </c>
      <c r="G129" s="75">
        <f t="shared" si="7"/>
        <v>-2.3047722342733188</v>
      </c>
      <c r="H129" s="75">
        <f>VLOOKUP($A129,'Data Vlaue (Cr)'!$C:$FB,99)</f>
        <v>2540</v>
      </c>
      <c r="I129" s="75">
        <f>VLOOKUP($A129,'Data Vlaue (Cr)'!$C:$FB,100)</f>
        <v>2326</v>
      </c>
      <c r="J129" s="75">
        <f t="shared" si="8"/>
        <v>214</v>
      </c>
      <c r="K129" s="75">
        <f t="shared" si="9"/>
        <v>8.4251968503937018</v>
      </c>
      <c r="L129" s="75">
        <f>VLOOKUP($A129,'Data Vlaue (Cr)'!$C:$FB,67)</f>
        <v>1813</v>
      </c>
      <c r="M129" s="75">
        <f>VLOOKUP($A129,'Data Vlaue (Cr)'!$C:$FB,68)</f>
        <v>1414</v>
      </c>
      <c r="N129" s="75">
        <f t="shared" si="10"/>
        <v>399</v>
      </c>
      <c r="O129" s="75">
        <f t="shared" si="11"/>
        <v>22.007722007722009</v>
      </c>
      <c r="P129" s="75">
        <f>VLOOKUP($A129,'Data Vlaue (Cr)'!$C:$FB,119)</f>
        <v>0.7</v>
      </c>
      <c r="Q129" s="75">
        <f>VLOOKUP($A129,'Data Vlaue (Cr)'!$C:$FB,122)*100</f>
        <v>-4.1099999999999994</v>
      </c>
      <c r="R129" s="75">
        <f>VLOOKUP($A129,'Data Vlaue (Cr)'!$C:$FB,125)</f>
        <v>0.66</v>
      </c>
      <c r="S129" s="75">
        <f>VLOOKUP($A129,'Data Vlaue (Cr)'!$C:$FB,128)*100</f>
        <v>13.79</v>
      </c>
    </row>
    <row r="130" spans="1:19" x14ac:dyDescent="0.25">
      <c r="A130" s="96" t="str">
        <f>'Data Vlaue (Cr)'!C121</f>
        <v>LUPIN</v>
      </c>
      <c r="B130" s="75">
        <f>VLOOKUP($A130,'Data Vlaue (Cr)'!$C:$FB,2)</f>
        <v>425</v>
      </c>
      <c r="C130" s="75">
        <f>VLOOKUP($A130,'Data Vlaue (Cr)'!$C:$FB,8)</f>
        <v>2209.1</v>
      </c>
      <c r="D130" s="75">
        <f>VLOOKUP($A130,'Data Vlaue (Cr)'!$C:$FB,4)</f>
        <v>2214.4</v>
      </c>
      <c r="E130" s="75">
        <f>VLOOKUP($A130,'Data Vlaue (Cr)'!$C:$FB,5)</f>
        <v>2211.6999999999998</v>
      </c>
      <c r="F130" s="75">
        <f t="shared" si="6"/>
        <v>5.3000000000001819</v>
      </c>
      <c r="G130" s="75">
        <f t="shared" si="7"/>
        <v>0.1219291907514574</v>
      </c>
      <c r="H130" s="75">
        <f>VLOOKUP($A130,'Data Vlaue (Cr)'!$C:$FB,99)</f>
        <v>3254</v>
      </c>
      <c r="I130" s="75">
        <f>VLOOKUP($A130,'Data Vlaue (Cr)'!$C:$FB,100)</f>
        <v>2965</v>
      </c>
      <c r="J130" s="75">
        <f t="shared" si="8"/>
        <v>289</v>
      </c>
      <c r="K130" s="75">
        <f t="shared" si="9"/>
        <v>8.8813767670559312</v>
      </c>
      <c r="L130" s="75">
        <f>VLOOKUP($A130,'Data Vlaue (Cr)'!$C:$FB,67)</f>
        <v>2540</v>
      </c>
      <c r="M130" s="75">
        <f>VLOOKUP($A130,'Data Vlaue (Cr)'!$C:$FB,68)</f>
        <v>2639</v>
      </c>
      <c r="N130" s="75">
        <f t="shared" si="10"/>
        <v>-99</v>
      </c>
      <c r="O130" s="75">
        <f t="shared" si="11"/>
        <v>-3.8976377952755907</v>
      </c>
      <c r="P130" s="75">
        <f>VLOOKUP($A130,'Data Vlaue (Cr)'!$C:$FB,119)</f>
        <v>0.54</v>
      </c>
      <c r="Q130" s="75">
        <f>VLOOKUP($A130,'Data Vlaue (Cr)'!$C:$FB,122)*100</f>
        <v>-1.82</v>
      </c>
      <c r="R130" s="75">
        <f>VLOOKUP($A130,'Data Vlaue (Cr)'!$C:$FB,125)</f>
        <v>0.33</v>
      </c>
      <c r="S130" s="75">
        <f>VLOOKUP($A130,'Data Vlaue (Cr)'!$C:$FB,128)*100</f>
        <v>-15.379999999999999</v>
      </c>
    </row>
    <row r="131" spans="1:19" x14ac:dyDescent="0.25">
      <c r="A131" s="96" t="str">
        <f>'Data Vlaue (Cr)'!C122</f>
        <v>M&amp;M</v>
      </c>
      <c r="B131" s="75">
        <f>VLOOKUP($A131,'Data Vlaue (Cr)'!$C:$FB,2)</f>
        <v>200</v>
      </c>
      <c r="C131" s="75">
        <f>VLOOKUP($A131,'Data Vlaue (Cr)'!$C:$FB,8)</f>
        <v>3674.9</v>
      </c>
      <c r="D131" s="75">
        <f>VLOOKUP($A131,'Data Vlaue (Cr)'!$C:$FB,4)</f>
        <v>3680.7</v>
      </c>
      <c r="E131" s="75">
        <f>VLOOKUP($A131,'Data Vlaue (Cr)'!$C:$FB,5)</f>
        <v>3680.6</v>
      </c>
      <c r="F131" s="75">
        <f t="shared" si="6"/>
        <v>5.7999999999997272</v>
      </c>
      <c r="G131" s="75">
        <f t="shared" si="7"/>
        <v>2.7168745075640249E-3</v>
      </c>
      <c r="H131" s="75">
        <f>VLOOKUP($A131,'Data Vlaue (Cr)'!$C:$FB,99)</f>
        <v>12308</v>
      </c>
      <c r="I131" s="75">
        <f>VLOOKUP($A131,'Data Vlaue (Cr)'!$C:$FB,100)</f>
        <v>10373</v>
      </c>
      <c r="J131" s="75">
        <f t="shared" si="8"/>
        <v>1935</v>
      </c>
      <c r="K131" s="75">
        <f t="shared" si="9"/>
        <v>15.721481962950925</v>
      </c>
      <c r="L131" s="75">
        <f>VLOOKUP($A131,'Data Vlaue (Cr)'!$C:$FB,67)</f>
        <v>37319</v>
      </c>
      <c r="M131" s="75">
        <f>VLOOKUP($A131,'Data Vlaue (Cr)'!$C:$FB,68)</f>
        <v>7800</v>
      </c>
      <c r="N131" s="75">
        <f t="shared" si="10"/>
        <v>29519</v>
      </c>
      <c r="O131" s="75">
        <f t="shared" si="11"/>
        <v>79.099118411532999</v>
      </c>
      <c r="P131" s="75">
        <f>VLOOKUP($A131,'Data Vlaue (Cr)'!$C:$FB,119)</f>
        <v>0.47</v>
      </c>
      <c r="Q131" s="75">
        <f>VLOOKUP($A131,'Data Vlaue (Cr)'!$C:$FB,122)*100</f>
        <v>-28.79</v>
      </c>
      <c r="R131" s="75">
        <f>VLOOKUP($A131,'Data Vlaue (Cr)'!$C:$FB,125)</f>
        <v>0.4</v>
      </c>
      <c r="S131" s="75">
        <f>VLOOKUP($A131,'Data Vlaue (Cr)'!$C:$FB,128)*100</f>
        <v>14.29</v>
      </c>
    </row>
    <row r="132" spans="1:19" x14ac:dyDescent="0.25">
      <c r="A132" s="96" t="str">
        <f>'Data Vlaue (Cr)'!C123</f>
        <v>MANAPPURAM</v>
      </c>
      <c r="B132" s="75">
        <f>VLOOKUP($A132,'Data Vlaue (Cr)'!$C:$FB,2)</f>
        <v>3000</v>
      </c>
      <c r="C132" s="75">
        <f>VLOOKUP($A132,'Data Vlaue (Cr)'!$C:$FB,8)</f>
        <v>302.55</v>
      </c>
      <c r="D132" s="75">
        <f>VLOOKUP($A132,'Data Vlaue (Cr)'!$C:$FB,4)</f>
        <v>302.95</v>
      </c>
      <c r="E132" s="75">
        <f>VLOOKUP($A132,'Data Vlaue (Cr)'!$C:$FB,5)</f>
        <v>309.2</v>
      </c>
      <c r="F132" s="75">
        <f t="shared" si="6"/>
        <v>0.39999999999997726</v>
      </c>
      <c r="G132" s="75">
        <f t="shared" si="7"/>
        <v>-2.0630467073774552</v>
      </c>
      <c r="H132" s="75">
        <f>VLOOKUP($A132,'Data Vlaue (Cr)'!$C:$FB,99)</f>
        <v>2808</v>
      </c>
      <c r="I132" s="75">
        <f>VLOOKUP($A132,'Data Vlaue (Cr)'!$C:$FB,100)</f>
        <v>2739</v>
      </c>
      <c r="J132" s="75">
        <f t="shared" si="8"/>
        <v>69</v>
      </c>
      <c r="K132" s="75">
        <f t="shared" si="9"/>
        <v>2.4572649572649574</v>
      </c>
      <c r="L132" s="75">
        <f>VLOOKUP($A132,'Data Vlaue (Cr)'!$C:$FB,67)</f>
        <v>2583</v>
      </c>
      <c r="M132" s="75">
        <f>VLOOKUP($A132,'Data Vlaue (Cr)'!$C:$FB,68)</f>
        <v>2017</v>
      </c>
      <c r="N132" s="75">
        <f t="shared" si="10"/>
        <v>566</v>
      </c>
      <c r="O132" s="75">
        <f t="shared" si="11"/>
        <v>21.912504839334108</v>
      </c>
      <c r="P132" s="75">
        <f>VLOOKUP($A132,'Data Vlaue (Cr)'!$C:$FB,119)</f>
        <v>0.96</v>
      </c>
      <c r="Q132" s="75">
        <f>VLOOKUP($A132,'Data Vlaue (Cr)'!$C:$FB,122)*100</f>
        <v>21.52</v>
      </c>
      <c r="R132" s="75">
        <f>VLOOKUP($A132,'Data Vlaue (Cr)'!$C:$FB,125)</f>
        <v>0.78</v>
      </c>
      <c r="S132" s="75">
        <f>VLOOKUP($A132,'Data Vlaue (Cr)'!$C:$FB,128)*100</f>
        <v>47.17</v>
      </c>
    </row>
    <row r="133" spans="1:19" x14ac:dyDescent="0.25">
      <c r="A133" s="96" t="str">
        <f>'Data Vlaue (Cr)'!C124</f>
        <v>MANKIND</v>
      </c>
      <c r="B133" s="75">
        <f>VLOOKUP($A133,'Data Vlaue (Cr)'!$C:$FB,2)</f>
        <v>225</v>
      </c>
      <c r="C133" s="75">
        <f>VLOOKUP($A133,'Data Vlaue (Cr)'!$C:$FB,8)</f>
        <v>2087</v>
      </c>
      <c r="D133" s="75">
        <f>VLOOKUP($A133,'Data Vlaue (Cr)'!$C:$FB,4)</f>
        <v>2085.8000000000002</v>
      </c>
      <c r="E133" s="75">
        <f>VLOOKUP($A133,'Data Vlaue (Cr)'!$C:$FB,5)</f>
        <v>2074.5</v>
      </c>
      <c r="F133" s="75">
        <f t="shared" si="6"/>
        <v>-1.1999999999998181</v>
      </c>
      <c r="G133" s="75">
        <f t="shared" si="7"/>
        <v>0.54175855786749361</v>
      </c>
      <c r="H133" s="75">
        <f>VLOOKUP($A133,'Data Vlaue (Cr)'!$C:$FB,99)</f>
        <v>1071</v>
      </c>
      <c r="I133" s="75">
        <f>VLOOKUP($A133,'Data Vlaue (Cr)'!$C:$FB,100)</f>
        <v>1075</v>
      </c>
      <c r="J133" s="75">
        <f t="shared" si="8"/>
        <v>-4</v>
      </c>
      <c r="K133" s="75">
        <f t="shared" si="9"/>
        <v>-0.3734827264239029</v>
      </c>
      <c r="L133" s="75">
        <f>VLOOKUP($A133,'Data Vlaue (Cr)'!$C:$FB,67)</f>
        <v>284</v>
      </c>
      <c r="M133" s="75">
        <f>VLOOKUP($A133,'Data Vlaue (Cr)'!$C:$FB,68)</f>
        <v>241</v>
      </c>
      <c r="N133" s="75">
        <f t="shared" si="10"/>
        <v>43</v>
      </c>
      <c r="O133" s="75">
        <f t="shared" si="11"/>
        <v>15.140845070422534</v>
      </c>
      <c r="P133" s="75">
        <f>VLOOKUP($A133,'Data Vlaue (Cr)'!$C:$FB,119)</f>
        <v>0.38</v>
      </c>
      <c r="Q133" s="75">
        <f>VLOOKUP($A133,'Data Vlaue (Cr)'!$C:$FB,122)*100</f>
        <v>2.7</v>
      </c>
      <c r="R133" s="75">
        <f>VLOOKUP($A133,'Data Vlaue (Cr)'!$C:$FB,125)</f>
        <v>0.2</v>
      </c>
      <c r="S133" s="75">
        <f>VLOOKUP($A133,'Data Vlaue (Cr)'!$C:$FB,128)*100</f>
        <v>-16.669999999999998</v>
      </c>
    </row>
    <row r="134" spans="1:19" x14ac:dyDescent="0.25">
      <c r="A134" s="96" t="str">
        <f>'Data Vlaue (Cr)'!C125</f>
        <v>MARICO</v>
      </c>
      <c r="B134" s="75">
        <f>VLOOKUP($A134,'Data Vlaue (Cr)'!$C:$FB,2)</f>
        <v>1200</v>
      </c>
      <c r="C134" s="75">
        <f>VLOOKUP($A134,'Data Vlaue (Cr)'!$C:$FB,8)</f>
        <v>770.4</v>
      </c>
      <c r="D134" s="75">
        <f>VLOOKUP($A134,'Data Vlaue (Cr)'!$C:$FB,4)</f>
        <v>770.9</v>
      </c>
      <c r="E134" s="75">
        <f>VLOOKUP($A134,'Data Vlaue (Cr)'!$C:$FB,5)</f>
        <v>765.25</v>
      </c>
      <c r="F134" s="75">
        <f t="shared" si="6"/>
        <v>0.5</v>
      </c>
      <c r="G134" s="75">
        <f t="shared" si="7"/>
        <v>0.73290958619794755</v>
      </c>
      <c r="H134" s="75">
        <f>VLOOKUP($A134,'Data Vlaue (Cr)'!$C:$FB,99)</f>
        <v>2931</v>
      </c>
      <c r="I134" s="75">
        <f>VLOOKUP($A134,'Data Vlaue (Cr)'!$C:$FB,100)</f>
        <v>2920</v>
      </c>
      <c r="J134" s="75">
        <f t="shared" si="8"/>
        <v>11</v>
      </c>
      <c r="K134" s="75">
        <f t="shared" si="9"/>
        <v>0.37529853292391674</v>
      </c>
      <c r="L134" s="75">
        <f>VLOOKUP($A134,'Data Vlaue (Cr)'!$C:$FB,67)</f>
        <v>1297</v>
      </c>
      <c r="M134" s="75">
        <f>VLOOKUP($A134,'Data Vlaue (Cr)'!$C:$FB,68)</f>
        <v>1088</v>
      </c>
      <c r="N134" s="75">
        <f t="shared" si="10"/>
        <v>209</v>
      </c>
      <c r="O134" s="75">
        <f t="shared" si="11"/>
        <v>16.114109483423285</v>
      </c>
      <c r="P134" s="75">
        <f>VLOOKUP($A134,'Data Vlaue (Cr)'!$C:$FB,119)</f>
        <v>0.84</v>
      </c>
      <c r="Q134" s="75">
        <f>VLOOKUP($A134,'Data Vlaue (Cr)'!$C:$FB,122)*100</f>
        <v>9.09</v>
      </c>
      <c r="R134" s="75">
        <f>VLOOKUP($A134,'Data Vlaue (Cr)'!$C:$FB,125)</f>
        <v>0.44</v>
      </c>
      <c r="S134" s="75">
        <f>VLOOKUP($A134,'Data Vlaue (Cr)'!$C:$FB,128)*100</f>
        <v>2.33</v>
      </c>
    </row>
    <row r="135" spans="1:19" x14ac:dyDescent="0.25">
      <c r="A135" s="96" t="str">
        <f>'Data Vlaue (Cr)'!C126</f>
        <v>MARUTI</v>
      </c>
      <c r="B135" s="75">
        <f>VLOOKUP($A135,'Data Vlaue (Cr)'!$C:$FB,2)</f>
        <v>50</v>
      </c>
      <c r="C135" s="75">
        <f>VLOOKUP($A135,'Data Vlaue (Cr)'!$C:$FB,8)</f>
        <v>15412</v>
      </c>
      <c r="D135" s="75">
        <f>VLOOKUP($A135,'Data Vlaue (Cr)'!$C:$FB,4)</f>
        <v>15418</v>
      </c>
      <c r="E135" s="75">
        <f>VLOOKUP($A135,'Data Vlaue (Cr)'!$C:$FB,5)</f>
        <v>15197</v>
      </c>
      <c r="F135" s="75">
        <f t="shared" si="6"/>
        <v>6</v>
      </c>
      <c r="G135" s="75">
        <f t="shared" si="7"/>
        <v>1.4333895446880269</v>
      </c>
      <c r="H135" s="75">
        <f>VLOOKUP($A135,'Data Vlaue (Cr)'!$C:$FB,99)</f>
        <v>11887</v>
      </c>
      <c r="I135" s="75">
        <f>VLOOKUP($A135,'Data Vlaue (Cr)'!$C:$FB,100)</f>
        <v>11812</v>
      </c>
      <c r="J135" s="75">
        <f t="shared" si="8"/>
        <v>75</v>
      </c>
      <c r="K135" s="75">
        <f t="shared" si="9"/>
        <v>0.63094136451585769</v>
      </c>
      <c r="L135" s="75">
        <f>VLOOKUP($A135,'Data Vlaue (Cr)'!$C:$FB,67)</f>
        <v>17518</v>
      </c>
      <c r="M135" s="75">
        <f>VLOOKUP($A135,'Data Vlaue (Cr)'!$C:$FB,68)</f>
        <v>19482</v>
      </c>
      <c r="N135" s="75">
        <f t="shared" si="10"/>
        <v>-1964</v>
      </c>
      <c r="O135" s="75">
        <f t="shared" si="11"/>
        <v>-11.211325493777828</v>
      </c>
      <c r="P135" s="75">
        <f>VLOOKUP($A135,'Data Vlaue (Cr)'!$C:$FB,119)</f>
        <v>0.57999999999999996</v>
      </c>
      <c r="Q135" s="75">
        <f>VLOOKUP($A135,'Data Vlaue (Cr)'!$C:$FB,122)*100</f>
        <v>18.37</v>
      </c>
      <c r="R135" s="75">
        <f>VLOOKUP($A135,'Data Vlaue (Cr)'!$C:$FB,125)</f>
        <v>0.43</v>
      </c>
      <c r="S135" s="75">
        <f>VLOOKUP($A135,'Data Vlaue (Cr)'!$C:$FB,128)*100</f>
        <v>2.3800000000000003</v>
      </c>
    </row>
    <row r="136" spans="1:19" x14ac:dyDescent="0.25">
      <c r="A136" s="96" t="str">
        <f>'Data Vlaue (Cr)'!C127</f>
        <v>MAXHEALTH</v>
      </c>
      <c r="B136" s="75">
        <f>VLOOKUP($A136,'Data Vlaue (Cr)'!$C:$FB,2)</f>
        <v>525</v>
      </c>
      <c r="C136" s="75">
        <f>VLOOKUP($A136,'Data Vlaue (Cr)'!$C:$FB,8)</f>
        <v>1055.1500000000001</v>
      </c>
      <c r="D136" s="75">
        <f>VLOOKUP($A136,'Data Vlaue (Cr)'!$C:$FB,4)</f>
        <v>1055.7</v>
      </c>
      <c r="E136" s="75">
        <f>VLOOKUP($A136,'Data Vlaue (Cr)'!$C:$FB,5)</f>
        <v>1025.0999999999999</v>
      </c>
      <c r="F136" s="75">
        <f t="shared" si="6"/>
        <v>0.54999999999995453</v>
      </c>
      <c r="G136" s="75">
        <f t="shared" si="7"/>
        <v>2.898550724637694</v>
      </c>
      <c r="H136" s="75">
        <f>VLOOKUP($A136,'Data Vlaue (Cr)'!$C:$FB,99)</f>
        <v>2474</v>
      </c>
      <c r="I136" s="75">
        <f>VLOOKUP($A136,'Data Vlaue (Cr)'!$C:$FB,100)</f>
        <v>2333</v>
      </c>
      <c r="J136" s="75">
        <f t="shared" si="8"/>
        <v>141</v>
      </c>
      <c r="K136" s="75">
        <f t="shared" si="9"/>
        <v>5.699272433306386</v>
      </c>
      <c r="L136" s="75">
        <f>VLOOKUP($A136,'Data Vlaue (Cr)'!$C:$FB,67)</f>
        <v>3668</v>
      </c>
      <c r="M136" s="75">
        <f>VLOOKUP($A136,'Data Vlaue (Cr)'!$C:$FB,68)</f>
        <v>887</v>
      </c>
      <c r="N136" s="75">
        <f t="shared" si="10"/>
        <v>2781</v>
      </c>
      <c r="O136" s="75">
        <f t="shared" si="11"/>
        <v>75.817884405670668</v>
      </c>
      <c r="P136" s="75">
        <f>VLOOKUP($A136,'Data Vlaue (Cr)'!$C:$FB,119)</f>
        <v>0.79</v>
      </c>
      <c r="Q136" s="75">
        <f>VLOOKUP($A136,'Data Vlaue (Cr)'!$C:$FB,122)*100</f>
        <v>-16.84</v>
      </c>
      <c r="R136" s="75">
        <f>VLOOKUP($A136,'Data Vlaue (Cr)'!$C:$FB,125)</f>
        <v>0.27</v>
      </c>
      <c r="S136" s="75">
        <f>VLOOKUP($A136,'Data Vlaue (Cr)'!$C:$FB,128)*100</f>
        <v>-42.55</v>
      </c>
    </row>
    <row r="137" spans="1:19" x14ac:dyDescent="0.25">
      <c r="A137" s="96" t="str">
        <f>'Data Vlaue (Cr)'!C128</f>
        <v>MAZDOCK</v>
      </c>
      <c r="B137" s="75">
        <f>VLOOKUP($A137,'Data Vlaue (Cr)'!$C:$FB,2)</f>
        <v>200</v>
      </c>
      <c r="C137" s="75">
        <f>VLOOKUP($A137,'Data Vlaue (Cr)'!$C:$FB,8)</f>
        <v>2430.6</v>
      </c>
      <c r="D137" s="75">
        <f>VLOOKUP($A137,'Data Vlaue (Cr)'!$C:$FB,4)</f>
        <v>2431.9</v>
      </c>
      <c r="E137" s="75">
        <f>VLOOKUP($A137,'Data Vlaue (Cr)'!$C:$FB,5)</f>
        <v>2433.1</v>
      </c>
      <c r="F137" s="75">
        <f t="shared" si="6"/>
        <v>1.3000000000001819</v>
      </c>
      <c r="G137" s="75">
        <f t="shared" si="7"/>
        <v>-4.9344134216037581E-2</v>
      </c>
      <c r="H137" s="75">
        <f>VLOOKUP($A137,'Data Vlaue (Cr)'!$C:$FB,99)</f>
        <v>2675</v>
      </c>
      <c r="I137" s="75">
        <f>VLOOKUP($A137,'Data Vlaue (Cr)'!$C:$FB,100)</f>
        <v>2656</v>
      </c>
      <c r="J137" s="75">
        <f t="shared" si="8"/>
        <v>19</v>
      </c>
      <c r="K137" s="75">
        <f t="shared" si="9"/>
        <v>0.71028037383177567</v>
      </c>
      <c r="L137" s="75">
        <f>VLOOKUP($A137,'Data Vlaue (Cr)'!$C:$FB,67)</f>
        <v>910</v>
      </c>
      <c r="M137" s="75">
        <f>VLOOKUP($A137,'Data Vlaue (Cr)'!$C:$FB,68)</f>
        <v>1073</v>
      </c>
      <c r="N137" s="75">
        <f t="shared" si="10"/>
        <v>-163</v>
      </c>
      <c r="O137" s="75">
        <f t="shared" si="11"/>
        <v>-17.912087912087912</v>
      </c>
      <c r="P137" s="75">
        <f>VLOOKUP($A137,'Data Vlaue (Cr)'!$C:$FB,119)</f>
        <v>0.42</v>
      </c>
      <c r="Q137" s="75">
        <f>VLOOKUP($A137,'Data Vlaue (Cr)'!$C:$FB,122)*100</f>
        <v>0</v>
      </c>
      <c r="R137" s="75">
        <f>VLOOKUP($A137,'Data Vlaue (Cr)'!$C:$FB,125)</f>
        <v>0.27</v>
      </c>
      <c r="S137" s="75">
        <f>VLOOKUP($A137,'Data Vlaue (Cr)'!$C:$FB,128)*100</f>
        <v>12.5</v>
      </c>
    </row>
    <row r="138" spans="1:19" x14ac:dyDescent="0.25">
      <c r="A138" s="96" t="str">
        <f>'Data Vlaue (Cr)'!C129</f>
        <v>MCX</v>
      </c>
      <c r="B138" s="75">
        <f>VLOOKUP($A138,'Data Vlaue (Cr)'!$C:$FB,2)</f>
        <v>625</v>
      </c>
      <c r="C138" s="75">
        <f>VLOOKUP($A138,'Data Vlaue (Cr)'!$C:$FB,8)</f>
        <v>2372.8000000000002</v>
      </c>
      <c r="D138" s="75">
        <f>VLOOKUP($A138,'Data Vlaue (Cr)'!$C:$FB,4)</f>
        <v>2372</v>
      </c>
      <c r="E138" s="75">
        <f>VLOOKUP($A138,'Data Vlaue (Cr)'!$C:$FB,5)</f>
        <v>2472.1999999999998</v>
      </c>
      <c r="F138" s="75">
        <f t="shared" si="6"/>
        <v>-0.8000000000001819</v>
      </c>
      <c r="G138" s="75">
        <f t="shared" si="7"/>
        <v>-4.2242833052276483</v>
      </c>
      <c r="H138" s="75">
        <f>VLOOKUP($A138,'Data Vlaue (Cr)'!$C:$FB,99)</f>
        <v>10297</v>
      </c>
      <c r="I138" s="75">
        <f>VLOOKUP($A138,'Data Vlaue (Cr)'!$C:$FB,100)</f>
        <v>9598</v>
      </c>
      <c r="J138" s="75">
        <f t="shared" si="8"/>
        <v>699</v>
      </c>
      <c r="K138" s="75">
        <f t="shared" si="9"/>
        <v>6.7883849664950953</v>
      </c>
      <c r="L138" s="75">
        <f>VLOOKUP($A138,'Data Vlaue (Cr)'!$C:$FB,67)</f>
        <v>12874</v>
      </c>
      <c r="M138" s="75">
        <f>VLOOKUP($A138,'Data Vlaue (Cr)'!$C:$FB,68)</f>
        <v>7882</v>
      </c>
      <c r="N138" s="75">
        <f t="shared" si="10"/>
        <v>4992</v>
      </c>
      <c r="O138" s="75">
        <f t="shared" si="11"/>
        <v>38.77582724871835</v>
      </c>
      <c r="P138" s="75">
        <f>VLOOKUP($A138,'Data Vlaue (Cr)'!$C:$FB,119)</f>
        <v>0.67</v>
      </c>
      <c r="Q138" s="75">
        <f>VLOOKUP($A138,'Data Vlaue (Cr)'!$C:$FB,122)*100</f>
        <v>-9.4600000000000009</v>
      </c>
      <c r="R138" s="75">
        <f>VLOOKUP($A138,'Data Vlaue (Cr)'!$C:$FB,125)</f>
        <v>0.54</v>
      </c>
      <c r="S138" s="75">
        <f>VLOOKUP($A138,'Data Vlaue (Cr)'!$C:$FB,128)*100</f>
        <v>14.89</v>
      </c>
    </row>
    <row r="139" spans="1:19" x14ac:dyDescent="0.25">
      <c r="A139" s="96" t="str">
        <f>'Data Vlaue (Cr)'!C130</f>
        <v>MFSL</v>
      </c>
      <c r="B139" s="75">
        <f>VLOOKUP($A139,'Data Vlaue (Cr)'!$C:$FB,2)</f>
        <v>400</v>
      </c>
      <c r="C139" s="75">
        <f>VLOOKUP($A139,'Data Vlaue (Cr)'!$C:$FB,8)</f>
        <v>1734.1</v>
      </c>
      <c r="D139" s="75">
        <f>VLOOKUP($A139,'Data Vlaue (Cr)'!$C:$FB,4)</f>
        <v>1738.4</v>
      </c>
      <c r="E139" s="75">
        <f>VLOOKUP($A139,'Data Vlaue (Cr)'!$C:$FB,5)</f>
        <v>1752.6</v>
      </c>
      <c r="F139" s="75">
        <f t="shared" si="6"/>
        <v>4.3000000000001819</v>
      </c>
      <c r="G139" s="75">
        <f t="shared" si="7"/>
        <v>-0.81684307409110779</v>
      </c>
      <c r="H139" s="75">
        <f>VLOOKUP($A139,'Data Vlaue (Cr)'!$C:$FB,99)</f>
        <v>2374</v>
      </c>
      <c r="I139" s="75">
        <f>VLOOKUP($A139,'Data Vlaue (Cr)'!$C:$FB,100)</f>
        <v>2176</v>
      </c>
      <c r="J139" s="75">
        <f t="shared" si="8"/>
        <v>198</v>
      </c>
      <c r="K139" s="75">
        <f t="shared" si="9"/>
        <v>8.340353833192923</v>
      </c>
      <c r="L139" s="75">
        <f>VLOOKUP($A139,'Data Vlaue (Cr)'!$C:$FB,67)</f>
        <v>1755</v>
      </c>
      <c r="M139" s="75">
        <f>VLOOKUP($A139,'Data Vlaue (Cr)'!$C:$FB,68)</f>
        <v>801</v>
      </c>
      <c r="N139" s="75">
        <f t="shared" si="10"/>
        <v>954</v>
      </c>
      <c r="O139" s="75">
        <f t="shared" si="11"/>
        <v>54.358974358974358</v>
      </c>
      <c r="P139" s="75">
        <f>VLOOKUP($A139,'Data Vlaue (Cr)'!$C:$FB,119)</f>
        <v>0.57999999999999996</v>
      </c>
      <c r="Q139" s="75">
        <f>VLOOKUP($A139,'Data Vlaue (Cr)'!$C:$FB,122)*100</f>
        <v>-6.45</v>
      </c>
      <c r="R139" s="75">
        <f>VLOOKUP($A139,'Data Vlaue (Cr)'!$C:$FB,125)</f>
        <v>0.52</v>
      </c>
      <c r="S139" s="75">
        <f>VLOOKUP($A139,'Data Vlaue (Cr)'!$C:$FB,128)*100</f>
        <v>23.810000000000002</v>
      </c>
    </row>
    <row r="140" spans="1:19" x14ac:dyDescent="0.25">
      <c r="A140" s="96" t="str">
        <f>'Data Vlaue (Cr)'!C131</f>
        <v>MIDCPNIFTY</v>
      </c>
      <c r="B140" s="75">
        <f>VLOOKUP($A140,'Data Vlaue (Cr)'!$C:$FB,2)</f>
        <v>120</v>
      </c>
      <c r="C140" s="75">
        <f>VLOOKUP($A140,'Data Vlaue (Cr)'!$C:$FB,8)</f>
        <v>13952.8</v>
      </c>
      <c r="D140" s="75">
        <f>VLOOKUP($A140,'Data Vlaue (Cr)'!$C:$FB,4)</f>
        <v>13950.2</v>
      </c>
      <c r="E140" s="75">
        <f>VLOOKUP($A140,'Data Vlaue (Cr)'!$C:$FB,5)</f>
        <v>13944.6</v>
      </c>
      <c r="F140" s="75">
        <f t="shared" ref="F140:F176" si="12">D140-C140</f>
        <v>-2.5999999999985448</v>
      </c>
      <c r="G140" s="75">
        <f t="shared" ref="G140:G176" si="13">(D140-E140)/D140*100</f>
        <v>4.0142793651706525E-2</v>
      </c>
      <c r="H140" s="75">
        <f>VLOOKUP($A140,'Data Vlaue (Cr)'!$C:$FB,99)</f>
        <v>23983</v>
      </c>
      <c r="I140" s="75">
        <f>VLOOKUP($A140,'Data Vlaue (Cr)'!$C:$FB,100)</f>
        <v>23306</v>
      </c>
      <c r="J140" s="75">
        <f t="shared" ref="J140:J176" si="14">H140-I140</f>
        <v>677</v>
      </c>
      <c r="K140" s="75">
        <f t="shared" ref="K140:K176" si="15">J140/H140*100</f>
        <v>2.8228328399282825</v>
      </c>
      <c r="L140" s="75">
        <f>VLOOKUP($A140,'Data Vlaue (Cr)'!$C:$FB,67)</f>
        <v>35380</v>
      </c>
      <c r="M140" s="75">
        <f>VLOOKUP($A140,'Data Vlaue (Cr)'!$C:$FB,68)</f>
        <v>37818</v>
      </c>
      <c r="N140" s="75">
        <f t="shared" ref="N140:N176" si="16">L140-M140</f>
        <v>-2438</v>
      </c>
      <c r="O140" s="75">
        <f t="shared" ref="O140:O176" si="17">N140/L140*100</f>
        <v>-6.8908988128886381</v>
      </c>
      <c r="P140" s="75">
        <f>VLOOKUP($A140,'Data Vlaue (Cr)'!$C:$FB,119)</f>
        <v>1.18</v>
      </c>
      <c r="Q140" s="75">
        <f>VLOOKUP($A140,'Data Vlaue (Cr)'!$C:$FB,122)*100</f>
        <v>-3.2800000000000002</v>
      </c>
      <c r="R140" s="75">
        <f>VLOOKUP($A140,'Data Vlaue (Cr)'!$C:$FB,125)</f>
        <v>0.98</v>
      </c>
      <c r="S140" s="75">
        <f>VLOOKUP($A140,'Data Vlaue (Cr)'!$C:$FB,128)*100</f>
        <v>6.52</v>
      </c>
    </row>
    <row r="141" spans="1:19" x14ac:dyDescent="0.25">
      <c r="A141" s="96" t="str">
        <f>'Data Vlaue (Cr)'!C132</f>
        <v>MOTHERSON</v>
      </c>
      <c r="B141" s="75">
        <f>VLOOKUP($A141,'Data Vlaue (Cr)'!$C:$FB,2)</f>
        <v>6150</v>
      </c>
      <c r="C141" s="75">
        <f>VLOOKUP($A141,'Data Vlaue (Cr)'!$C:$FB,8)</f>
        <v>130.16999999999999</v>
      </c>
      <c r="D141" s="75">
        <f>VLOOKUP($A141,'Data Vlaue (Cr)'!$C:$FB,4)</f>
        <v>130.34</v>
      </c>
      <c r="E141" s="75">
        <f>VLOOKUP($A141,'Data Vlaue (Cr)'!$C:$FB,5)</f>
        <v>129.93</v>
      </c>
      <c r="F141" s="75">
        <f t="shared" si="12"/>
        <v>0.17000000000001592</v>
      </c>
      <c r="G141" s="75">
        <f t="shared" si="13"/>
        <v>0.31456191499155794</v>
      </c>
      <c r="H141" s="75">
        <f>VLOOKUP($A141,'Data Vlaue (Cr)'!$C:$FB,99)</f>
        <v>3965</v>
      </c>
      <c r="I141" s="75">
        <f>VLOOKUP($A141,'Data Vlaue (Cr)'!$C:$FB,100)</f>
        <v>3763</v>
      </c>
      <c r="J141" s="75">
        <f t="shared" si="14"/>
        <v>202</v>
      </c>
      <c r="K141" s="75">
        <f t="shared" si="15"/>
        <v>5.0945775535939468</v>
      </c>
      <c r="L141" s="75">
        <f>VLOOKUP($A141,'Data Vlaue (Cr)'!$C:$FB,67)</f>
        <v>7731</v>
      </c>
      <c r="M141" s="75">
        <f>VLOOKUP($A141,'Data Vlaue (Cr)'!$C:$FB,68)</f>
        <v>8568</v>
      </c>
      <c r="N141" s="75">
        <f t="shared" si="16"/>
        <v>-837</v>
      </c>
      <c r="O141" s="75">
        <f t="shared" si="17"/>
        <v>-10.826542491268917</v>
      </c>
      <c r="P141" s="75">
        <f>VLOOKUP($A141,'Data Vlaue (Cr)'!$C:$FB,119)</f>
        <v>0.86</v>
      </c>
      <c r="Q141" s="75">
        <f>VLOOKUP($A141,'Data Vlaue (Cr)'!$C:$FB,122)*100</f>
        <v>3.61</v>
      </c>
      <c r="R141" s="75">
        <f>VLOOKUP($A141,'Data Vlaue (Cr)'!$C:$FB,125)</f>
        <v>0.54</v>
      </c>
      <c r="S141" s="75">
        <f>VLOOKUP($A141,'Data Vlaue (Cr)'!$C:$FB,128)*100</f>
        <v>63.639999999999993</v>
      </c>
    </row>
    <row r="142" spans="1:19" x14ac:dyDescent="0.25">
      <c r="A142" s="96" t="str">
        <f>'Data Vlaue (Cr)'!C133</f>
        <v>MPHASIS</v>
      </c>
      <c r="B142" s="75">
        <f>VLOOKUP($A142,'Data Vlaue (Cr)'!$C:$FB,2)</f>
        <v>275</v>
      </c>
      <c r="C142" s="75">
        <f>VLOOKUP($A142,'Data Vlaue (Cr)'!$C:$FB,8)</f>
        <v>2588.1999999999998</v>
      </c>
      <c r="D142" s="75">
        <f>VLOOKUP($A142,'Data Vlaue (Cr)'!$C:$FB,4)</f>
        <v>2593.8000000000002</v>
      </c>
      <c r="E142" s="75">
        <f>VLOOKUP($A142,'Data Vlaue (Cr)'!$C:$FB,5)</f>
        <v>2622.2</v>
      </c>
      <c r="F142" s="75">
        <f t="shared" si="12"/>
        <v>5.6000000000003638</v>
      </c>
      <c r="G142" s="75">
        <f t="shared" si="13"/>
        <v>-1.0949186521705465</v>
      </c>
      <c r="H142" s="75">
        <f>VLOOKUP($A142,'Data Vlaue (Cr)'!$C:$FB,99)</f>
        <v>1968</v>
      </c>
      <c r="I142" s="75">
        <f>VLOOKUP($A142,'Data Vlaue (Cr)'!$C:$FB,100)</f>
        <v>1901</v>
      </c>
      <c r="J142" s="75">
        <f t="shared" si="14"/>
        <v>67</v>
      </c>
      <c r="K142" s="75">
        <f t="shared" si="15"/>
        <v>3.404471544715447</v>
      </c>
      <c r="L142" s="75">
        <f>VLOOKUP($A142,'Data Vlaue (Cr)'!$C:$FB,67)</f>
        <v>1017</v>
      </c>
      <c r="M142" s="75">
        <f>VLOOKUP($A142,'Data Vlaue (Cr)'!$C:$FB,68)</f>
        <v>663</v>
      </c>
      <c r="N142" s="75">
        <f t="shared" si="16"/>
        <v>354</v>
      </c>
      <c r="O142" s="75">
        <f t="shared" si="17"/>
        <v>34.80825958702065</v>
      </c>
      <c r="P142" s="75">
        <f>VLOOKUP($A142,'Data Vlaue (Cr)'!$C:$FB,119)</f>
        <v>0.54</v>
      </c>
      <c r="Q142" s="75">
        <f>VLOOKUP($A142,'Data Vlaue (Cr)'!$C:$FB,122)*100</f>
        <v>3.85</v>
      </c>
      <c r="R142" s="75">
        <f>VLOOKUP($A142,'Data Vlaue (Cr)'!$C:$FB,125)</f>
        <v>0.73</v>
      </c>
      <c r="S142" s="75">
        <f>VLOOKUP($A142,'Data Vlaue (Cr)'!$C:$FB,128)*100</f>
        <v>121.21</v>
      </c>
    </row>
    <row r="143" spans="1:19" x14ac:dyDescent="0.25">
      <c r="A143" s="96" t="str">
        <f>'Data Vlaue (Cr)'!C134</f>
        <v>MUTHOOTFIN</v>
      </c>
      <c r="B143" s="75">
        <f>VLOOKUP($A143,'Data Vlaue (Cr)'!$C:$FB,2)</f>
        <v>275</v>
      </c>
      <c r="C143" s="75">
        <f>VLOOKUP($A143,'Data Vlaue (Cr)'!$C:$FB,8)</f>
        <v>3933.2</v>
      </c>
      <c r="D143" s="75">
        <f>VLOOKUP($A143,'Data Vlaue (Cr)'!$C:$FB,4)</f>
        <v>3936</v>
      </c>
      <c r="E143" s="75">
        <f>VLOOKUP($A143,'Data Vlaue (Cr)'!$C:$FB,5)</f>
        <v>3889.1</v>
      </c>
      <c r="F143" s="75">
        <f t="shared" si="12"/>
        <v>2.8000000000001819</v>
      </c>
      <c r="G143" s="75">
        <f t="shared" si="13"/>
        <v>1.1915650406504088</v>
      </c>
      <c r="H143" s="75">
        <f>VLOOKUP($A143,'Data Vlaue (Cr)'!$C:$FB,99)</f>
        <v>4322</v>
      </c>
      <c r="I143" s="75">
        <f>VLOOKUP($A143,'Data Vlaue (Cr)'!$C:$FB,100)</f>
        <v>3844</v>
      </c>
      <c r="J143" s="75">
        <f t="shared" si="14"/>
        <v>478</v>
      </c>
      <c r="K143" s="75"/>
      <c r="L143" s="75">
        <f>VLOOKUP($A143,'Data Vlaue (Cr)'!$C:$FB,67)</f>
        <v>4149</v>
      </c>
      <c r="M143" s="75">
        <f>VLOOKUP($A143,'Data Vlaue (Cr)'!$C:$FB,68)</f>
        <v>4453</v>
      </c>
      <c r="N143" s="75">
        <f t="shared" si="16"/>
        <v>-304</v>
      </c>
      <c r="O143" s="75">
        <f t="shared" si="17"/>
        <v>-7.3270667630754405</v>
      </c>
      <c r="P143" s="75">
        <f>VLOOKUP($A143,'Data Vlaue (Cr)'!$C:$FB,119)</f>
        <v>0.47</v>
      </c>
      <c r="Q143" s="75">
        <f>VLOOKUP($A143,'Data Vlaue (Cr)'!$C:$FB,122)*100</f>
        <v>-12.959999999999999</v>
      </c>
      <c r="R143" s="75">
        <f>VLOOKUP($A143,'Data Vlaue (Cr)'!$C:$FB,125)</f>
        <v>0.22</v>
      </c>
      <c r="S143" s="75">
        <f>VLOOKUP($A143,'Data Vlaue (Cr)'!$C:$FB,128)*100</f>
        <v>-18.52</v>
      </c>
    </row>
    <row r="144" spans="1:19" x14ac:dyDescent="0.25">
      <c r="A144" s="96" t="str">
        <f>'Data Vlaue (Cr)'!C135</f>
        <v>NATIONALUM</v>
      </c>
      <c r="B144" s="75">
        <f>VLOOKUP($A144,'Data Vlaue (Cr)'!$C:$FB,2)</f>
        <v>3750</v>
      </c>
      <c r="C144" s="75">
        <f>VLOOKUP($A144,'Data Vlaue (Cr)'!$C:$FB,8)</f>
        <v>367.7</v>
      </c>
      <c r="D144" s="75">
        <f>VLOOKUP($A144,'Data Vlaue (Cr)'!$C:$FB,4)</f>
        <v>369.15</v>
      </c>
      <c r="E144" s="75">
        <f>VLOOKUP($A144,'Data Vlaue (Cr)'!$C:$FB,5)</f>
        <v>369.55</v>
      </c>
      <c r="F144" s="75">
        <f t="shared" si="12"/>
        <v>1.4499999999999886</v>
      </c>
      <c r="G144" s="75">
        <f t="shared" si="13"/>
        <v>-0.10835703643506274</v>
      </c>
      <c r="H144" s="75">
        <f>VLOOKUP($A144,'Data Vlaue (Cr)'!$C:$FB,99)</f>
        <v>5551</v>
      </c>
      <c r="I144" s="75">
        <f>VLOOKUP($A144,'Data Vlaue (Cr)'!$C:$FB,100)</f>
        <v>5614</v>
      </c>
      <c r="J144" s="75">
        <f t="shared" si="14"/>
        <v>-63</v>
      </c>
      <c r="K144" s="75">
        <f t="shared" si="15"/>
        <v>-1.1349306431273645</v>
      </c>
      <c r="L144" s="75">
        <f>VLOOKUP($A144,'Data Vlaue (Cr)'!$C:$FB,67)</f>
        <v>3161</v>
      </c>
      <c r="M144" s="75">
        <f>VLOOKUP($A144,'Data Vlaue (Cr)'!$C:$FB,68)</f>
        <v>2661</v>
      </c>
      <c r="N144" s="75">
        <f t="shared" si="16"/>
        <v>500</v>
      </c>
      <c r="O144" s="75">
        <f t="shared" si="17"/>
        <v>15.817779183802594</v>
      </c>
      <c r="P144" s="75">
        <f>VLOOKUP($A144,'Data Vlaue (Cr)'!$C:$FB,119)</f>
        <v>0.67</v>
      </c>
      <c r="Q144" s="75">
        <f>VLOOKUP($A144,'Data Vlaue (Cr)'!$C:$FB,122)*100</f>
        <v>0</v>
      </c>
      <c r="R144" s="75">
        <f>VLOOKUP($A144,'Data Vlaue (Cr)'!$C:$FB,125)</f>
        <v>0.61</v>
      </c>
      <c r="S144" s="75">
        <f>VLOOKUP($A144,'Data Vlaue (Cr)'!$C:$FB,128)*100</f>
        <v>5.17</v>
      </c>
    </row>
    <row r="145" spans="1:19" x14ac:dyDescent="0.25">
      <c r="A145" s="96" t="str">
        <f>'Data Vlaue (Cr)'!C136</f>
        <v>NAUKRI</v>
      </c>
      <c r="B145" s="75">
        <f>VLOOKUP($A145,'Data Vlaue (Cr)'!$C:$FB,2)</f>
        <v>375</v>
      </c>
      <c r="C145" s="75">
        <f>VLOOKUP($A145,'Data Vlaue (Cr)'!$C:$FB,8)</f>
        <v>1171.7</v>
      </c>
      <c r="D145" s="75">
        <f>VLOOKUP($A145,'Data Vlaue (Cr)'!$C:$FB,4)</f>
        <v>1172.4000000000001</v>
      </c>
      <c r="E145" s="75">
        <f>VLOOKUP($A145,'Data Vlaue (Cr)'!$C:$FB,5)</f>
        <v>1194.3</v>
      </c>
      <c r="F145" s="75">
        <f t="shared" si="12"/>
        <v>0.70000000000004547</v>
      </c>
      <c r="G145" s="75">
        <f t="shared" si="13"/>
        <v>-1.8679631525076648</v>
      </c>
      <c r="H145" s="75">
        <f>VLOOKUP($A145,'Data Vlaue (Cr)'!$C:$FB,99)</f>
        <v>2033</v>
      </c>
      <c r="I145" s="75">
        <f>VLOOKUP($A145,'Data Vlaue (Cr)'!$C:$FB,100)</f>
        <v>1954</v>
      </c>
      <c r="J145" s="75">
        <f t="shared" si="14"/>
        <v>79</v>
      </c>
      <c r="K145" s="75">
        <f t="shared" si="15"/>
        <v>3.885882931628136</v>
      </c>
      <c r="L145" s="75">
        <f>VLOOKUP($A145,'Data Vlaue (Cr)'!$C:$FB,67)</f>
        <v>1628</v>
      </c>
      <c r="M145" s="75">
        <f>VLOOKUP($A145,'Data Vlaue (Cr)'!$C:$FB,68)</f>
        <v>1105</v>
      </c>
      <c r="N145" s="75">
        <f t="shared" si="16"/>
        <v>523</v>
      </c>
      <c r="O145" s="75">
        <f t="shared" si="17"/>
        <v>32.125307125307124</v>
      </c>
      <c r="P145" s="75">
        <f>VLOOKUP($A145,'Data Vlaue (Cr)'!$C:$FB,119)</f>
        <v>0.64</v>
      </c>
      <c r="Q145" s="75">
        <f>VLOOKUP($A145,'Data Vlaue (Cr)'!$C:$FB,122)*100</f>
        <v>0</v>
      </c>
      <c r="R145" s="75">
        <f>VLOOKUP($A145,'Data Vlaue (Cr)'!$C:$FB,125)</f>
        <v>0.66</v>
      </c>
      <c r="S145" s="75">
        <f>VLOOKUP($A145,'Data Vlaue (Cr)'!$C:$FB,128)*100</f>
        <v>106.25</v>
      </c>
    </row>
    <row r="146" spans="1:19" x14ac:dyDescent="0.25">
      <c r="A146" s="96" t="str">
        <f>'Data Vlaue (Cr)'!C137</f>
        <v>NBCC</v>
      </c>
      <c r="B146" s="75">
        <f>VLOOKUP($A146,'Data Vlaue (Cr)'!$C:$FB,2)</f>
        <v>6500</v>
      </c>
      <c r="C146" s="75">
        <f>VLOOKUP($A146,'Data Vlaue (Cr)'!$C:$FB,8)</f>
        <v>101.68</v>
      </c>
      <c r="D146" s="75">
        <f>VLOOKUP($A146,'Data Vlaue (Cr)'!$C:$FB,4)</f>
        <v>102</v>
      </c>
      <c r="E146" s="75">
        <f>VLOOKUP($A146,'Data Vlaue (Cr)'!$C:$FB,5)</f>
        <v>101.35</v>
      </c>
      <c r="F146" s="75">
        <f t="shared" si="12"/>
        <v>0.31999999999999318</v>
      </c>
      <c r="G146" s="75">
        <f t="shared" si="13"/>
        <v>0.63725490196078982</v>
      </c>
      <c r="H146" s="75">
        <f>VLOOKUP($A146,'Data Vlaue (Cr)'!$C:$FB,99)</f>
        <v>1603</v>
      </c>
      <c r="I146" s="75">
        <f>VLOOKUP($A146,'Data Vlaue (Cr)'!$C:$FB,100)</f>
        <v>1555</v>
      </c>
      <c r="J146" s="75">
        <f t="shared" si="14"/>
        <v>48</v>
      </c>
      <c r="K146" s="75">
        <f t="shared" si="15"/>
        <v>2.9943855271366187</v>
      </c>
      <c r="L146" s="75">
        <f>VLOOKUP($A146,'Data Vlaue (Cr)'!$C:$FB,67)</f>
        <v>467</v>
      </c>
      <c r="M146" s="75">
        <f>VLOOKUP($A146,'Data Vlaue (Cr)'!$C:$FB,68)</f>
        <v>361</v>
      </c>
      <c r="N146" s="75">
        <f t="shared" si="16"/>
        <v>106</v>
      </c>
      <c r="O146" s="75">
        <f t="shared" si="17"/>
        <v>22.698072805139187</v>
      </c>
      <c r="P146" s="75">
        <f>VLOOKUP($A146,'Data Vlaue (Cr)'!$C:$FB,119)</f>
        <v>0.57999999999999996</v>
      </c>
      <c r="Q146" s="75">
        <f>VLOOKUP($A146,'Data Vlaue (Cr)'!$C:$FB,122)*100</f>
        <v>-1.69</v>
      </c>
      <c r="R146" s="75">
        <f>VLOOKUP($A146,'Data Vlaue (Cr)'!$C:$FB,125)</f>
        <v>0.34</v>
      </c>
      <c r="S146" s="75">
        <f>VLOOKUP($A146,'Data Vlaue (Cr)'!$C:$FB,128)*100</f>
        <v>6.25</v>
      </c>
    </row>
    <row r="147" spans="1:19" x14ac:dyDescent="0.25">
      <c r="A147" s="96" t="str">
        <f>'Data Vlaue (Cr)'!C138</f>
        <v>NESTLEIND</v>
      </c>
      <c r="B147" s="75">
        <f>VLOOKUP($A147,'Data Vlaue (Cr)'!$C:$FB,2)</f>
        <v>500</v>
      </c>
      <c r="C147" s="75">
        <f>VLOOKUP($A147,'Data Vlaue (Cr)'!$C:$FB,8)</f>
        <v>1305.3</v>
      </c>
      <c r="D147" s="75">
        <f>VLOOKUP($A147,'Data Vlaue (Cr)'!$C:$FB,4)</f>
        <v>1305.9000000000001</v>
      </c>
      <c r="E147" s="75">
        <f>VLOOKUP($A147,'Data Vlaue (Cr)'!$C:$FB,5)</f>
        <v>1309.4000000000001</v>
      </c>
      <c r="F147" s="75">
        <f t="shared" si="12"/>
        <v>0.60000000000013642</v>
      </c>
      <c r="G147" s="75">
        <f t="shared" si="13"/>
        <v>-0.26801439620185313</v>
      </c>
      <c r="H147" s="75">
        <f>VLOOKUP($A147,'Data Vlaue (Cr)'!$C:$FB,99)</f>
        <v>3234</v>
      </c>
      <c r="I147" s="75">
        <f>VLOOKUP($A147,'Data Vlaue (Cr)'!$C:$FB,100)</f>
        <v>3249</v>
      </c>
      <c r="J147" s="75">
        <f t="shared" si="14"/>
        <v>-15</v>
      </c>
      <c r="K147" s="75">
        <f t="shared" si="15"/>
        <v>-0.463821892393321</v>
      </c>
      <c r="L147" s="75">
        <f>VLOOKUP($A147,'Data Vlaue (Cr)'!$C:$FB,67)</f>
        <v>1284</v>
      </c>
      <c r="M147" s="75">
        <f>VLOOKUP($A147,'Data Vlaue (Cr)'!$C:$FB,68)</f>
        <v>837</v>
      </c>
      <c r="N147" s="75">
        <f t="shared" si="16"/>
        <v>447</v>
      </c>
      <c r="O147" s="75">
        <f t="shared" si="17"/>
        <v>34.813084112149532</v>
      </c>
      <c r="P147" s="75">
        <f>VLOOKUP($A147,'Data Vlaue (Cr)'!$C:$FB,119)</f>
        <v>0.47</v>
      </c>
      <c r="Q147" s="75">
        <f>VLOOKUP($A147,'Data Vlaue (Cr)'!$C:$FB,122)*100</f>
        <v>0</v>
      </c>
      <c r="R147" s="75">
        <f>VLOOKUP($A147,'Data Vlaue (Cr)'!$C:$FB,125)</f>
        <v>0.36</v>
      </c>
      <c r="S147" s="75">
        <f>VLOOKUP($A147,'Data Vlaue (Cr)'!$C:$FB,128)*100</f>
        <v>44</v>
      </c>
    </row>
    <row r="148" spans="1:19" x14ac:dyDescent="0.25">
      <c r="A148" s="96" t="str">
        <f>'Data Vlaue (Cr)'!C139</f>
        <v>NHPC</v>
      </c>
      <c r="B148" s="75">
        <f>VLOOKUP($A148,'Data Vlaue (Cr)'!$C:$FB,2)</f>
        <v>6400</v>
      </c>
      <c r="C148" s="75">
        <f>VLOOKUP($A148,'Data Vlaue (Cr)'!$C:$FB,8)</f>
        <v>77.58</v>
      </c>
      <c r="D148" s="75">
        <f>VLOOKUP($A148,'Data Vlaue (Cr)'!$C:$FB,4)</f>
        <v>77.84</v>
      </c>
      <c r="E148" s="75">
        <f>VLOOKUP($A148,'Data Vlaue (Cr)'!$C:$FB,5)</f>
        <v>77.2</v>
      </c>
      <c r="F148" s="75">
        <f t="shared" si="12"/>
        <v>0.26000000000000512</v>
      </c>
      <c r="G148" s="75">
        <f t="shared" si="13"/>
        <v>0.82219938335046316</v>
      </c>
      <c r="H148" s="75">
        <f>VLOOKUP($A148,'Data Vlaue (Cr)'!$C:$FB,99)</f>
        <v>1328</v>
      </c>
      <c r="I148" s="75">
        <f>VLOOKUP($A148,'Data Vlaue (Cr)'!$C:$FB,100)</f>
        <v>1344</v>
      </c>
      <c r="J148" s="75">
        <f t="shared" si="14"/>
        <v>-16</v>
      </c>
      <c r="K148" s="75">
        <f t="shared" si="15"/>
        <v>-1.2048192771084338</v>
      </c>
      <c r="L148" s="75">
        <f>VLOOKUP($A148,'Data Vlaue (Cr)'!$C:$FB,67)</f>
        <v>474</v>
      </c>
      <c r="M148" s="75">
        <f>VLOOKUP($A148,'Data Vlaue (Cr)'!$C:$FB,68)</f>
        <v>426</v>
      </c>
      <c r="N148" s="75">
        <f t="shared" si="16"/>
        <v>48</v>
      </c>
      <c r="O148" s="75">
        <f t="shared" si="17"/>
        <v>10.126582278481013</v>
      </c>
      <c r="P148" s="75">
        <f>VLOOKUP($A148,'Data Vlaue (Cr)'!$C:$FB,119)</f>
        <v>0.47</v>
      </c>
      <c r="Q148" s="75">
        <f>VLOOKUP($A148,'Data Vlaue (Cr)'!$C:$FB,122)*100</f>
        <v>-14.549999999999999</v>
      </c>
      <c r="R148" s="75">
        <f>VLOOKUP($A148,'Data Vlaue (Cr)'!$C:$FB,125)</f>
        <v>0.49</v>
      </c>
      <c r="S148" s="75">
        <f>VLOOKUP($A148,'Data Vlaue (Cr)'!$C:$FB,128)*100</f>
        <v>0</v>
      </c>
    </row>
    <row r="149" spans="1:19" x14ac:dyDescent="0.25">
      <c r="A149" s="96" t="str">
        <f>'Data Vlaue (Cr)'!C140</f>
        <v>NIFTY</v>
      </c>
      <c r="B149" s="75">
        <f>VLOOKUP($A149,'Data Vlaue (Cr)'!$C:$FB,2)</f>
        <v>65</v>
      </c>
      <c r="C149" s="75">
        <f>VLOOKUP($A149,'Data Vlaue (Cr)'!$C:$FB,8)</f>
        <v>25953.85</v>
      </c>
      <c r="D149" s="75">
        <f>VLOOKUP($A149,'Data Vlaue (Cr)'!$C:$FB,4)</f>
        <v>25994.2</v>
      </c>
      <c r="E149" s="75">
        <f>VLOOKUP($A149,'Data Vlaue (Cr)'!$C:$FB,5)</f>
        <v>25985.599999999999</v>
      </c>
      <c r="F149" s="75">
        <f t="shared" si="12"/>
        <v>40.350000000002183</v>
      </c>
      <c r="G149" s="75">
        <f t="shared" si="13"/>
        <v>3.3084303421540895E-2</v>
      </c>
      <c r="H149" s="75">
        <f>VLOOKUP($A149,'Data Vlaue (Cr)'!$C:$FB,99)</f>
        <v>1085309</v>
      </c>
      <c r="I149" s="75">
        <f>VLOOKUP($A149,'Data Vlaue (Cr)'!$C:$FB,100)</f>
        <v>1735419</v>
      </c>
      <c r="J149" s="75">
        <f t="shared" si="14"/>
        <v>-650110</v>
      </c>
      <c r="K149" s="75">
        <f t="shared" si="15"/>
        <v>-59.900913011870351</v>
      </c>
      <c r="L149" s="75">
        <f>VLOOKUP($A149,'Data Vlaue (Cr)'!$C:$FB,67)</f>
        <v>8625004</v>
      </c>
      <c r="M149" s="75">
        <f>VLOOKUP($A149,'Data Vlaue (Cr)'!$C:$FB,68)</f>
        <v>59052500</v>
      </c>
      <c r="N149" s="75">
        <f t="shared" si="16"/>
        <v>-50427496</v>
      </c>
      <c r="O149" s="75">
        <f t="shared" si="17"/>
        <v>-584.66634914024394</v>
      </c>
      <c r="P149" s="75">
        <f>VLOOKUP($A149,'Data Vlaue (Cr)'!$C:$FB,119)</f>
        <v>1.06</v>
      </c>
      <c r="Q149" s="75">
        <f>VLOOKUP($A149,'Data Vlaue (Cr)'!$C:$FB,122)*100</f>
        <v>-9.4</v>
      </c>
      <c r="R149" s="75">
        <f>VLOOKUP($A149,'Data Vlaue (Cr)'!$C:$FB,125)</f>
        <v>1.07</v>
      </c>
      <c r="S149" s="75">
        <f>VLOOKUP($A149,'Data Vlaue (Cr)'!$C:$FB,128)*100</f>
        <v>1.9</v>
      </c>
    </row>
    <row r="150" spans="1:19" x14ac:dyDescent="0.25">
      <c r="A150" s="96" t="str">
        <f>'Data Vlaue (Cr)'!C141</f>
        <v>NIFTYNXT50</v>
      </c>
      <c r="B150" s="75">
        <f>VLOOKUP($A150,'Data Vlaue (Cr)'!$C:$FB,2)</f>
        <v>25</v>
      </c>
      <c r="C150" s="75">
        <f>VLOOKUP($A150,'Data Vlaue (Cr)'!$C:$FB,8)</f>
        <v>70216.55</v>
      </c>
      <c r="D150" s="75">
        <f>VLOOKUP($A150,'Data Vlaue (Cr)'!$C:$FB,4)</f>
        <v>70184.2</v>
      </c>
      <c r="E150" s="75">
        <f>VLOOKUP($A150,'Data Vlaue (Cr)'!$C:$FB,5)</f>
        <v>69872.2</v>
      </c>
      <c r="F150" s="75">
        <f t="shared" si="12"/>
        <v>-32.350000000005821</v>
      </c>
      <c r="G150" s="75">
        <f t="shared" si="13"/>
        <v>0.44454449861934742</v>
      </c>
      <c r="H150" s="75">
        <f>VLOOKUP($A150,'Data Vlaue (Cr)'!$C:$FB,99)</f>
        <v>313</v>
      </c>
      <c r="I150" s="75">
        <f>VLOOKUP($A150,'Data Vlaue (Cr)'!$C:$FB,100)</f>
        <v>283</v>
      </c>
      <c r="J150" s="75">
        <f t="shared" si="14"/>
        <v>30</v>
      </c>
      <c r="K150" s="75">
        <f t="shared" si="15"/>
        <v>9.5846645367412133</v>
      </c>
      <c r="L150" s="75">
        <f>VLOOKUP($A150,'Data Vlaue (Cr)'!$C:$FB,67)</f>
        <v>192</v>
      </c>
      <c r="M150" s="75">
        <f>VLOOKUP($A150,'Data Vlaue (Cr)'!$C:$FB,68)</f>
        <v>111</v>
      </c>
      <c r="N150" s="75">
        <f t="shared" si="16"/>
        <v>81</v>
      </c>
      <c r="O150" s="75">
        <f t="shared" si="17"/>
        <v>42.1875</v>
      </c>
      <c r="P150" s="75">
        <f>VLOOKUP($A150,'Data Vlaue (Cr)'!$C:$FB,119)</f>
        <v>0.89</v>
      </c>
      <c r="Q150" s="75">
        <f>VLOOKUP($A150,'Data Vlaue (Cr)'!$C:$FB,122)*100</f>
        <v>23.61</v>
      </c>
      <c r="R150" s="75">
        <f>VLOOKUP($A150,'Data Vlaue (Cr)'!$C:$FB,125)</f>
        <v>0.91</v>
      </c>
      <c r="S150" s="75">
        <f>VLOOKUP($A150,'Data Vlaue (Cr)'!$C:$FB,128)*100</f>
        <v>-17.27</v>
      </c>
    </row>
    <row r="151" spans="1:19" x14ac:dyDescent="0.25">
      <c r="A151" s="96" t="str">
        <f>'Data Vlaue (Cr)'!C142</f>
        <v>NMDC</v>
      </c>
      <c r="B151" s="75">
        <f>VLOOKUP($A151,'Data Vlaue (Cr)'!$C:$FB,2)</f>
        <v>6750</v>
      </c>
      <c r="C151" s="75">
        <f>VLOOKUP($A151,'Data Vlaue (Cr)'!$C:$FB,8)</f>
        <v>85.46</v>
      </c>
      <c r="D151" s="75">
        <f>VLOOKUP($A151,'Data Vlaue (Cr)'!$C:$FB,4)</f>
        <v>85.69</v>
      </c>
      <c r="E151" s="75">
        <f>VLOOKUP($A151,'Data Vlaue (Cr)'!$C:$FB,5)</f>
        <v>85.35</v>
      </c>
      <c r="F151" s="75">
        <f t="shared" si="12"/>
        <v>0.23000000000000398</v>
      </c>
      <c r="G151" s="75">
        <f t="shared" si="13"/>
        <v>0.39677908740810297</v>
      </c>
      <c r="H151" s="75">
        <f>VLOOKUP($A151,'Data Vlaue (Cr)'!$C:$FB,99)</f>
        <v>4498</v>
      </c>
      <c r="I151" s="75">
        <f>VLOOKUP($A151,'Data Vlaue (Cr)'!$C:$FB,100)</f>
        <v>4541</v>
      </c>
      <c r="J151" s="75">
        <f t="shared" si="14"/>
        <v>-43</v>
      </c>
      <c r="K151" s="75">
        <f t="shared" si="15"/>
        <v>-0.95598043574922176</v>
      </c>
      <c r="L151" s="75">
        <f>VLOOKUP($A151,'Data Vlaue (Cr)'!$C:$FB,67)</f>
        <v>1974</v>
      </c>
      <c r="M151" s="75">
        <f>VLOOKUP($A151,'Data Vlaue (Cr)'!$C:$FB,68)</f>
        <v>1926</v>
      </c>
      <c r="N151" s="75">
        <f t="shared" si="16"/>
        <v>48</v>
      </c>
      <c r="O151" s="75">
        <f t="shared" si="17"/>
        <v>2.43161094224924</v>
      </c>
      <c r="P151" s="75">
        <f>VLOOKUP($A151,'Data Vlaue (Cr)'!$C:$FB,119)</f>
        <v>0.5</v>
      </c>
      <c r="Q151" s="75">
        <f>VLOOKUP($A151,'Data Vlaue (Cr)'!$C:$FB,122)*100</f>
        <v>4.17</v>
      </c>
      <c r="R151" s="75">
        <f>VLOOKUP($A151,'Data Vlaue (Cr)'!$C:$FB,125)</f>
        <v>0.36</v>
      </c>
      <c r="S151" s="75">
        <f>VLOOKUP($A151,'Data Vlaue (Cr)'!$C:$FB,128)*100</f>
        <v>12.5</v>
      </c>
    </row>
    <row r="152" spans="1:19" x14ac:dyDescent="0.25">
      <c r="A152" s="96" t="str">
        <f>'Data Vlaue (Cr)'!C143</f>
        <v>NTPC</v>
      </c>
      <c r="B152" s="75">
        <f>VLOOKUP($A152,'Data Vlaue (Cr)'!$C:$FB,2)</f>
        <v>1500</v>
      </c>
      <c r="C152" s="75">
        <f>VLOOKUP($A152,'Data Vlaue (Cr)'!$C:$FB,8)</f>
        <v>368.45</v>
      </c>
      <c r="D152" s="75">
        <f>VLOOKUP($A152,'Data Vlaue (Cr)'!$C:$FB,4)</f>
        <v>368.4</v>
      </c>
      <c r="E152" s="75">
        <f>VLOOKUP($A152,'Data Vlaue (Cr)'!$C:$FB,5)</f>
        <v>367.15</v>
      </c>
      <c r="F152" s="75">
        <f t="shared" si="12"/>
        <v>-5.0000000000011369E-2</v>
      </c>
      <c r="G152" s="75">
        <f t="shared" si="13"/>
        <v>0.3393051031487514</v>
      </c>
      <c r="H152" s="75">
        <f>VLOOKUP($A152,'Data Vlaue (Cr)'!$C:$FB,99)</f>
        <v>8125</v>
      </c>
      <c r="I152" s="75">
        <f>VLOOKUP($A152,'Data Vlaue (Cr)'!$C:$FB,100)</f>
        <v>7937</v>
      </c>
      <c r="J152" s="75">
        <f t="shared" si="14"/>
        <v>188</v>
      </c>
      <c r="K152" s="75">
        <f t="shared" si="15"/>
        <v>2.3138461538461539</v>
      </c>
      <c r="L152" s="75">
        <f>VLOOKUP($A152,'Data Vlaue (Cr)'!$C:$FB,67)</f>
        <v>3511</v>
      </c>
      <c r="M152" s="75">
        <f>VLOOKUP($A152,'Data Vlaue (Cr)'!$C:$FB,68)</f>
        <v>4393</v>
      </c>
      <c r="N152" s="75">
        <f t="shared" si="16"/>
        <v>-882</v>
      </c>
      <c r="O152" s="75">
        <f t="shared" si="17"/>
        <v>-25.121048134434631</v>
      </c>
      <c r="P152" s="75">
        <f>VLOOKUP($A152,'Data Vlaue (Cr)'!$C:$FB,119)</f>
        <v>0.45</v>
      </c>
      <c r="Q152" s="75">
        <f>VLOOKUP($A152,'Data Vlaue (Cr)'!$C:$FB,122)*100</f>
        <v>0</v>
      </c>
      <c r="R152" s="75">
        <f>VLOOKUP($A152,'Data Vlaue (Cr)'!$C:$FB,125)</f>
        <v>0.44</v>
      </c>
      <c r="S152" s="75">
        <f>VLOOKUP($A152,'Data Vlaue (Cr)'!$C:$FB,128)*100</f>
        <v>-13.73</v>
      </c>
    </row>
    <row r="153" spans="1:19" x14ac:dyDescent="0.25">
      <c r="A153" s="96" t="str">
        <f>'Data Vlaue (Cr)'!C144</f>
        <v>NUVAMA</v>
      </c>
      <c r="B153" s="75">
        <f>VLOOKUP($A153,'Data Vlaue (Cr)'!$C:$FB,2)</f>
        <v>500</v>
      </c>
      <c r="C153" s="75">
        <f>VLOOKUP($A153,'Data Vlaue (Cr)'!$C:$FB,8)</f>
        <v>1324.2</v>
      </c>
      <c r="D153" s="75">
        <f>VLOOKUP($A153,'Data Vlaue (Cr)'!$C:$FB,4)</f>
        <v>1323.5</v>
      </c>
      <c r="E153" s="75">
        <f>VLOOKUP($A153,'Data Vlaue (Cr)'!$C:$FB,5)</f>
        <v>1387.3</v>
      </c>
      <c r="F153" s="75">
        <f t="shared" si="12"/>
        <v>-0.70000000000004547</v>
      </c>
      <c r="G153" s="75">
        <f t="shared" si="13"/>
        <v>-4.8205515678126147</v>
      </c>
      <c r="H153" s="75">
        <f>VLOOKUP($A153,'Data Vlaue (Cr)'!$C:$FB,99)</f>
        <v>641</v>
      </c>
      <c r="I153" s="75">
        <f>VLOOKUP($A153,'Data Vlaue (Cr)'!$C:$FB,100)</f>
        <v>625</v>
      </c>
      <c r="J153" s="75">
        <f t="shared" si="14"/>
        <v>16</v>
      </c>
      <c r="K153" s="75">
        <f t="shared" si="15"/>
        <v>2.4960998439937598</v>
      </c>
      <c r="L153" s="75">
        <f>VLOOKUP($A153,'Data Vlaue (Cr)'!$C:$FB,67)</f>
        <v>872</v>
      </c>
      <c r="M153" s="75">
        <f>VLOOKUP($A153,'Data Vlaue (Cr)'!$C:$FB,68)</f>
        <v>452</v>
      </c>
      <c r="N153" s="75">
        <f t="shared" si="16"/>
        <v>420</v>
      </c>
      <c r="O153" s="75">
        <f t="shared" si="17"/>
        <v>48.165137614678898</v>
      </c>
      <c r="P153" s="75">
        <f>VLOOKUP($A153,'Data Vlaue (Cr)'!$C:$FB,119)</f>
        <v>0.76</v>
      </c>
      <c r="Q153" s="75">
        <f>VLOOKUP($A153,'Data Vlaue (Cr)'!$C:$FB,122)*100</f>
        <v>16.919999999999998</v>
      </c>
      <c r="R153" s="75">
        <f>VLOOKUP($A153,'Data Vlaue (Cr)'!$C:$FB,125)</f>
        <v>0.71</v>
      </c>
      <c r="S153" s="75">
        <f>VLOOKUP($A153,'Data Vlaue (Cr)'!$C:$FB,128)*100</f>
        <v>144.82999999999998</v>
      </c>
    </row>
    <row r="154" spans="1:19" x14ac:dyDescent="0.25">
      <c r="A154" s="96" t="str">
        <f>'Data Vlaue (Cr)'!C145</f>
        <v>NYKAA</v>
      </c>
      <c r="B154" s="75">
        <f>VLOOKUP($A154,'Data Vlaue (Cr)'!$C:$FB,2)</f>
        <v>3125</v>
      </c>
      <c r="C154" s="75">
        <f>VLOOKUP($A154,'Data Vlaue (Cr)'!$C:$FB,8)</f>
        <v>277.54000000000002</v>
      </c>
      <c r="D154" s="75">
        <f>VLOOKUP($A154,'Data Vlaue (Cr)'!$C:$FB,4)</f>
        <v>278.36</v>
      </c>
      <c r="E154" s="75">
        <f>VLOOKUP($A154,'Data Vlaue (Cr)'!$C:$FB,5)</f>
        <v>281.73</v>
      </c>
      <c r="F154" s="75">
        <f t="shared" si="12"/>
        <v>0.81999999999999318</v>
      </c>
      <c r="G154" s="75">
        <f t="shared" si="13"/>
        <v>-1.2106624515016542</v>
      </c>
      <c r="H154" s="75">
        <f>VLOOKUP($A154,'Data Vlaue (Cr)'!$C:$FB,99)</f>
        <v>2325</v>
      </c>
      <c r="I154" s="75">
        <f>VLOOKUP($A154,'Data Vlaue (Cr)'!$C:$FB,100)</f>
        <v>2351</v>
      </c>
      <c r="J154" s="75">
        <f t="shared" si="14"/>
        <v>-26</v>
      </c>
      <c r="K154" s="75">
        <f t="shared" si="15"/>
        <v>-1.118279569892473</v>
      </c>
      <c r="L154" s="75">
        <f>VLOOKUP($A154,'Data Vlaue (Cr)'!$C:$FB,67)</f>
        <v>1356</v>
      </c>
      <c r="M154" s="75">
        <f>VLOOKUP($A154,'Data Vlaue (Cr)'!$C:$FB,68)</f>
        <v>1672</v>
      </c>
      <c r="N154" s="75">
        <f t="shared" si="16"/>
        <v>-316</v>
      </c>
      <c r="O154" s="75">
        <f t="shared" si="17"/>
        <v>-23.303834808259587</v>
      </c>
      <c r="P154" s="75">
        <f>VLOOKUP($A154,'Data Vlaue (Cr)'!$C:$FB,119)</f>
        <v>1.23</v>
      </c>
      <c r="Q154" s="75">
        <f>VLOOKUP($A154,'Data Vlaue (Cr)'!$C:$FB,122)*100</f>
        <v>1.6500000000000001</v>
      </c>
      <c r="R154" s="75">
        <f>VLOOKUP($A154,'Data Vlaue (Cr)'!$C:$FB,125)</f>
        <v>0.65</v>
      </c>
      <c r="S154" s="75">
        <f>VLOOKUP($A154,'Data Vlaue (Cr)'!$C:$FB,128)*100</f>
        <v>41.3</v>
      </c>
    </row>
    <row r="155" spans="1:19" x14ac:dyDescent="0.25">
      <c r="A155" s="96" t="str">
        <f>'Data Vlaue (Cr)'!C146</f>
        <v>OBEROIRLTY</v>
      </c>
      <c r="B155" s="75">
        <f>VLOOKUP($A155,'Data Vlaue (Cr)'!$C:$FB,2)</f>
        <v>350</v>
      </c>
      <c r="C155" s="75">
        <f>VLOOKUP($A155,'Data Vlaue (Cr)'!$C:$FB,8)</f>
        <v>1577.3</v>
      </c>
      <c r="D155" s="75">
        <f>VLOOKUP($A155,'Data Vlaue (Cr)'!$C:$FB,4)</f>
        <v>1578.9</v>
      </c>
      <c r="E155" s="75">
        <f>VLOOKUP($A155,'Data Vlaue (Cr)'!$C:$FB,5)</f>
        <v>1571.5</v>
      </c>
      <c r="F155" s="75">
        <f t="shared" si="12"/>
        <v>1.6000000000001364</v>
      </c>
      <c r="G155" s="75">
        <f t="shared" si="13"/>
        <v>0.46868072708848507</v>
      </c>
      <c r="H155" s="75">
        <f>VLOOKUP($A155,'Data Vlaue (Cr)'!$C:$FB,99)</f>
        <v>1517</v>
      </c>
      <c r="I155" s="75">
        <f>VLOOKUP($A155,'Data Vlaue (Cr)'!$C:$FB,100)</f>
        <v>1511</v>
      </c>
      <c r="J155" s="75">
        <f t="shared" si="14"/>
        <v>6</v>
      </c>
      <c r="K155" s="75">
        <f t="shared" si="15"/>
        <v>0.39551746868820042</v>
      </c>
      <c r="L155" s="75">
        <f>VLOOKUP($A155,'Data Vlaue (Cr)'!$C:$FB,67)</f>
        <v>369</v>
      </c>
      <c r="M155" s="75">
        <f>VLOOKUP($A155,'Data Vlaue (Cr)'!$C:$FB,68)</f>
        <v>466</v>
      </c>
      <c r="N155" s="75">
        <f t="shared" si="16"/>
        <v>-97</v>
      </c>
      <c r="O155" s="75">
        <f t="shared" si="17"/>
        <v>-26.287262872628723</v>
      </c>
      <c r="P155" s="75">
        <f>VLOOKUP($A155,'Data Vlaue (Cr)'!$C:$FB,119)</f>
        <v>0.85</v>
      </c>
      <c r="Q155" s="75">
        <f>VLOOKUP($A155,'Data Vlaue (Cr)'!$C:$FB,122)*100</f>
        <v>-8.6</v>
      </c>
      <c r="R155" s="75">
        <f>VLOOKUP($A155,'Data Vlaue (Cr)'!$C:$FB,125)</f>
        <v>0.39</v>
      </c>
      <c r="S155" s="75">
        <f>VLOOKUP($A155,'Data Vlaue (Cr)'!$C:$FB,128)*100</f>
        <v>-26.419999999999998</v>
      </c>
    </row>
    <row r="156" spans="1:19" x14ac:dyDescent="0.25">
      <c r="A156" s="96" t="str">
        <f>'Data Vlaue (Cr)'!C147</f>
        <v>OFSS</v>
      </c>
      <c r="B156" s="75">
        <f>VLOOKUP($A156,'Data Vlaue (Cr)'!$C:$FB,2)</f>
        <v>75</v>
      </c>
      <c r="C156" s="75">
        <f>VLOOKUP($A156,'Data Vlaue (Cr)'!$C:$FB,8)</f>
        <v>7217.5</v>
      </c>
      <c r="D156" s="75">
        <f>VLOOKUP($A156,'Data Vlaue (Cr)'!$C:$FB,4)</f>
        <v>7210.5</v>
      </c>
      <c r="E156" s="75">
        <f>VLOOKUP($A156,'Data Vlaue (Cr)'!$C:$FB,5)</f>
        <v>7366</v>
      </c>
      <c r="F156" s="75">
        <f t="shared" si="12"/>
        <v>-7</v>
      </c>
      <c r="G156" s="75">
        <f t="shared" si="13"/>
        <v>-2.1565772137854515</v>
      </c>
      <c r="H156" s="75">
        <f>VLOOKUP($A156,'Data Vlaue (Cr)'!$C:$FB,99)</f>
        <v>1736</v>
      </c>
      <c r="I156" s="75">
        <f>VLOOKUP($A156,'Data Vlaue (Cr)'!$C:$FB,100)</f>
        <v>1672</v>
      </c>
      <c r="J156" s="75">
        <f t="shared" si="14"/>
        <v>64</v>
      </c>
      <c r="K156" s="75">
        <f t="shared" si="15"/>
        <v>3.6866359447004609</v>
      </c>
      <c r="L156" s="75">
        <f>VLOOKUP($A156,'Data Vlaue (Cr)'!$C:$FB,67)</f>
        <v>710</v>
      </c>
      <c r="M156" s="75">
        <f>VLOOKUP($A156,'Data Vlaue (Cr)'!$C:$FB,68)</f>
        <v>673</v>
      </c>
      <c r="N156" s="75">
        <f t="shared" si="16"/>
        <v>37</v>
      </c>
      <c r="O156" s="75">
        <f t="shared" si="17"/>
        <v>5.211267605633803</v>
      </c>
      <c r="P156" s="75">
        <f>VLOOKUP($A156,'Data Vlaue (Cr)'!$C:$FB,119)</f>
        <v>0.57999999999999996</v>
      </c>
      <c r="Q156" s="75">
        <f>VLOOKUP($A156,'Data Vlaue (Cr)'!$C:$FB,122)*100</f>
        <v>-4.92</v>
      </c>
      <c r="R156" s="75">
        <f>VLOOKUP($A156,'Data Vlaue (Cr)'!$C:$FB,125)</f>
        <v>0.48</v>
      </c>
      <c r="S156" s="75">
        <f>VLOOKUP($A156,'Data Vlaue (Cr)'!$C:$FB,128)*100</f>
        <v>60</v>
      </c>
    </row>
    <row r="157" spans="1:19" x14ac:dyDescent="0.25">
      <c r="A157" s="96" t="str">
        <f>'Data Vlaue (Cr)'!C148</f>
        <v>OIL</v>
      </c>
      <c r="B157" s="75">
        <f>VLOOKUP($A157,'Data Vlaue (Cr)'!$C:$FB,2)</f>
        <v>1400</v>
      </c>
      <c r="C157" s="75">
        <f>VLOOKUP($A157,'Data Vlaue (Cr)'!$C:$FB,8)</f>
        <v>479.25</v>
      </c>
      <c r="D157" s="75">
        <f>VLOOKUP($A157,'Data Vlaue (Cr)'!$C:$FB,4)</f>
        <v>473.8</v>
      </c>
      <c r="E157" s="75">
        <f>VLOOKUP($A157,'Data Vlaue (Cr)'!$C:$FB,5)</f>
        <v>483.8</v>
      </c>
      <c r="F157" s="75">
        <f t="shared" si="12"/>
        <v>-5.4499999999999886</v>
      </c>
      <c r="G157" s="75">
        <f t="shared" si="13"/>
        <v>-2.1105951878429714</v>
      </c>
      <c r="H157" s="75">
        <f>VLOOKUP($A157,'Data Vlaue (Cr)'!$C:$FB,99)</f>
        <v>2007</v>
      </c>
      <c r="I157" s="75">
        <f>VLOOKUP($A157,'Data Vlaue (Cr)'!$C:$FB,100)</f>
        <v>1947</v>
      </c>
      <c r="J157" s="75">
        <f t="shared" si="14"/>
        <v>60</v>
      </c>
      <c r="K157" s="75">
        <f t="shared" si="15"/>
        <v>2.9895366218236172</v>
      </c>
      <c r="L157" s="75">
        <f>VLOOKUP($A157,'Data Vlaue (Cr)'!$C:$FB,67)</f>
        <v>2767</v>
      </c>
      <c r="M157" s="75">
        <f>VLOOKUP($A157,'Data Vlaue (Cr)'!$C:$FB,68)</f>
        <v>1437</v>
      </c>
      <c r="N157" s="75">
        <f t="shared" si="16"/>
        <v>1330</v>
      </c>
      <c r="O157" s="75">
        <f t="shared" si="17"/>
        <v>48.066498012287681</v>
      </c>
      <c r="P157" s="75">
        <f>VLOOKUP($A157,'Data Vlaue (Cr)'!$C:$FB,119)</f>
        <v>0.5</v>
      </c>
      <c r="Q157" s="75">
        <f>VLOOKUP($A157,'Data Vlaue (Cr)'!$C:$FB,122)*100</f>
        <v>-3.85</v>
      </c>
      <c r="R157" s="75">
        <f>VLOOKUP($A157,'Data Vlaue (Cr)'!$C:$FB,125)</f>
        <v>0.42</v>
      </c>
      <c r="S157" s="75">
        <f>VLOOKUP($A157,'Data Vlaue (Cr)'!$C:$FB,128)*100</f>
        <v>13.51</v>
      </c>
    </row>
    <row r="158" spans="1:19" x14ac:dyDescent="0.25">
      <c r="A158" s="96" t="str">
        <f>'Data Vlaue (Cr)'!C149</f>
        <v>ONGC</v>
      </c>
      <c r="B158" s="75">
        <f>VLOOKUP($A158,'Data Vlaue (Cr)'!$C:$FB,2)</f>
        <v>2250</v>
      </c>
      <c r="C158" s="75">
        <f>VLOOKUP($A158,'Data Vlaue (Cr)'!$C:$FB,8)</f>
        <v>274.60000000000002</v>
      </c>
      <c r="D158" s="75">
        <f>VLOOKUP($A158,'Data Vlaue (Cr)'!$C:$FB,4)</f>
        <v>272</v>
      </c>
      <c r="E158" s="75">
        <f>VLOOKUP($A158,'Data Vlaue (Cr)'!$C:$FB,5)</f>
        <v>269.85000000000002</v>
      </c>
      <c r="F158" s="75">
        <f t="shared" si="12"/>
        <v>-2.6000000000000227</v>
      </c>
      <c r="G158" s="75">
        <f t="shared" si="13"/>
        <v>0.79044117647057988</v>
      </c>
      <c r="H158" s="75">
        <f>VLOOKUP($A158,'Data Vlaue (Cr)'!$C:$FB,99)</f>
        <v>6327</v>
      </c>
      <c r="I158" s="75">
        <f>VLOOKUP($A158,'Data Vlaue (Cr)'!$C:$FB,100)</f>
        <v>6044</v>
      </c>
      <c r="J158" s="75">
        <f t="shared" si="14"/>
        <v>283</v>
      </c>
      <c r="K158" s="75">
        <f t="shared" si="15"/>
        <v>4.4728939465781572</v>
      </c>
      <c r="L158" s="75">
        <f>VLOOKUP($A158,'Data Vlaue (Cr)'!$C:$FB,67)</f>
        <v>4434</v>
      </c>
      <c r="M158" s="75">
        <f>VLOOKUP($A158,'Data Vlaue (Cr)'!$C:$FB,68)</f>
        <v>2423</v>
      </c>
      <c r="N158" s="75">
        <f t="shared" si="16"/>
        <v>2011</v>
      </c>
      <c r="O158" s="75">
        <f t="shared" si="17"/>
        <v>45.354082092918361</v>
      </c>
      <c r="P158" s="75">
        <f>VLOOKUP($A158,'Data Vlaue (Cr)'!$C:$FB,119)</f>
        <v>0.43</v>
      </c>
      <c r="Q158" s="75">
        <f>VLOOKUP($A158,'Data Vlaue (Cr)'!$C:$FB,122)*100</f>
        <v>2.3800000000000003</v>
      </c>
      <c r="R158" s="75">
        <f>VLOOKUP($A158,'Data Vlaue (Cr)'!$C:$FB,125)</f>
        <v>0.33</v>
      </c>
      <c r="S158" s="75">
        <f>VLOOKUP($A158,'Data Vlaue (Cr)'!$C:$FB,128)*100</f>
        <v>0</v>
      </c>
    </row>
    <row r="159" spans="1:19" x14ac:dyDescent="0.25">
      <c r="A159" s="96" t="str">
        <f>'Data Vlaue (Cr)'!C150</f>
        <v>PAGEIND</v>
      </c>
      <c r="B159" s="75">
        <f>VLOOKUP($A159,'Data Vlaue (Cr)'!$C:$FB,2)</f>
        <v>15</v>
      </c>
      <c r="C159" s="75">
        <f>VLOOKUP($A159,'Data Vlaue (Cr)'!$C:$FB,8)</f>
        <v>34360</v>
      </c>
      <c r="D159" s="75">
        <f>VLOOKUP($A159,'Data Vlaue (Cr)'!$C:$FB,4)</f>
        <v>34485</v>
      </c>
      <c r="E159" s="75">
        <f>VLOOKUP($A159,'Data Vlaue (Cr)'!$C:$FB,5)</f>
        <v>34595</v>
      </c>
      <c r="F159" s="75">
        <f t="shared" si="12"/>
        <v>125</v>
      </c>
      <c r="G159" s="75">
        <f t="shared" si="13"/>
        <v>-0.31897926634768742</v>
      </c>
      <c r="H159" s="75">
        <f>VLOOKUP($A159,'Data Vlaue (Cr)'!$C:$FB,99)</f>
        <v>1728</v>
      </c>
      <c r="I159" s="75">
        <f>VLOOKUP($A159,'Data Vlaue (Cr)'!$C:$FB,100)</f>
        <v>1691</v>
      </c>
      <c r="J159" s="75">
        <f t="shared" si="14"/>
        <v>37</v>
      </c>
      <c r="K159" s="75">
        <f t="shared" si="15"/>
        <v>2.1412037037037037</v>
      </c>
      <c r="L159" s="75">
        <f>VLOOKUP($A159,'Data Vlaue (Cr)'!$C:$FB,67)</f>
        <v>1250</v>
      </c>
      <c r="M159" s="75">
        <f>VLOOKUP($A159,'Data Vlaue (Cr)'!$C:$FB,68)</f>
        <v>1031</v>
      </c>
      <c r="N159" s="75">
        <f t="shared" si="16"/>
        <v>219</v>
      </c>
      <c r="O159" s="75">
        <f t="shared" si="17"/>
        <v>17.52</v>
      </c>
      <c r="P159" s="75">
        <f>VLOOKUP($A159,'Data Vlaue (Cr)'!$C:$FB,119)</f>
        <v>0.46</v>
      </c>
      <c r="Q159" s="75">
        <f>VLOOKUP($A159,'Data Vlaue (Cr)'!$C:$FB,122)*100</f>
        <v>-4.17</v>
      </c>
      <c r="R159" s="75">
        <f>VLOOKUP($A159,'Data Vlaue (Cr)'!$C:$FB,125)</f>
        <v>0.35</v>
      </c>
      <c r="S159" s="75">
        <f>VLOOKUP($A159,'Data Vlaue (Cr)'!$C:$FB,128)*100</f>
        <v>2.94</v>
      </c>
    </row>
    <row r="160" spans="1:19" x14ac:dyDescent="0.25">
      <c r="A160" s="96" t="str">
        <f>'Data Vlaue (Cr)'!C151</f>
        <v>PATANJALI</v>
      </c>
      <c r="B160" s="75">
        <f>VLOOKUP($A160,'Data Vlaue (Cr)'!$C:$FB,2)</f>
        <v>900</v>
      </c>
      <c r="C160" s="75">
        <f>VLOOKUP($A160,'Data Vlaue (Cr)'!$C:$FB,8)</f>
        <v>521.75</v>
      </c>
      <c r="D160" s="75">
        <f>VLOOKUP($A160,'Data Vlaue (Cr)'!$C:$FB,4)</f>
        <v>521.95000000000005</v>
      </c>
      <c r="E160" s="75">
        <f>VLOOKUP($A160,'Data Vlaue (Cr)'!$C:$FB,5)</f>
        <v>521.45000000000005</v>
      </c>
      <c r="F160" s="75">
        <f t="shared" si="12"/>
        <v>0.20000000000004547</v>
      </c>
      <c r="G160" s="75">
        <f t="shared" si="13"/>
        <v>9.5794616342561534E-2</v>
      </c>
      <c r="H160" s="75">
        <f>VLOOKUP($A160,'Data Vlaue (Cr)'!$C:$FB,99)</f>
        <v>2525</v>
      </c>
      <c r="I160" s="75">
        <f>VLOOKUP($A160,'Data Vlaue (Cr)'!$C:$FB,100)</f>
        <v>2384</v>
      </c>
      <c r="J160" s="75">
        <f t="shared" si="14"/>
        <v>141</v>
      </c>
      <c r="K160" s="75">
        <f t="shared" si="15"/>
        <v>5.5841584158415847</v>
      </c>
      <c r="L160" s="75">
        <f>VLOOKUP($A160,'Data Vlaue (Cr)'!$C:$FB,67)</f>
        <v>786</v>
      </c>
      <c r="M160" s="75">
        <f>VLOOKUP($A160,'Data Vlaue (Cr)'!$C:$FB,68)</f>
        <v>845</v>
      </c>
      <c r="N160" s="75">
        <f t="shared" si="16"/>
        <v>-59</v>
      </c>
      <c r="O160" s="75">
        <f t="shared" si="17"/>
        <v>-7.5063613231552164</v>
      </c>
      <c r="P160" s="75">
        <f>VLOOKUP($A160,'Data Vlaue (Cr)'!$C:$FB,119)</f>
        <v>1.04</v>
      </c>
      <c r="Q160" s="75">
        <f>VLOOKUP($A160,'Data Vlaue (Cr)'!$C:$FB,122)*100</f>
        <v>-11.110000000000001</v>
      </c>
      <c r="R160" s="75">
        <f>VLOOKUP($A160,'Data Vlaue (Cr)'!$C:$FB,125)</f>
        <v>0.53</v>
      </c>
      <c r="S160" s="75">
        <f>VLOOKUP($A160,'Data Vlaue (Cr)'!$C:$FB,128)*100</f>
        <v>-33.75</v>
      </c>
    </row>
    <row r="161" spans="1:19" x14ac:dyDescent="0.25">
      <c r="A161" s="96" t="str">
        <f>'Data Vlaue (Cr)'!C152</f>
        <v>PAYTM</v>
      </c>
      <c r="B161" s="75">
        <f>VLOOKUP($A161,'Data Vlaue (Cr)'!$C:$FB,2)</f>
        <v>725</v>
      </c>
      <c r="C161" s="75">
        <f>VLOOKUP($A161,'Data Vlaue (Cr)'!$C:$FB,8)</f>
        <v>1160</v>
      </c>
      <c r="D161" s="75">
        <f>VLOOKUP($A161,'Data Vlaue (Cr)'!$C:$FB,4)</f>
        <v>1163.2</v>
      </c>
      <c r="E161" s="75">
        <f>VLOOKUP($A161,'Data Vlaue (Cr)'!$C:$FB,5)</f>
        <v>1164.3</v>
      </c>
      <c r="F161" s="75">
        <f t="shared" si="12"/>
        <v>3.2000000000000455</v>
      </c>
      <c r="G161" s="75">
        <f t="shared" si="13"/>
        <v>-9.4566712517186124E-2</v>
      </c>
      <c r="H161" s="75">
        <f>VLOOKUP($A161,'Data Vlaue (Cr)'!$C:$FB,99)</f>
        <v>4247</v>
      </c>
      <c r="I161" s="75">
        <f>VLOOKUP($A161,'Data Vlaue (Cr)'!$C:$FB,100)</f>
        <v>4121</v>
      </c>
      <c r="J161" s="75">
        <f t="shared" si="14"/>
        <v>126</v>
      </c>
      <c r="K161" s="75">
        <f t="shared" si="15"/>
        <v>2.9668000941841299</v>
      </c>
      <c r="L161" s="75">
        <f>VLOOKUP($A161,'Data Vlaue (Cr)'!$C:$FB,67)</f>
        <v>2106</v>
      </c>
      <c r="M161" s="75">
        <f>VLOOKUP($A161,'Data Vlaue (Cr)'!$C:$FB,68)</f>
        <v>3815</v>
      </c>
      <c r="N161" s="75">
        <f t="shared" si="16"/>
        <v>-1709</v>
      </c>
      <c r="O161" s="75">
        <f t="shared" si="17"/>
        <v>-81.149097815764478</v>
      </c>
      <c r="P161" s="75">
        <f>VLOOKUP($A161,'Data Vlaue (Cr)'!$C:$FB,119)</f>
        <v>0.48</v>
      </c>
      <c r="Q161" s="75">
        <f>VLOOKUP($A161,'Data Vlaue (Cr)'!$C:$FB,122)*100</f>
        <v>-2.04</v>
      </c>
      <c r="R161" s="75">
        <f>VLOOKUP($A161,'Data Vlaue (Cr)'!$C:$FB,125)</f>
        <v>0.35</v>
      </c>
      <c r="S161" s="75">
        <f>VLOOKUP($A161,'Data Vlaue (Cr)'!$C:$FB,128)*100</f>
        <v>-32.690000000000005</v>
      </c>
    </row>
    <row r="162" spans="1:19" x14ac:dyDescent="0.25">
      <c r="A162" s="96" t="str">
        <f>'Data Vlaue (Cr)'!C153</f>
        <v>PERSISTENT</v>
      </c>
      <c r="B162" s="75">
        <f>VLOOKUP($A162,'Data Vlaue (Cr)'!$C:$FB,2)</f>
        <v>100</v>
      </c>
      <c r="C162" s="75">
        <f>VLOOKUP($A162,'Data Vlaue (Cr)'!$C:$FB,8)</f>
        <v>5724</v>
      </c>
      <c r="D162" s="75">
        <f>VLOOKUP($A162,'Data Vlaue (Cr)'!$C:$FB,4)</f>
        <v>5714</v>
      </c>
      <c r="E162" s="75">
        <f>VLOOKUP($A162,'Data Vlaue (Cr)'!$C:$FB,5)</f>
        <v>5870</v>
      </c>
      <c r="F162" s="75">
        <f t="shared" si="12"/>
        <v>-10</v>
      </c>
      <c r="G162" s="75">
        <f t="shared" si="13"/>
        <v>-2.7301365068253416</v>
      </c>
      <c r="H162" s="75">
        <f>VLOOKUP($A162,'Data Vlaue (Cr)'!$C:$FB,99)</f>
        <v>2908</v>
      </c>
      <c r="I162" s="75">
        <f>VLOOKUP($A162,'Data Vlaue (Cr)'!$C:$FB,100)</f>
        <v>2572</v>
      </c>
      <c r="J162" s="75">
        <f t="shared" si="14"/>
        <v>336</v>
      </c>
      <c r="K162" s="75">
        <f t="shared" si="15"/>
        <v>11.554332874828061</v>
      </c>
      <c r="L162" s="75">
        <f>VLOOKUP($A162,'Data Vlaue (Cr)'!$C:$FB,67)</f>
        <v>3922</v>
      </c>
      <c r="M162" s="75">
        <f>VLOOKUP($A162,'Data Vlaue (Cr)'!$C:$FB,68)</f>
        <v>1786</v>
      </c>
      <c r="N162" s="75">
        <f t="shared" si="16"/>
        <v>2136</v>
      </c>
      <c r="O162" s="75">
        <f t="shared" si="17"/>
        <v>54.462009178990314</v>
      </c>
      <c r="P162" s="75">
        <f>VLOOKUP($A162,'Data Vlaue (Cr)'!$C:$FB,119)</f>
        <v>0.51</v>
      </c>
      <c r="Q162" s="75">
        <f>VLOOKUP($A162,'Data Vlaue (Cr)'!$C:$FB,122)*100</f>
        <v>-7.2700000000000005</v>
      </c>
      <c r="R162" s="75">
        <f>VLOOKUP($A162,'Data Vlaue (Cr)'!$C:$FB,125)</f>
        <v>0.8</v>
      </c>
      <c r="S162" s="75">
        <f>VLOOKUP($A162,'Data Vlaue (Cr)'!$C:$FB,128)*100</f>
        <v>95.12</v>
      </c>
    </row>
    <row r="163" spans="1:19" x14ac:dyDescent="0.25">
      <c r="A163" s="96" t="str">
        <f>'Data Vlaue (Cr)'!C154</f>
        <v>PETRONET</v>
      </c>
      <c r="B163" s="75">
        <f>VLOOKUP($A163,'Data Vlaue (Cr)'!$C:$FB,2)</f>
        <v>1900</v>
      </c>
      <c r="C163" s="75">
        <f>VLOOKUP($A163,'Data Vlaue (Cr)'!$C:$FB,8)</f>
        <v>303.89999999999998</v>
      </c>
      <c r="D163" s="75">
        <f>VLOOKUP($A163,'Data Vlaue (Cr)'!$C:$FB,4)</f>
        <v>304.05</v>
      </c>
      <c r="E163" s="75">
        <f>VLOOKUP($A163,'Data Vlaue (Cr)'!$C:$FB,5)</f>
        <v>304.5</v>
      </c>
      <c r="F163" s="75">
        <f t="shared" si="12"/>
        <v>0.15000000000003411</v>
      </c>
      <c r="G163" s="75">
        <f t="shared" si="13"/>
        <v>-0.14800197335964105</v>
      </c>
      <c r="H163" s="75">
        <f>VLOOKUP($A163,'Data Vlaue (Cr)'!$C:$FB,99)</f>
        <v>2199</v>
      </c>
      <c r="I163" s="75">
        <f>VLOOKUP($A163,'Data Vlaue (Cr)'!$C:$FB,100)</f>
        <v>2160</v>
      </c>
      <c r="J163" s="75">
        <f t="shared" si="14"/>
        <v>39</v>
      </c>
      <c r="K163" s="75">
        <f t="shared" si="15"/>
        <v>1.7735334242837655</v>
      </c>
      <c r="L163" s="75">
        <f>VLOOKUP($A163,'Data Vlaue (Cr)'!$C:$FB,67)</f>
        <v>509</v>
      </c>
      <c r="M163" s="75">
        <f>VLOOKUP($A163,'Data Vlaue (Cr)'!$C:$FB,68)</f>
        <v>926</v>
      </c>
      <c r="N163" s="75">
        <f t="shared" si="16"/>
        <v>-417</v>
      </c>
      <c r="O163" s="75">
        <f t="shared" si="17"/>
        <v>-81.925343811394896</v>
      </c>
      <c r="P163" s="75">
        <f>VLOOKUP($A163,'Data Vlaue (Cr)'!$C:$FB,119)</f>
        <v>0.75</v>
      </c>
      <c r="Q163" s="75">
        <f>VLOOKUP($A163,'Data Vlaue (Cr)'!$C:$FB,122)*100</f>
        <v>-6.25</v>
      </c>
      <c r="R163" s="75">
        <f>VLOOKUP($A163,'Data Vlaue (Cr)'!$C:$FB,125)</f>
        <v>0.46</v>
      </c>
      <c r="S163" s="75">
        <f>VLOOKUP($A163,'Data Vlaue (Cr)'!$C:$FB,128)*100</f>
        <v>100</v>
      </c>
    </row>
    <row r="164" spans="1:19" x14ac:dyDescent="0.25">
      <c r="A164" s="96" t="str">
        <f>'Data Vlaue (Cr)'!C155</f>
        <v>PFC</v>
      </c>
      <c r="B164" s="75">
        <f>VLOOKUP($A164,'Data Vlaue (Cr)'!$C:$FB,2)</f>
        <v>1300</v>
      </c>
      <c r="C164" s="75">
        <f>VLOOKUP($A164,'Data Vlaue (Cr)'!$C:$FB,8)</f>
        <v>415.85</v>
      </c>
      <c r="D164" s="75">
        <f>VLOOKUP($A164,'Data Vlaue (Cr)'!$C:$FB,4)</f>
        <v>413.45</v>
      </c>
      <c r="E164" s="75">
        <f>VLOOKUP($A164,'Data Vlaue (Cr)'!$C:$FB,5)</f>
        <v>410.65</v>
      </c>
      <c r="F164" s="75">
        <f t="shared" si="12"/>
        <v>-2.4000000000000341</v>
      </c>
      <c r="G164" s="75">
        <f t="shared" si="13"/>
        <v>0.67722820171726006</v>
      </c>
      <c r="H164" s="75">
        <f>VLOOKUP($A164,'Data Vlaue (Cr)'!$C:$FB,99)</f>
        <v>5163</v>
      </c>
      <c r="I164" s="75">
        <f>VLOOKUP($A164,'Data Vlaue (Cr)'!$C:$FB,100)</f>
        <v>5146</v>
      </c>
      <c r="J164" s="75">
        <f t="shared" si="14"/>
        <v>17</v>
      </c>
      <c r="K164" s="75">
        <f t="shared" si="15"/>
        <v>0.32926593066046872</v>
      </c>
      <c r="L164" s="75">
        <f>VLOOKUP($A164,'Data Vlaue (Cr)'!$C:$FB,67)</f>
        <v>2034</v>
      </c>
      <c r="M164" s="75">
        <f>VLOOKUP($A164,'Data Vlaue (Cr)'!$C:$FB,68)</f>
        <v>3166</v>
      </c>
      <c r="N164" s="75">
        <f t="shared" si="16"/>
        <v>-1132</v>
      </c>
      <c r="O164" s="75">
        <f t="shared" si="17"/>
        <v>-55.653883972468044</v>
      </c>
      <c r="P164" s="75">
        <f>VLOOKUP($A164,'Data Vlaue (Cr)'!$C:$FB,119)</f>
        <v>0.69</v>
      </c>
      <c r="Q164" s="75">
        <f>VLOOKUP($A164,'Data Vlaue (Cr)'!$C:$FB,122)*100</f>
        <v>-2.82</v>
      </c>
      <c r="R164" s="75">
        <f>VLOOKUP($A164,'Data Vlaue (Cr)'!$C:$FB,125)</f>
        <v>0.5</v>
      </c>
      <c r="S164" s="75">
        <f>VLOOKUP($A164,'Data Vlaue (Cr)'!$C:$FB,128)*100</f>
        <v>-1.96</v>
      </c>
    </row>
    <row r="165" spans="1:19" x14ac:dyDescent="0.25">
      <c r="A165" s="96" t="str">
        <f>'Data Vlaue (Cr)'!C156</f>
        <v>PGEL</v>
      </c>
      <c r="B165" s="75">
        <f>VLOOKUP($A165,'Data Vlaue (Cr)'!$C:$FB,2)</f>
        <v>950</v>
      </c>
      <c r="C165" s="75">
        <f>VLOOKUP($A165,'Data Vlaue (Cr)'!$C:$FB,8)</f>
        <v>617.75</v>
      </c>
      <c r="D165" s="75">
        <f>VLOOKUP($A165,'Data Vlaue (Cr)'!$C:$FB,4)</f>
        <v>618.15</v>
      </c>
      <c r="E165" s="75">
        <f>VLOOKUP($A165,'Data Vlaue (Cr)'!$C:$FB,5)</f>
        <v>604.25</v>
      </c>
      <c r="F165" s="75">
        <f t="shared" si="12"/>
        <v>0.39999999999997726</v>
      </c>
      <c r="G165" s="75">
        <f t="shared" si="13"/>
        <v>2.2486451508533492</v>
      </c>
      <c r="H165" s="75">
        <f>VLOOKUP($A165,'Data Vlaue (Cr)'!$C:$FB,99)</f>
        <v>1456</v>
      </c>
      <c r="I165" s="75">
        <f>VLOOKUP($A165,'Data Vlaue (Cr)'!$C:$FB,100)</f>
        <v>1539</v>
      </c>
      <c r="J165" s="75">
        <f t="shared" si="14"/>
        <v>-83</v>
      </c>
      <c r="K165" s="75">
        <f t="shared" si="15"/>
        <v>-5.7005494505494507</v>
      </c>
      <c r="L165" s="75">
        <f>VLOOKUP($A165,'Data Vlaue (Cr)'!$C:$FB,67)</f>
        <v>2095</v>
      </c>
      <c r="M165" s="75">
        <f>VLOOKUP($A165,'Data Vlaue (Cr)'!$C:$FB,68)</f>
        <v>2852</v>
      </c>
      <c r="N165" s="75">
        <f t="shared" si="16"/>
        <v>-757</v>
      </c>
      <c r="O165" s="75">
        <f t="shared" si="17"/>
        <v>-36.133651551312653</v>
      </c>
      <c r="P165" s="75">
        <f>VLOOKUP($A165,'Data Vlaue (Cr)'!$C:$FB,119)</f>
        <v>0.84</v>
      </c>
      <c r="Q165" s="75">
        <f>VLOOKUP($A165,'Data Vlaue (Cr)'!$C:$FB,122)*100</f>
        <v>13.51</v>
      </c>
      <c r="R165" s="75">
        <f>VLOOKUP($A165,'Data Vlaue (Cr)'!$C:$FB,125)</f>
        <v>0.41</v>
      </c>
      <c r="S165" s="75">
        <f>VLOOKUP($A165,'Data Vlaue (Cr)'!$C:$FB,128)*100</f>
        <v>28.12</v>
      </c>
    </row>
    <row r="166" spans="1:19" x14ac:dyDescent="0.25">
      <c r="A166" s="96" t="str">
        <f>'Data Vlaue (Cr)'!C157</f>
        <v>PHOENIXLTD</v>
      </c>
      <c r="B166" s="75">
        <f>VLOOKUP($A166,'Data Vlaue (Cr)'!$C:$FB,2)</f>
        <v>350</v>
      </c>
      <c r="C166" s="75">
        <f>VLOOKUP($A166,'Data Vlaue (Cr)'!$C:$FB,8)</f>
        <v>1784</v>
      </c>
      <c r="D166" s="75">
        <f>VLOOKUP($A166,'Data Vlaue (Cr)'!$C:$FB,4)</f>
        <v>1787.6</v>
      </c>
      <c r="E166" s="75">
        <f>VLOOKUP($A166,'Data Vlaue (Cr)'!$C:$FB,5)</f>
        <v>1764.6</v>
      </c>
      <c r="F166" s="75">
        <f t="shared" si="12"/>
        <v>3.5999999999999091</v>
      </c>
      <c r="G166" s="75">
        <f t="shared" si="13"/>
        <v>1.2866413067800402</v>
      </c>
      <c r="H166" s="75">
        <f>VLOOKUP($A166,'Data Vlaue (Cr)'!$C:$FB,99)</f>
        <v>1278</v>
      </c>
      <c r="I166" s="75">
        <f>VLOOKUP($A166,'Data Vlaue (Cr)'!$C:$FB,100)</f>
        <v>1198</v>
      </c>
      <c r="J166" s="75">
        <f t="shared" si="14"/>
        <v>80</v>
      </c>
      <c r="K166" s="75">
        <f t="shared" si="15"/>
        <v>6.2597809076682314</v>
      </c>
      <c r="L166" s="75">
        <f>VLOOKUP($A166,'Data Vlaue (Cr)'!$C:$FB,67)</f>
        <v>1149</v>
      </c>
      <c r="M166" s="75">
        <f>VLOOKUP($A166,'Data Vlaue (Cr)'!$C:$FB,68)</f>
        <v>421</v>
      </c>
      <c r="N166" s="75">
        <f t="shared" si="16"/>
        <v>728</v>
      </c>
      <c r="O166" s="75">
        <f t="shared" si="17"/>
        <v>63.359442993907741</v>
      </c>
      <c r="P166" s="75">
        <f>VLOOKUP($A166,'Data Vlaue (Cr)'!$C:$FB,119)</f>
        <v>0.72</v>
      </c>
      <c r="Q166" s="75">
        <f>VLOOKUP($A166,'Data Vlaue (Cr)'!$C:$FB,122)*100</f>
        <v>26.32</v>
      </c>
      <c r="R166" s="75">
        <f>VLOOKUP($A166,'Data Vlaue (Cr)'!$C:$FB,125)</f>
        <v>0.55000000000000004</v>
      </c>
      <c r="S166" s="75">
        <f>VLOOKUP($A166,'Data Vlaue (Cr)'!$C:$FB,128)*100</f>
        <v>25</v>
      </c>
    </row>
    <row r="167" spans="1:19" x14ac:dyDescent="0.25">
      <c r="A167" s="96" t="str">
        <f>'Data Vlaue (Cr)'!C158</f>
        <v>PIDILITIND</v>
      </c>
      <c r="B167" s="75">
        <f>VLOOKUP($A167,'Data Vlaue (Cr)'!$C:$FB,2)</f>
        <v>500</v>
      </c>
      <c r="C167" s="75">
        <f>VLOOKUP($A167,'Data Vlaue (Cr)'!$C:$FB,8)</f>
        <v>1480.1</v>
      </c>
      <c r="D167" s="75">
        <f>VLOOKUP($A167,'Data Vlaue (Cr)'!$C:$FB,4)</f>
        <v>1480.5</v>
      </c>
      <c r="E167" s="75">
        <f>VLOOKUP($A167,'Data Vlaue (Cr)'!$C:$FB,5)</f>
        <v>1479.8</v>
      </c>
      <c r="F167" s="75">
        <f t="shared" si="12"/>
        <v>0.40000000000009095</v>
      </c>
      <c r="G167" s="75">
        <f t="shared" si="13"/>
        <v>4.7281323877071631E-2</v>
      </c>
      <c r="H167" s="75">
        <f>VLOOKUP($A167,'Data Vlaue (Cr)'!$C:$FB,99)</f>
        <v>1759</v>
      </c>
      <c r="I167" s="75">
        <f>VLOOKUP($A167,'Data Vlaue (Cr)'!$C:$FB,100)</f>
        <v>1790</v>
      </c>
      <c r="J167" s="75">
        <f t="shared" si="14"/>
        <v>-31</v>
      </c>
      <c r="K167" s="75">
        <f t="shared" si="15"/>
        <v>-1.7623649801023309</v>
      </c>
      <c r="L167" s="75">
        <f>VLOOKUP($A167,'Data Vlaue (Cr)'!$C:$FB,67)</f>
        <v>505</v>
      </c>
      <c r="M167" s="75">
        <f>VLOOKUP($A167,'Data Vlaue (Cr)'!$C:$FB,68)</f>
        <v>428</v>
      </c>
      <c r="N167" s="75">
        <f t="shared" si="16"/>
        <v>77</v>
      </c>
      <c r="O167" s="75">
        <f t="shared" si="17"/>
        <v>15.247524752475247</v>
      </c>
      <c r="P167" s="75">
        <f>VLOOKUP($A167,'Data Vlaue (Cr)'!$C:$FB,119)</f>
        <v>0.76</v>
      </c>
      <c r="Q167" s="75">
        <f>VLOOKUP($A167,'Data Vlaue (Cr)'!$C:$FB,122)*100</f>
        <v>-5</v>
      </c>
      <c r="R167" s="75">
        <f>VLOOKUP($A167,'Data Vlaue (Cr)'!$C:$FB,125)</f>
        <v>0.42</v>
      </c>
      <c r="S167" s="75">
        <f>VLOOKUP($A167,'Data Vlaue (Cr)'!$C:$FB,128)*100</f>
        <v>-31.15</v>
      </c>
    </row>
    <row r="168" spans="1:19" x14ac:dyDescent="0.25">
      <c r="A168" s="96" t="str">
        <f>'Data Vlaue (Cr)'!C159</f>
        <v>PIIND</v>
      </c>
      <c r="B168" s="75">
        <f>VLOOKUP($A168,'Data Vlaue (Cr)'!$C:$FB,2)</f>
        <v>175</v>
      </c>
      <c r="C168" s="75">
        <f>VLOOKUP($A168,'Data Vlaue (Cr)'!$C:$FB,8)</f>
        <v>3281.1</v>
      </c>
      <c r="D168" s="75">
        <f>VLOOKUP($A168,'Data Vlaue (Cr)'!$C:$FB,4)</f>
        <v>3276.4</v>
      </c>
      <c r="E168" s="75">
        <f>VLOOKUP($A168,'Data Vlaue (Cr)'!$C:$FB,5)</f>
        <v>3158.9</v>
      </c>
      <c r="F168" s="75">
        <f t="shared" si="12"/>
        <v>-4.6999999999998181</v>
      </c>
      <c r="G168" s="75">
        <f t="shared" si="13"/>
        <v>3.5862532047369062</v>
      </c>
      <c r="H168" s="75">
        <f>VLOOKUP($A168,'Data Vlaue (Cr)'!$C:$FB,99)</f>
        <v>2202</v>
      </c>
      <c r="I168" s="75">
        <f>VLOOKUP($A168,'Data Vlaue (Cr)'!$C:$FB,100)</f>
        <v>1676</v>
      </c>
      <c r="J168" s="75">
        <f t="shared" si="14"/>
        <v>526</v>
      </c>
      <c r="K168" s="75">
        <f t="shared" si="15"/>
        <v>23.887375113533153</v>
      </c>
      <c r="L168" s="75">
        <f>VLOOKUP($A168,'Data Vlaue (Cr)'!$C:$FB,67)</f>
        <v>3495</v>
      </c>
      <c r="M168" s="75">
        <f>VLOOKUP($A168,'Data Vlaue (Cr)'!$C:$FB,68)</f>
        <v>941</v>
      </c>
      <c r="N168" s="75">
        <f t="shared" si="16"/>
        <v>2554</v>
      </c>
      <c r="O168" s="75">
        <f t="shared" si="17"/>
        <v>73.075822603719601</v>
      </c>
      <c r="P168" s="75">
        <f>VLOOKUP($A168,'Data Vlaue (Cr)'!$C:$FB,119)</f>
        <v>1.57</v>
      </c>
      <c r="Q168" s="75">
        <f>VLOOKUP($A168,'Data Vlaue (Cr)'!$C:$FB,122)*100</f>
        <v>46.73</v>
      </c>
      <c r="R168" s="75">
        <f>VLOOKUP($A168,'Data Vlaue (Cr)'!$C:$FB,125)</f>
        <v>0.65</v>
      </c>
      <c r="S168" s="75">
        <f>VLOOKUP($A168,'Data Vlaue (Cr)'!$C:$FB,128)*100</f>
        <v>-20.73</v>
      </c>
    </row>
    <row r="169" spans="1:19" x14ac:dyDescent="0.25">
      <c r="A169" s="96" t="str">
        <f>'Data Vlaue (Cr)'!C160</f>
        <v>PNB</v>
      </c>
      <c r="B169" s="75">
        <f>VLOOKUP($A169,'Data Vlaue (Cr)'!$C:$FB,2)</f>
        <v>8000</v>
      </c>
      <c r="C169" s="75">
        <f>VLOOKUP($A169,'Data Vlaue (Cr)'!$C:$FB,8)</f>
        <v>122.91</v>
      </c>
      <c r="D169" s="75">
        <f>VLOOKUP($A169,'Data Vlaue (Cr)'!$C:$FB,4)</f>
        <v>123.27</v>
      </c>
      <c r="E169" s="75">
        <f>VLOOKUP($A169,'Data Vlaue (Cr)'!$C:$FB,5)</f>
        <v>123.37</v>
      </c>
      <c r="F169" s="75">
        <f t="shared" si="12"/>
        <v>0.35999999999999943</v>
      </c>
      <c r="G169" s="75">
        <f t="shared" si="13"/>
        <v>-8.1122738703665556E-2</v>
      </c>
      <c r="H169" s="75">
        <f>VLOOKUP($A169,'Data Vlaue (Cr)'!$C:$FB,99)</f>
        <v>5560</v>
      </c>
      <c r="I169" s="75">
        <f>VLOOKUP($A169,'Data Vlaue (Cr)'!$C:$FB,100)</f>
        <v>5511</v>
      </c>
      <c r="J169" s="75">
        <f t="shared" si="14"/>
        <v>49</v>
      </c>
      <c r="K169" s="75">
        <f t="shared" si="15"/>
        <v>0.88129496402877694</v>
      </c>
      <c r="L169" s="75">
        <f>VLOOKUP($A169,'Data Vlaue (Cr)'!$C:$FB,67)</f>
        <v>3194</v>
      </c>
      <c r="M169" s="75">
        <f>VLOOKUP($A169,'Data Vlaue (Cr)'!$C:$FB,68)</f>
        <v>1396</v>
      </c>
      <c r="N169" s="75">
        <f t="shared" si="16"/>
        <v>1798</v>
      </c>
      <c r="O169" s="75">
        <f t="shared" si="17"/>
        <v>56.293049467752034</v>
      </c>
      <c r="P169" s="75">
        <f>VLOOKUP($A169,'Data Vlaue (Cr)'!$C:$FB,119)</f>
        <v>0.59</v>
      </c>
      <c r="Q169" s="75">
        <f>VLOOKUP($A169,'Data Vlaue (Cr)'!$C:$FB,122)*100</f>
        <v>3.51</v>
      </c>
      <c r="R169" s="75">
        <f>VLOOKUP($A169,'Data Vlaue (Cr)'!$C:$FB,125)</f>
        <v>0.47</v>
      </c>
      <c r="S169" s="75">
        <f>VLOOKUP($A169,'Data Vlaue (Cr)'!$C:$FB,128)*100</f>
        <v>11.899999999999999</v>
      </c>
    </row>
    <row r="170" spans="1:19" x14ac:dyDescent="0.25">
      <c r="A170" s="96" t="str">
        <f>'Data Vlaue (Cr)'!C161</f>
        <v>PNBHOUSING</v>
      </c>
      <c r="B170" s="75">
        <f>VLOOKUP($A170,'Data Vlaue (Cr)'!$C:$FB,2)</f>
        <v>650</v>
      </c>
      <c r="C170" s="75">
        <f>VLOOKUP($A170,'Data Vlaue (Cr)'!$C:$FB,8)</f>
        <v>854.9</v>
      </c>
      <c r="D170" s="75">
        <f>VLOOKUP($A170,'Data Vlaue (Cr)'!$C:$FB,4)</f>
        <v>855.1</v>
      </c>
      <c r="E170" s="75">
        <f>VLOOKUP($A170,'Data Vlaue (Cr)'!$C:$FB,5)</f>
        <v>855.5</v>
      </c>
      <c r="F170" s="75">
        <f t="shared" si="12"/>
        <v>0.20000000000004547</v>
      </c>
      <c r="G170" s="75">
        <f t="shared" si="13"/>
        <v>-4.6778154601798301E-2</v>
      </c>
      <c r="H170" s="75">
        <f>VLOOKUP($A170,'Data Vlaue (Cr)'!$C:$FB,99)</f>
        <v>1667</v>
      </c>
      <c r="I170" s="75">
        <f>VLOOKUP($A170,'Data Vlaue (Cr)'!$C:$FB,100)</f>
        <v>1680</v>
      </c>
      <c r="J170" s="75">
        <f t="shared" si="14"/>
        <v>-13</v>
      </c>
      <c r="K170" s="75">
        <f t="shared" si="15"/>
        <v>-0.77984403119376122</v>
      </c>
      <c r="L170" s="75">
        <f>VLOOKUP($A170,'Data Vlaue (Cr)'!$C:$FB,67)</f>
        <v>252</v>
      </c>
      <c r="M170" s="75">
        <f>VLOOKUP($A170,'Data Vlaue (Cr)'!$C:$FB,68)</f>
        <v>548</v>
      </c>
      <c r="N170" s="75">
        <f t="shared" si="16"/>
        <v>-296</v>
      </c>
      <c r="O170" s="75">
        <f t="shared" si="17"/>
        <v>-117.46031746031747</v>
      </c>
      <c r="P170" s="75">
        <f>VLOOKUP($A170,'Data Vlaue (Cr)'!$C:$FB,119)</f>
        <v>0.9</v>
      </c>
      <c r="Q170" s="75">
        <f>VLOOKUP($A170,'Data Vlaue (Cr)'!$C:$FB,122)*100</f>
        <v>0</v>
      </c>
      <c r="R170" s="75">
        <f>VLOOKUP($A170,'Data Vlaue (Cr)'!$C:$FB,125)</f>
        <v>0.27</v>
      </c>
      <c r="S170" s="75">
        <f>VLOOKUP($A170,'Data Vlaue (Cr)'!$C:$FB,128)*100</f>
        <v>-20.59</v>
      </c>
    </row>
    <row r="171" spans="1:19" x14ac:dyDescent="0.25">
      <c r="A171" s="96" t="str">
        <f>'Data Vlaue (Cr)'!C162</f>
        <v>POLICYBZR</v>
      </c>
      <c r="B171" s="75">
        <f>VLOOKUP($A171,'Data Vlaue (Cr)'!$C:$FB,2)</f>
        <v>350</v>
      </c>
      <c r="C171" s="75">
        <f>VLOOKUP($A171,'Data Vlaue (Cr)'!$C:$FB,8)</f>
        <v>1554.6</v>
      </c>
      <c r="D171" s="75">
        <f>VLOOKUP($A171,'Data Vlaue (Cr)'!$C:$FB,4)</f>
        <v>1556.1</v>
      </c>
      <c r="E171" s="75">
        <f>VLOOKUP($A171,'Data Vlaue (Cr)'!$C:$FB,5)</f>
        <v>1513.2</v>
      </c>
      <c r="F171" s="75">
        <f t="shared" si="12"/>
        <v>1.5</v>
      </c>
      <c r="G171" s="75">
        <f t="shared" si="13"/>
        <v>2.7568922305764327</v>
      </c>
      <c r="H171" s="75">
        <f>VLOOKUP($A171,'Data Vlaue (Cr)'!$C:$FB,99)</f>
        <v>2521</v>
      </c>
      <c r="I171" s="75">
        <f>VLOOKUP($A171,'Data Vlaue (Cr)'!$C:$FB,100)</f>
        <v>2603</v>
      </c>
      <c r="J171" s="75">
        <f t="shared" si="14"/>
        <v>-82</v>
      </c>
      <c r="K171" s="75">
        <f t="shared" si="15"/>
        <v>-3.2526775089250295</v>
      </c>
      <c r="L171" s="75">
        <f>VLOOKUP($A171,'Data Vlaue (Cr)'!$C:$FB,67)</f>
        <v>1546</v>
      </c>
      <c r="M171" s="75">
        <f>VLOOKUP($A171,'Data Vlaue (Cr)'!$C:$FB,68)</f>
        <v>4065</v>
      </c>
      <c r="N171" s="75">
        <f t="shared" si="16"/>
        <v>-2519</v>
      </c>
      <c r="O171" s="75">
        <f t="shared" si="17"/>
        <v>-162.93661060802069</v>
      </c>
      <c r="P171" s="75">
        <f>VLOOKUP($A171,'Data Vlaue (Cr)'!$C:$FB,119)</f>
        <v>0.76</v>
      </c>
      <c r="Q171" s="75">
        <f>VLOOKUP($A171,'Data Vlaue (Cr)'!$C:$FB,122)*100</f>
        <v>8.57</v>
      </c>
      <c r="R171" s="75">
        <f>VLOOKUP($A171,'Data Vlaue (Cr)'!$C:$FB,125)</f>
        <v>0.42</v>
      </c>
      <c r="S171" s="75">
        <f>VLOOKUP($A171,'Data Vlaue (Cr)'!$C:$FB,128)*100</f>
        <v>-33.33</v>
      </c>
    </row>
    <row r="172" spans="1:19" x14ac:dyDescent="0.25">
      <c r="A172" s="96" t="str">
        <f>'Data Vlaue (Cr)'!C163</f>
        <v>POLYCAB</v>
      </c>
      <c r="B172" s="75">
        <f>VLOOKUP($A172,'Data Vlaue (Cr)'!$C:$FB,2)</f>
        <v>125</v>
      </c>
      <c r="C172" s="75">
        <f>VLOOKUP($A172,'Data Vlaue (Cr)'!$C:$FB,8)</f>
        <v>7814</v>
      </c>
      <c r="D172" s="75">
        <f>VLOOKUP($A172,'Data Vlaue (Cr)'!$C:$FB,4)</f>
        <v>7820</v>
      </c>
      <c r="E172" s="75">
        <f>VLOOKUP($A172,'Data Vlaue (Cr)'!$C:$FB,5)</f>
        <v>7769.5</v>
      </c>
      <c r="F172" s="75">
        <f t="shared" si="12"/>
        <v>6</v>
      </c>
      <c r="G172" s="75">
        <f t="shared" si="13"/>
        <v>0.6457800511508951</v>
      </c>
      <c r="H172" s="75">
        <f>VLOOKUP($A172,'Data Vlaue (Cr)'!$C:$FB,99)</f>
        <v>3838</v>
      </c>
      <c r="I172" s="75">
        <f>VLOOKUP($A172,'Data Vlaue (Cr)'!$C:$FB,100)</f>
        <v>3819</v>
      </c>
      <c r="J172" s="75">
        <f t="shared" si="14"/>
        <v>19</v>
      </c>
      <c r="K172" s="75">
        <f t="shared" si="15"/>
        <v>0.49504950495049505</v>
      </c>
      <c r="L172" s="75">
        <f>VLOOKUP($A172,'Data Vlaue (Cr)'!$C:$FB,67)</f>
        <v>1385</v>
      </c>
      <c r="M172" s="75">
        <f>VLOOKUP($A172,'Data Vlaue (Cr)'!$C:$FB,68)</f>
        <v>1509</v>
      </c>
      <c r="N172" s="75">
        <f t="shared" si="16"/>
        <v>-124</v>
      </c>
      <c r="O172" s="75">
        <f t="shared" si="17"/>
        <v>-8.9530685920577611</v>
      </c>
      <c r="P172" s="75">
        <f>VLOOKUP($A172,'Data Vlaue (Cr)'!$C:$FB,119)</f>
        <v>0.75</v>
      </c>
      <c r="Q172" s="75">
        <f>VLOOKUP($A172,'Data Vlaue (Cr)'!$C:$FB,122)*100</f>
        <v>5.63</v>
      </c>
      <c r="R172" s="75">
        <f>VLOOKUP($A172,'Data Vlaue (Cr)'!$C:$FB,125)</f>
        <v>0.71</v>
      </c>
      <c r="S172" s="75">
        <f>VLOOKUP($A172,'Data Vlaue (Cr)'!$C:$FB,128)*100</f>
        <v>-5.33</v>
      </c>
    </row>
    <row r="173" spans="1:19" x14ac:dyDescent="0.25">
      <c r="A173" s="96" t="str">
        <f>'Data Vlaue (Cr)'!C164</f>
        <v>POWERGRID</v>
      </c>
      <c r="B173" s="75">
        <f>VLOOKUP($A173,'Data Vlaue (Cr)'!$C:$FB,2)</f>
        <v>1900</v>
      </c>
      <c r="C173" s="75">
        <f>VLOOKUP($A173,'Data Vlaue (Cr)'!$C:$FB,8)</f>
        <v>294.45</v>
      </c>
      <c r="D173" s="75">
        <f>VLOOKUP($A173,'Data Vlaue (Cr)'!$C:$FB,4)</f>
        <v>294.55</v>
      </c>
      <c r="E173" s="75">
        <f>VLOOKUP($A173,'Data Vlaue (Cr)'!$C:$FB,5)</f>
        <v>294.39999999999998</v>
      </c>
      <c r="F173" s="75">
        <f t="shared" si="12"/>
        <v>0.10000000000002274</v>
      </c>
      <c r="G173" s="75">
        <f t="shared" si="13"/>
        <v>5.0925140044146694E-2</v>
      </c>
      <c r="H173" s="75">
        <f>VLOOKUP($A173,'Data Vlaue (Cr)'!$C:$FB,99)</f>
        <v>5696</v>
      </c>
      <c r="I173" s="75">
        <f>VLOOKUP($A173,'Data Vlaue (Cr)'!$C:$FB,100)</f>
        <v>5734</v>
      </c>
      <c r="J173" s="75">
        <f t="shared" si="14"/>
        <v>-38</v>
      </c>
      <c r="K173" s="75">
        <f t="shared" si="15"/>
        <v>-0.66713483146067409</v>
      </c>
      <c r="L173" s="75">
        <f>VLOOKUP($A173,'Data Vlaue (Cr)'!$C:$FB,67)</f>
        <v>2431</v>
      </c>
      <c r="M173" s="75">
        <f>VLOOKUP($A173,'Data Vlaue (Cr)'!$C:$FB,68)</f>
        <v>3426</v>
      </c>
      <c r="N173" s="75">
        <f t="shared" si="16"/>
        <v>-995</v>
      </c>
      <c r="O173" s="75">
        <f t="shared" si="17"/>
        <v>-40.929658576717401</v>
      </c>
      <c r="P173" s="75">
        <f>VLOOKUP($A173,'Data Vlaue (Cr)'!$C:$FB,119)</f>
        <v>0.61</v>
      </c>
      <c r="Q173" s="75">
        <f>VLOOKUP($A173,'Data Vlaue (Cr)'!$C:$FB,122)*100</f>
        <v>0</v>
      </c>
      <c r="R173" s="75">
        <f>VLOOKUP($A173,'Data Vlaue (Cr)'!$C:$FB,125)</f>
        <v>0.45</v>
      </c>
      <c r="S173" s="75">
        <f>VLOOKUP($A173,'Data Vlaue (Cr)'!$C:$FB,128)*100</f>
        <v>7.1400000000000006</v>
      </c>
    </row>
    <row r="174" spans="1:19" x14ac:dyDescent="0.25">
      <c r="A174" s="96" t="str">
        <f>'Data Vlaue (Cr)'!C165</f>
        <v>POWERINDIA</v>
      </c>
      <c r="B174" s="75">
        <f>VLOOKUP($A174,'Data Vlaue (Cr)'!$C:$FB,2)</f>
        <v>50</v>
      </c>
      <c r="C174" s="75">
        <f>VLOOKUP($A174,'Data Vlaue (Cr)'!$C:$FB,8)</f>
        <v>22731</v>
      </c>
      <c r="D174" s="75">
        <f>VLOOKUP($A174,'Data Vlaue (Cr)'!$C:$FB,4)</f>
        <v>22762</v>
      </c>
      <c r="E174" s="75">
        <f>VLOOKUP($A174,'Data Vlaue (Cr)'!$C:$FB,5)</f>
        <v>22539</v>
      </c>
      <c r="F174" s="75">
        <f t="shared" si="12"/>
        <v>31</v>
      </c>
      <c r="G174" s="75">
        <f t="shared" si="13"/>
        <v>0.97970301379492131</v>
      </c>
      <c r="H174" s="75">
        <f>VLOOKUP($A174,'Data Vlaue (Cr)'!$C:$FB,99)</f>
        <v>2217</v>
      </c>
      <c r="I174" s="75">
        <f>VLOOKUP($A174,'Data Vlaue (Cr)'!$C:$FB,100)</f>
        <v>2249</v>
      </c>
      <c r="J174" s="75">
        <f t="shared" si="14"/>
        <v>-32</v>
      </c>
      <c r="K174" s="75">
        <f t="shared" si="15"/>
        <v>-1.4433919711321606</v>
      </c>
      <c r="L174" s="75">
        <f>VLOOKUP($A174,'Data Vlaue (Cr)'!$C:$FB,67)</f>
        <v>1374</v>
      </c>
      <c r="M174" s="75">
        <f>VLOOKUP($A174,'Data Vlaue (Cr)'!$C:$FB,68)</f>
        <v>1686</v>
      </c>
      <c r="N174" s="75">
        <f t="shared" si="16"/>
        <v>-312</v>
      </c>
      <c r="O174" s="75">
        <f t="shared" si="17"/>
        <v>-22.707423580786028</v>
      </c>
      <c r="P174" s="75">
        <f>VLOOKUP($A174,'Data Vlaue (Cr)'!$C:$FB,119)</f>
        <v>1.23</v>
      </c>
      <c r="Q174" s="75">
        <f>VLOOKUP($A174,'Data Vlaue (Cr)'!$C:$FB,122)*100</f>
        <v>0.82000000000000006</v>
      </c>
      <c r="R174" s="75">
        <f>VLOOKUP($A174,'Data Vlaue (Cr)'!$C:$FB,125)</f>
        <v>0.63</v>
      </c>
      <c r="S174" s="75">
        <f>VLOOKUP($A174,'Data Vlaue (Cr)'!$C:$FB,128)*100</f>
        <v>-46.61</v>
      </c>
    </row>
    <row r="175" spans="1:19" x14ac:dyDescent="0.25">
      <c r="A175" s="96" t="str">
        <f>'Data Vlaue (Cr)'!C166</f>
        <v>PPLPHARMA</v>
      </c>
      <c r="B175" s="75">
        <f>VLOOKUP($A175,'Data Vlaue (Cr)'!$C:$FB,2)</f>
        <v>2625</v>
      </c>
      <c r="C175" s="75">
        <f>VLOOKUP($A175,'Data Vlaue (Cr)'!$C:$FB,8)</f>
        <v>164.36</v>
      </c>
      <c r="D175" s="75">
        <f>VLOOKUP($A175,'Data Vlaue (Cr)'!$C:$FB,4)</f>
        <v>163.9</v>
      </c>
      <c r="E175" s="75">
        <f>VLOOKUP($A175,'Data Vlaue (Cr)'!$C:$FB,5)</f>
        <v>163.21</v>
      </c>
      <c r="F175" s="75">
        <f t="shared" si="12"/>
        <v>-0.46000000000000796</v>
      </c>
      <c r="G175" s="75">
        <f t="shared" si="13"/>
        <v>0.42098840756558736</v>
      </c>
      <c r="H175" s="75">
        <f>VLOOKUP($A175,'Data Vlaue (Cr)'!$C:$FB,99)</f>
        <v>690</v>
      </c>
      <c r="I175" s="75">
        <f>VLOOKUP($A175,'Data Vlaue (Cr)'!$C:$FB,100)</f>
        <v>681</v>
      </c>
      <c r="J175" s="75">
        <f t="shared" si="14"/>
        <v>9</v>
      </c>
      <c r="K175" s="75">
        <f t="shared" si="15"/>
        <v>1.3043478260869565</v>
      </c>
      <c r="L175" s="75">
        <f>VLOOKUP($A175,'Data Vlaue (Cr)'!$C:$FB,67)</f>
        <v>162</v>
      </c>
      <c r="M175" s="75">
        <f>VLOOKUP($A175,'Data Vlaue (Cr)'!$C:$FB,68)</f>
        <v>383</v>
      </c>
      <c r="N175" s="75">
        <f t="shared" si="16"/>
        <v>-221</v>
      </c>
      <c r="O175" s="75">
        <f t="shared" si="17"/>
        <v>-136.41975308641975</v>
      </c>
      <c r="P175" s="75">
        <f>VLOOKUP($A175,'Data Vlaue (Cr)'!$C:$FB,119)</f>
        <v>0.63</v>
      </c>
      <c r="Q175" s="75">
        <f>VLOOKUP($A175,'Data Vlaue (Cr)'!$C:$FB,122)*100</f>
        <v>-3.08</v>
      </c>
      <c r="R175" s="75">
        <f>VLOOKUP($A175,'Data Vlaue (Cr)'!$C:$FB,125)</f>
        <v>0.28000000000000003</v>
      </c>
      <c r="S175" s="75">
        <f>VLOOKUP($A175,'Data Vlaue (Cr)'!$C:$FB,128)*100</f>
        <v>-17.649999999999999</v>
      </c>
    </row>
    <row r="176" spans="1:19" x14ac:dyDescent="0.25">
      <c r="A176" s="96" t="str">
        <f>'Data Vlaue (Cr)'!C167</f>
        <v>PREMIERENE</v>
      </c>
      <c r="B176" s="75">
        <f>VLOOKUP($A176,'Data Vlaue (Cr)'!$C:$FB,2)</f>
        <v>575</v>
      </c>
      <c r="C176" s="75">
        <f>VLOOKUP($A176,'Data Vlaue (Cr)'!$C:$FB,8)</f>
        <v>780.65</v>
      </c>
      <c r="D176" s="75">
        <f>VLOOKUP($A176,'Data Vlaue (Cr)'!$C:$FB,4)</f>
        <v>780.3</v>
      </c>
      <c r="E176" s="75">
        <f>VLOOKUP($A176,'Data Vlaue (Cr)'!$C:$FB,5)</f>
        <v>825.4</v>
      </c>
      <c r="F176" s="75">
        <f t="shared" si="12"/>
        <v>-0.35000000000002274</v>
      </c>
      <c r="G176" s="75">
        <f t="shared" si="13"/>
        <v>-5.7798282711777551</v>
      </c>
      <c r="H176" s="75">
        <f>VLOOKUP($A176,'Data Vlaue (Cr)'!$C:$FB,99)</f>
        <v>932</v>
      </c>
      <c r="I176" s="75">
        <f>VLOOKUP($A176,'Data Vlaue (Cr)'!$C:$FB,100)</f>
        <v>863</v>
      </c>
      <c r="J176" s="75">
        <f t="shared" si="14"/>
        <v>69</v>
      </c>
      <c r="K176" s="75">
        <f t="shared" si="15"/>
        <v>7.4034334763948495</v>
      </c>
      <c r="L176" s="75">
        <f>VLOOKUP($A176,'Data Vlaue (Cr)'!$C:$FB,67)</f>
        <v>1693</v>
      </c>
      <c r="M176" s="75">
        <f>VLOOKUP($A176,'Data Vlaue (Cr)'!$C:$FB,68)</f>
        <v>924</v>
      </c>
      <c r="N176" s="75">
        <f t="shared" si="16"/>
        <v>769</v>
      </c>
      <c r="O176" s="75">
        <f t="shared" si="17"/>
        <v>45.422327229769635</v>
      </c>
      <c r="P176" s="75">
        <f>VLOOKUP($A176,'Data Vlaue (Cr)'!$C:$FB,119)</f>
        <v>0.46</v>
      </c>
      <c r="Q176" s="75">
        <f>VLOOKUP($A176,'Data Vlaue (Cr)'!$C:$FB,122)*100</f>
        <v>-2.13</v>
      </c>
      <c r="R176" s="75">
        <f>VLOOKUP($A176,'Data Vlaue (Cr)'!$C:$FB,125)</f>
        <v>0.59</v>
      </c>
      <c r="S176" s="75">
        <f>VLOOKUP($A176,'Data Vlaue (Cr)'!$C:$FB,128)*100</f>
        <v>136</v>
      </c>
    </row>
    <row r="177" spans="1:19" x14ac:dyDescent="0.25">
      <c r="A177" s="96" t="str">
        <f>'Data Vlaue (Cr)'!C168</f>
        <v>PRESTIGE</v>
      </c>
      <c r="B177" s="75">
        <f>VLOOKUP($A177,'Data Vlaue (Cr)'!$C:$FB,2)</f>
        <v>450</v>
      </c>
      <c r="C177" s="75">
        <f>VLOOKUP($A177,'Data Vlaue (Cr)'!$C:$FB,8)</f>
        <v>1597.5</v>
      </c>
      <c r="D177" s="75">
        <f>VLOOKUP($A177,'Data Vlaue (Cr)'!$C:$FB,4)</f>
        <v>1598.1</v>
      </c>
      <c r="E177" s="75">
        <f>VLOOKUP($A177,'Data Vlaue (Cr)'!$C:$FB,5)</f>
        <v>1591.9</v>
      </c>
      <c r="F177" s="75">
        <f t="shared" ref="F177:F185" si="18">D177-C177</f>
        <v>0.59999999999990905</v>
      </c>
      <c r="G177" s="75">
        <f t="shared" ref="G177:G185" si="19">(D177-E177)/D177*100</f>
        <v>0.38796070333519922</v>
      </c>
      <c r="H177" s="75">
        <f>VLOOKUP($A177,'Data Vlaue (Cr)'!$C:$FB,99)</f>
        <v>1120</v>
      </c>
      <c r="I177" s="75">
        <f>VLOOKUP($A177,'Data Vlaue (Cr)'!$C:$FB,100)</f>
        <v>1089</v>
      </c>
      <c r="J177" s="75">
        <f t="shared" ref="J177:J185" si="20">H177-I177</f>
        <v>31</v>
      </c>
      <c r="K177" s="75">
        <f t="shared" ref="K177:K185" si="21">J177/H177*100</f>
        <v>2.7678571428571428</v>
      </c>
      <c r="L177" s="75">
        <f>VLOOKUP($A177,'Data Vlaue (Cr)'!$C:$FB,67)</f>
        <v>408</v>
      </c>
      <c r="M177" s="75">
        <f>VLOOKUP($A177,'Data Vlaue (Cr)'!$C:$FB,68)</f>
        <v>313</v>
      </c>
      <c r="N177" s="75">
        <f t="shared" ref="N177:N185" si="22">L177-M177</f>
        <v>95</v>
      </c>
      <c r="O177" s="75">
        <f t="shared" ref="O177:O185" si="23">N177/L177*100</f>
        <v>23.284313725490197</v>
      </c>
      <c r="P177" s="75">
        <f>VLOOKUP($A177,'Data Vlaue (Cr)'!$C:$FB,119)</f>
        <v>0.76</v>
      </c>
      <c r="Q177" s="75">
        <f>VLOOKUP($A177,'Data Vlaue (Cr)'!$C:$FB,122)*100</f>
        <v>-1.3</v>
      </c>
      <c r="R177" s="75">
        <f>VLOOKUP($A177,'Data Vlaue (Cr)'!$C:$FB,125)</f>
        <v>0.26</v>
      </c>
      <c r="S177" s="75">
        <f>VLOOKUP($A177,'Data Vlaue (Cr)'!$C:$FB,128)*100</f>
        <v>-23.53</v>
      </c>
    </row>
    <row r="178" spans="1:19" x14ac:dyDescent="0.25">
      <c r="A178" s="96" t="str">
        <f>'Data Vlaue (Cr)'!C169</f>
        <v>RBLBANK</v>
      </c>
      <c r="B178" s="75">
        <f>VLOOKUP($A178,'Data Vlaue (Cr)'!$C:$FB,2)</f>
        <v>3175</v>
      </c>
      <c r="C178" s="75">
        <f>VLOOKUP($A178,'Data Vlaue (Cr)'!$C:$FB,8)</f>
        <v>308.8</v>
      </c>
      <c r="D178" s="75">
        <f>VLOOKUP($A178,'Data Vlaue (Cr)'!$C:$FB,4)</f>
        <v>308.89999999999998</v>
      </c>
      <c r="E178" s="75">
        <f>VLOOKUP($A178,'Data Vlaue (Cr)'!$C:$FB,5)</f>
        <v>306.8</v>
      </c>
      <c r="F178" s="75">
        <f t="shared" si="18"/>
        <v>9.9999999999965894E-2</v>
      </c>
      <c r="G178" s="75">
        <f t="shared" si="19"/>
        <v>0.67983166073161738</v>
      </c>
      <c r="H178" s="75">
        <f>VLOOKUP($A178,'Data Vlaue (Cr)'!$C:$FB,99)</f>
        <v>3741</v>
      </c>
      <c r="I178" s="75">
        <f>VLOOKUP($A178,'Data Vlaue (Cr)'!$C:$FB,100)</f>
        <v>3757</v>
      </c>
      <c r="J178" s="75">
        <f t="shared" si="20"/>
        <v>-16</v>
      </c>
      <c r="K178" s="75">
        <f t="shared" si="21"/>
        <v>-0.42769313017909649</v>
      </c>
      <c r="L178" s="75">
        <f>VLOOKUP($A178,'Data Vlaue (Cr)'!$C:$FB,67)</f>
        <v>841</v>
      </c>
      <c r="M178" s="75">
        <f>VLOOKUP($A178,'Data Vlaue (Cr)'!$C:$FB,68)</f>
        <v>741</v>
      </c>
      <c r="N178" s="75">
        <f t="shared" si="22"/>
        <v>100</v>
      </c>
      <c r="O178" s="75">
        <f t="shared" si="23"/>
        <v>11.890606420927467</v>
      </c>
      <c r="P178" s="75">
        <f>VLOOKUP($A178,'Data Vlaue (Cr)'!$C:$FB,119)</f>
        <v>0.68</v>
      </c>
      <c r="Q178" s="75">
        <f>VLOOKUP($A178,'Data Vlaue (Cr)'!$C:$FB,122)*100</f>
        <v>1.49</v>
      </c>
      <c r="R178" s="75">
        <f>VLOOKUP($A178,'Data Vlaue (Cr)'!$C:$FB,125)</f>
        <v>0.37</v>
      </c>
      <c r="S178" s="75">
        <f>VLOOKUP($A178,'Data Vlaue (Cr)'!$C:$FB,128)*100</f>
        <v>5.71</v>
      </c>
    </row>
    <row r="179" spans="1:19" x14ac:dyDescent="0.25">
      <c r="A179" s="96" t="str">
        <f>'Data Vlaue (Cr)'!C170</f>
        <v>RECLTD</v>
      </c>
      <c r="B179" s="75">
        <f>VLOOKUP($A179,'Data Vlaue (Cr)'!$C:$FB,2)</f>
        <v>1400</v>
      </c>
      <c r="C179" s="75">
        <f>VLOOKUP($A179,'Data Vlaue (Cr)'!$C:$FB,8)</f>
        <v>353.95</v>
      </c>
      <c r="D179" s="75">
        <f>VLOOKUP($A179,'Data Vlaue (Cr)'!$C:$FB,4)</f>
        <v>355.3</v>
      </c>
      <c r="E179" s="75">
        <f>VLOOKUP($A179,'Data Vlaue (Cr)'!$C:$FB,5)</f>
        <v>356.3</v>
      </c>
      <c r="F179" s="75">
        <f t="shared" si="18"/>
        <v>1.3500000000000227</v>
      </c>
      <c r="G179" s="75">
        <f t="shared" si="19"/>
        <v>-0.28145229383619474</v>
      </c>
      <c r="H179" s="75">
        <f>VLOOKUP($A179,'Data Vlaue (Cr)'!$C:$FB,99)</f>
        <v>6216</v>
      </c>
      <c r="I179" s="75">
        <f>VLOOKUP($A179,'Data Vlaue (Cr)'!$C:$FB,100)</f>
        <v>6151</v>
      </c>
      <c r="J179" s="75">
        <f t="shared" si="20"/>
        <v>65</v>
      </c>
      <c r="K179" s="75">
        <f t="shared" si="21"/>
        <v>1.0456885456885456</v>
      </c>
      <c r="L179" s="75">
        <f>VLOOKUP($A179,'Data Vlaue (Cr)'!$C:$FB,67)</f>
        <v>2211</v>
      </c>
      <c r="M179" s="75">
        <f>VLOOKUP($A179,'Data Vlaue (Cr)'!$C:$FB,68)</f>
        <v>2441</v>
      </c>
      <c r="N179" s="75">
        <f t="shared" si="22"/>
        <v>-230</v>
      </c>
      <c r="O179" s="75">
        <f t="shared" si="23"/>
        <v>-10.402532790592492</v>
      </c>
      <c r="P179" s="75">
        <f>VLOOKUP($A179,'Data Vlaue (Cr)'!$C:$FB,119)</f>
        <v>0.59</v>
      </c>
      <c r="Q179" s="75">
        <f>VLOOKUP($A179,'Data Vlaue (Cr)'!$C:$FB,122)*100</f>
        <v>0</v>
      </c>
      <c r="R179" s="75">
        <f>VLOOKUP($A179,'Data Vlaue (Cr)'!$C:$FB,125)</f>
        <v>0.32</v>
      </c>
      <c r="S179" s="75">
        <f>VLOOKUP($A179,'Data Vlaue (Cr)'!$C:$FB,128)*100</f>
        <v>-3.0300000000000002</v>
      </c>
    </row>
    <row r="180" spans="1:19" x14ac:dyDescent="0.25">
      <c r="A180" s="96" t="str">
        <f>'Data Vlaue (Cr)'!C171</f>
        <v>RELIANCE</v>
      </c>
      <c r="B180" s="75">
        <f>VLOOKUP($A180,'Data Vlaue (Cr)'!$C:$FB,2)</f>
        <v>500</v>
      </c>
      <c r="C180" s="75">
        <f>VLOOKUP($A180,'Data Vlaue (Cr)'!$C:$FB,8)</f>
        <v>1468.7</v>
      </c>
      <c r="D180" s="75">
        <f>VLOOKUP($A180,'Data Vlaue (Cr)'!$C:$FB,4)</f>
        <v>1470.2</v>
      </c>
      <c r="E180" s="75">
        <f>VLOOKUP($A180,'Data Vlaue (Cr)'!$C:$FB,5)</f>
        <v>1460.7</v>
      </c>
      <c r="F180" s="75">
        <f t="shared" si="18"/>
        <v>1.5</v>
      </c>
      <c r="G180" s="75">
        <f t="shared" si="19"/>
        <v>0.64617058903550539</v>
      </c>
      <c r="H180" s="75">
        <f>VLOOKUP($A180,'Data Vlaue (Cr)'!$C:$FB,99)</f>
        <v>28669</v>
      </c>
      <c r="I180" s="75">
        <f>VLOOKUP($A180,'Data Vlaue (Cr)'!$C:$FB,100)</f>
        <v>28785</v>
      </c>
      <c r="J180" s="75">
        <f t="shared" si="20"/>
        <v>-116</v>
      </c>
      <c r="K180" s="75">
        <f t="shared" si="21"/>
        <v>-0.40461822874882275</v>
      </c>
      <c r="L180" s="75">
        <f>VLOOKUP($A180,'Data Vlaue (Cr)'!$C:$FB,67)</f>
        <v>10251</v>
      </c>
      <c r="M180" s="75">
        <f>VLOOKUP($A180,'Data Vlaue (Cr)'!$C:$FB,68)</f>
        <v>9306</v>
      </c>
      <c r="N180" s="75">
        <f t="shared" si="22"/>
        <v>945</v>
      </c>
      <c r="O180" s="75">
        <f t="shared" si="23"/>
        <v>9.2186128182616329</v>
      </c>
      <c r="P180" s="75">
        <f>VLOOKUP($A180,'Data Vlaue (Cr)'!$C:$FB,119)</f>
        <v>0.6</v>
      </c>
      <c r="Q180" s="75">
        <f>VLOOKUP($A180,'Data Vlaue (Cr)'!$C:$FB,122)*100</f>
        <v>7.1400000000000006</v>
      </c>
      <c r="R180" s="75">
        <f>VLOOKUP($A180,'Data Vlaue (Cr)'!$C:$FB,125)</f>
        <v>0.62</v>
      </c>
      <c r="S180" s="75">
        <f>VLOOKUP($A180,'Data Vlaue (Cr)'!$C:$FB,128)*100</f>
        <v>-13.889999999999999</v>
      </c>
    </row>
    <row r="181" spans="1:19" x14ac:dyDescent="0.25">
      <c r="A181" s="96" t="str">
        <f>'Data Vlaue (Cr)'!C172</f>
        <v>RVNL</v>
      </c>
      <c r="B181" s="75">
        <f>VLOOKUP($A181,'Data Vlaue (Cr)'!$C:$FB,2)</f>
        <v>1525</v>
      </c>
      <c r="C181" s="75">
        <f>VLOOKUP($A181,'Data Vlaue (Cr)'!$C:$FB,8)</f>
        <v>316.55</v>
      </c>
      <c r="D181" s="75">
        <f>VLOOKUP($A181,'Data Vlaue (Cr)'!$C:$FB,4)</f>
        <v>297.64999999999998</v>
      </c>
      <c r="E181" s="75">
        <f>VLOOKUP($A181,'Data Vlaue (Cr)'!$C:$FB,5)</f>
        <v>298</v>
      </c>
      <c r="F181" s="75">
        <f t="shared" si="18"/>
        <v>-18.900000000000034</v>
      </c>
      <c r="G181" s="75">
        <f t="shared" si="19"/>
        <v>-0.11758777087183699</v>
      </c>
      <c r="H181" s="75">
        <f>VLOOKUP($A181,'Data Vlaue (Cr)'!$C:$FB,99)</f>
        <v>4897</v>
      </c>
      <c r="I181" s="75">
        <f>VLOOKUP($A181,'Data Vlaue (Cr)'!$C:$FB,100)</f>
        <v>4897</v>
      </c>
      <c r="J181" s="75">
        <f t="shared" si="20"/>
        <v>0</v>
      </c>
      <c r="K181" s="75">
        <f t="shared" si="21"/>
        <v>0</v>
      </c>
      <c r="L181" s="75">
        <f>VLOOKUP($A181,'Data Vlaue (Cr)'!$C:$FB,67)</f>
        <v>1406</v>
      </c>
      <c r="M181" s="75">
        <f>VLOOKUP($A181,'Data Vlaue (Cr)'!$C:$FB,68)</f>
        <v>3022</v>
      </c>
      <c r="N181" s="75">
        <f t="shared" si="22"/>
        <v>-1616</v>
      </c>
      <c r="O181" s="75">
        <f t="shared" si="23"/>
        <v>-114.93598862019914</v>
      </c>
      <c r="P181" s="75">
        <f>VLOOKUP($A181,'Data Vlaue (Cr)'!$C:$FB,119)</f>
        <v>0.35</v>
      </c>
      <c r="Q181" s="75">
        <f>VLOOKUP($A181,'Data Vlaue (Cr)'!$C:$FB,122)*100</f>
        <v>2.94</v>
      </c>
      <c r="R181" s="75">
        <f>VLOOKUP($A181,'Data Vlaue (Cr)'!$C:$FB,125)</f>
        <v>0.21</v>
      </c>
      <c r="S181" s="75">
        <f>VLOOKUP($A181,'Data Vlaue (Cr)'!$C:$FB,128)*100</f>
        <v>-12.5</v>
      </c>
    </row>
    <row r="182" spans="1:19" x14ac:dyDescent="0.25">
      <c r="A182" s="96" t="str">
        <f>'Data Vlaue (Cr)'!C173</f>
        <v>SAIL</v>
      </c>
      <c r="B182" s="75">
        <f>VLOOKUP($A182,'Data Vlaue (Cr)'!$C:$FB,2)</f>
        <v>4700</v>
      </c>
      <c r="C182" s="75">
        <f>VLOOKUP($A182,'Data Vlaue (Cr)'!$C:$FB,8)</f>
        <v>162.12</v>
      </c>
      <c r="D182" s="75">
        <f>VLOOKUP($A182,'Data Vlaue (Cr)'!$C:$FB,4)</f>
        <v>162.22999999999999</v>
      </c>
      <c r="E182" s="75">
        <f>VLOOKUP($A182,'Data Vlaue (Cr)'!$C:$FB,5)</f>
        <v>161.25</v>
      </c>
      <c r="F182" s="75">
        <f t="shared" si="18"/>
        <v>0.10999999999998522</v>
      </c>
      <c r="G182" s="75">
        <f t="shared" si="19"/>
        <v>0.60408062627133685</v>
      </c>
      <c r="H182" s="75">
        <f>VLOOKUP($A182,'Data Vlaue (Cr)'!$C:$FB,99)</f>
        <v>4318</v>
      </c>
      <c r="I182" s="75">
        <f>VLOOKUP($A182,'Data Vlaue (Cr)'!$C:$FB,100)</f>
        <v>4380</v>
      </c>
      <c r="J182" s="75">
        <f t="shared" si="20"/>
        <v>-62</v>
      </c>
      <c r="K182" s="75">
        <f t="shared" si="21"/>
        <v>-1.4358499305233905</v>
      </c>
      <c r="L182" s="75">
        <f>VLOOKUP($A182,'Data Vlaue (Cr)'!$C:$FB,67)</f>
        <v>95</v>
      </c>
      <c r="M182" s="75">
        <f>VLOOKUP($A182,'Data Vlaue (Cr)'!$C:$FB,68)</f>
        <v>258</v>
      </c>
      <c r="N182" s="75">
        <f t="shared" si="22"/>
        <v>-163</v>
      </c>
      <c r="O182" s="75">
        <f t="shared" si="23"/>
        <v>-171.57894736842104</v>
      </c>
      <c r="P182" s="75">
        <f>VLOOKUP($A182,'Data Vlaue (Cr)'!$C:$FB,119)</f>
        <v>0.79</v>
      </c>
      <c r="Q182" s="75">
        <f>VLOOKUP($A182,'Data Vlaue (Cr)'!$C:$FB,122)*100</f>
        <v>1.28</v>
      </c>
      <c r="R182" s="75">
        <f>VLOOKUP($A182,'Data Vlaue (Cr)'!$C:$FB,125)</f>
        <v>0.36</v>
      </c>
      <c r="S182" s="75">
        <f>VLOOKUP($A182,'Data Vlaue (Cr)'!$C:$FB,128)*100</f>
        <v>9.09</v>
      </c>
    </row>
    <row r="183" spans="1:19" x14ac:dyDescent="0.25">
      <c r="A183" s="96" t="str">
        <f>'Data Vlaue (Cr)'!C174</f>
        <v>SAMMAANCAP</v>
      </c>
      <c r="B183" s="75">
        <f>VLOOKUP($A183,'Data Vlaue (Cr)'!$C:$FB,2)</f>
        <v>4300</v>
      </c>
      <c r="C183" s="75">
        <f>VLOOKUP($A183,'Data Vlaue (Cr)'!$C:$FB,8)</f>
        <v>148.35</v>
      </c>
      <c r="D183" s="75">
        <f>VLOOKUP($A183,'Data Vlaue (Cr)'!$C:$FB,4)</f>
        <v>148.6</v>
      </c>
      <c r="E183" s="75">
        <f>VLOOKUP($A183,'Data Vlaue (Cr)'!$C:$FB,5)</f>
        <v>147.38</v>
      </c>
      <c r="F183" s="75">
        <f t="shared" si="18"/>
        <v>0.25</v>
      </c>
      <c r="G183" s="75">
        <f t="shared" si="19"/>
        <v>0.82099596231493877</v>
      </c>
      <c r="H183" s="75">
        <f>VLOOKUP($A183,'Data Vlaue (Cr)'!$C:$FB,99)</f>
        <v>2417</v>
      </c>
      <c r="I183" s="75">
        <f>VLOOKUP($A183,'Data Vlaue (Cr)'!$C:$FB,100)</f>
        <v>2424</v>
      </c>
      <c r="J183" s="75">
        <f t="shared" si="20"/>
        <v>-7</v>
      </c>
      <c r="K183" s="75">
        <f t="shared" si="21"/>
        <v>-0.28961522548613983</v>
      </c>
      <c r="L183" s="75">
        <f>VLOOKUP($A183,'Data Vlaue (Cr)'!$C:$FB,67)</f>
        <v>12</v>
      </c>
      <c r="M183" s="75">
        <f>VLOOKUP($A183,'Data Vlaue (Cr)'!$C:$FB,68)</f>
        <v>8</v>
      </c>
      <c r="N183" s="75">
        <f t="shared" si="22"/>
        <v>4</v>
      </c>
      <c r="O183" s="75">
        <f t="shared" si="23"/>
        <v>33.333333333333329</v>
      </c>
      <c r="P183" s="75">
        <f>VLOOKUP($A183,'Data Vlaue (Cr)'!$C:$FB,119)</f>
        <v>0.54</v>
      </c>
      <c r="Q183" s="75">
        <f>VLOOKUP($A183,'Data Vlaue (Cr)'!$C:$FB,122)*100</f>
        <v>0</v>
      </c>
      <c r="R183" s="75">
        <f>VLOOKUP($A183,'Data Vlaue (Cr)'!$C:$FB,125)</f>
        <v>0.48</v>
      </c>
      <c r="S183" s="75">
        <f>VLOOKUP($A183,'Data Vlaue (Cr)'!$C:$FB,128)*100</f>
        <v>84.61999999999999</v>
      </c>
    </row>
    <row r="184" spans="1:19" x14ac:dyDescent="0.25">
      <c r="A184" s="96" t="str">
        <f>'Data Vlaue (Cr)'!C175</f>
        <v>SBICARD</v>
      </c>
      <c r="B184" s="75">
        <f>VLOOKUP($A184,'Data Vlaue (Cr)'!$C:$FB,2)</f>
        <v>800</v>
      </c>
      <c r="C184" s="75">
        <f>VLOOKUP($A184,'Data Vlaue (Cr)'!$C:$FB,8)</f>
        <v>768.85</v>
      </c>
      <c r="D184" s="75">
        <f>VLOOKUP($A184,'Data Vlaue (Cr)'!$C:$FB,4)</f>
        <v>765.7</v>
      </c>
      <c r="E184" s="75">
        <f>VLOOKUP($A184,'Data Vlaue (Cr)'!$C:$FB,5)</f>
        <v>760.75</v>
      </c>
      <c r="F184" s="75">
        <f t="shared" si="18"/>
        <v>-3.1499999999999773</v>
      </c>
      <c r="G184" s="75">
        <f t="shared" si="19"/>
        <v>0.64646728483740956</v>
      </c>
      <c r="H184" s="75">
        <f>VLOOKUP($A184,'Data Vlaue (Cr)'!$C:$FB,99)</f>
        <v>2670</v>
      </c>
      <c r="I184" s="75">
        <f>VLOOKUP($A184,'Data Vlaue (Cr)'!$C:$FB,100)</f>
        <v>2666</v>
      </c>
      <c r="J184" s="75">
        <f t="shared" si="20"/>
        <v>4</v>
      </c>
      <c r="K184" s="75">
        <f t="shared" si="21"/>
        <v>0.14981273408239701</v>
      </c>
      <c r="L184" s="75">
        <f>VLOOKUP($A184,'Data Vlaue (Cr)'!$C:$FB,67)</f>
        <v>700</v>
      </c>
      <c r="M184" s="75">
        <f>VLOOKUP($A184,'Data Vlaue (Cr)'!$C:$FB,68)</f>
        <v>645</v>
      </c>
      <c r="N184" s="75">
        <f t="shared" si="22"/>
        <v>55</v>
      </c>
      <c r="O184" s="75">
        <f t="shared" si="23"/>
        <v>7.8571428571428568</v>
      </c>
      <c r="P184" s="75">
        <f>VLOOKUP($A184,'Data Vlaue (Cr)'!$C:$FB,119)</f>
        <v>0.57999999999999996</v>
      </c>
      <c r="Q184" s="75">
        <f>VLOOKUP($A184,'Data Vlaue (Cr)'!$C:$FB,122)*100</f>
        <v>1.7500000000000002</v>
      </c>
      <c r="R184" s="75">
        <f>VLOOKUP($A184,'Data Vlaue (Cr)'!$C:$FB,125)</f>
        <v>0.35</v>
      </c>
      <c r="S184" s="75">
        <f>VLOOKUP($A184,'Data Vlaue (Cr)'!$C:$FB,128)*100</f>
        <v>-23.91</v>
      </c>
    </row>
    <row r="185" spans="1:19" x14ac:dyDescent="0.25">
      <c r="A185" s="96" t="str">
        <f>'Data Vlaue (Cr)'!C176</f>
        <v>SBILIFE</v>
      </c>
      <c r="B185" s="75">
        <f>VLOOKUP($A185,'Data Vlaue (Cr)'!$C:$FB,2)</f>
        <v>375</v>
      </c>
      <c r="C185" s="75">
        <f>VLOOKUP($A185,'Data Vlaue (Cr)'!$C:$FB,8)</f>
        <v>2026.3</v>
      </c>
      <c r="D185" s="75">
        <f>VLOOKUP($A185,'Data Vlaue (Cr)'!$C:$FB,4)</f>
        <v>2028.8</v>
      </c>
      <c r="E185" s="75">
        <f>VLOOKUP($A185,'Data Vlaue (Cr)'!$C:$FB,5)</f>
        <v>2023.4</v>
      </c>
      <c r="F185" s="75">
        <f t="shared" si="18"/>
        <v>2.5</v>
      </c>
      <c r="G185" s="75">
        <f t="shared" si="19"/>
        <v>0.26616719242901538</v>
      </c>
      <c r="H185" s="75">
        <f>VLOOKUP($A185,'Data Vlaue (Cr)'!$C:$FB,99)</f>
        <v>3539</v>
      </c>
      <c r="I185" s="75">
        <f>VLOOKUP($A185,'Data Vlaue (Cr)'!$C:$FB,100)</f>
        <v>3583</v>
      </c>
      <c r="J185" s="75">
        <f t="shared" si="20"/>
        <v>-44</v>
      </c>
      <c r="K185" s="75">
        <f t="shared" si="21"/>
        <v>-1.2432890647075445</v>
      </c>
      <c r="L185" s="75">
        <f>VLOOKUP($A185,'Data Vlaue (Cr)'!$C:$FB,67)</f>
        <v>981</v>
      </c>
      <c r="M185" s="75">
        <f>VLOOKUP($A185,'Data Vlaue (Cr)'!$C:$FB,68)</f>
        <v>1440</v>
      </c>
      <c r="N185" s="75">
        <f t="shared" si="22"/>
        <v>-459</v>
      </c>
      <c r="O185" s="75">
        <f t="shared" si="23"/>
        <v>-46.788990825688074</v>
      </c>
      <c r="P185" s="75">
        <f>VLOOKUP($A185,'Data Vlaue (Cr)'!$C:$FB,119)</f>
        <v>0.37</v>
      </c>
      <c r="Q185" s="75">
        <f>VLOOKUP($A185,'Data Vlaue (Cr)'!$C:$FB,122)*100</f>
        <v>-2.63</v>
      </c>
      <c r="R185" s="75">
        <f>VLOOKUP($A185,'Data Vlaue (Cr)'!$C:$FB,125)</f>
        <v>0.4</v>
      </c>
      <c r="S185" s="75">
        <f>VLOOKUP($A185,'Data Vlaue (Cr)'!$C:$FB,128)*100</f>
        <v>-14.89</v>
      </c>
    </row>
    <row r="186" spans="1:19" x14ac:dyDescent="0.25">
      <c r="A186" s="96" t="str">
        <f>'Data Vlaue (Cr)'!C177</f>
        <v>SBIN</v>
      </c>
      <c r="B186" s="75">
        <f>VLOOKUP($A186,'Data Vlaue (Cr)'!$C:$FB,2)</f>
        <v>750</v>
      </c>
      <c r="C186" s="75">
        <f>VLOOKUP($A186,'Data Vlaue (Cr)'!$C:$FB,8)</f>
        <v>1182.9000000000001</v>
      </c>
      <c r="D186" s="75">
        <f>VLOOKUP($A186,'Data Vlaue (Cr)'!$C:$FB,4)</f>
        <v>1180.0999999999999</v>
      </c>
      <c r="E186" s="75">
        <f>VLOOKUP($A186,'Data Vlaue (Cr)'!$C:$FB,5)</f>
        <v>1142.4000000000001</v>
      </c>
      <c r="F186" s="75">
        <f t="shared" ref="F186:F193" si="24">D186-C186</f>
        <v>-2.8000000000001819</v>
      </c>
      <c r="G186" s="75">
        <f t="shared" ref="G186:G193" si="25">(D186-E186)/D186*100</f>
        <v>3.1946445216506927</v>
      </c>
      <c r="H186" s="75">
        <f>VLOOKUP($A186,'Data Vlaue (Cr)'!$C:$FB,99)</f>
        <v>25296</v>
      </c>
      <c r="I186" s="75">
        <f>VLOOKUP($A186,'Data Vlaue (Cr)'!$C:$FB,100)</f>
        <v>22698</v>
      </c>
      <c r="J186" s="75">
        <f t="shared" ref="J186:J193" si="26">H186-I186</f>
        <v>2598</v>
      </c>
      <c r="K186" s="75">
        <f t="shared" ref="K186:K193" si="27">J186/H186*100</f>
        <v>10.270398481973436</v>
      </c>
      <c r="L186" s="75">
        <f>VLOOKUP($A186,'Data Vlaue (Cr)'!$C:$FB,67)</f>
        <v>75358</v>
      </c>
      <c r="M186" s="75">
        <f>VLOOKUP($A186,'Data Vlaue (Cr)'!$C:$FB,68)</f>
        <v>26591</v>
      </c>
      <c r="N186" s="75">
        <f t="shared" ref="N186:N193" si="28">L186-M186</f>
        <v>48767</v>
      </c>
      <c r="O186" s="75">
        <f t="shared" ref="O186:O193" si="29">N186/L186*100</f>
        <v>64.713766288914258</v>
      </c>
      <c r="P186" s="75">
        <f>VLOOKUP($A186,'Data Vlaue (Cr)'!$C:$FB,119)</f>
        <v>1.33</v>
      </c>
      <c r="Q186" s="75">
        <f>VLOOKUP($A186,'Data Vlaue (Cr)'!$C:$FB,122)*100</f>
        <v>18.75</v>
      </c>
      <c r="R186" s="75">
        <f>VLOOKUP($A186,'Data Vlaue (Cr)'!$C:$FB,125)</f>
        <v>0.61</v>
      </c>
      <c r="S186" s="75">
        <f>VLOOKUP($A186,'Data Vlaue (Cr)'!$C:$FB,128)*100</f>
        <v>-11.59</v>
      </c>
    </row>
    <row r="187" spans="1:19" x14ac:dyDescent="0.25">
      <c r="A187" s="96" t="str">
        <f>'Data Vlaue (Cr)'!C178</f>
        <v>SHREECEM</v>
      </c>
      <c r="B187" s="75">
        <f>VLOOKUP($A187,'Data Vlaue (Cr)'!$C:$FB,2)</f>
        <v>25</v>
      </c>
      <c r="C187" s="75">
        <f>VLOOKUP($A187,'Data Vlaue (Cr)'!$C:$FB,8)</f>
        <v>26805</v>
      </c>
      <c r="D187" s="75">
        <f>VLOOKUP($A187,'Data Vlaue (Cr)'!$C:$FB,4)</f>
        <v>26670</v>
      </c>
      <c r="E187" s="75">
        <f>VLOOKUP($A187,'Data Vlaue (Cr)'!$C:$FB,5)</f>
        <v>26535</v>
      </c>
      <c r="F187" s="75">
        <f t="shared" si="24"/>
        <v>-135</v>
      </c>
      <c r="G187" s="75">
        <f t="shared" si="25"/>
        <v>0.50618672665916764</v>
      </c>
      <c r="H187" s="75">
        <f>VLOOKUP($A187,'Data Vlaue (Cr)'!$C:$FB,99)</f>
        <v>1484</v>
      </c>
      <c r="I187" s="75">
        <f>VLOOKUP($A187,'Data Vlaue (Cr)'!$C:$FB,100)</f>
        <v>1499</v>
      </c>
      <c r="J187" s="75">
        <f t="shared" si="26"/>
        <v>-15</v>
      </c>
      <c r="K187" s="75">
        <f t="shared" si="27"/>
        <v>-1.0107816711590296</v>
      </c>
      <c r="L187" s="75">
        <f>VLOOKUP($A187,'Data Vlaue (Cr)'!$C:$FB,67)</f>
        <v>987</v>
      </c>
      <c r="M187" s="75">
        <f>VLOOKUP($A187,'Data Vlaue (Cr)'!$C:$FB,68)</f>
        <v>1639</v>
      </c>
      <c r="N187" s="75">
        <f t="shared" si="28"/>
        <v>-652</v>
      </c>
      <c r="O187" s="75">
        <f t="shared" si="29"/>
        <v>-66.058763931104352</v>
      </c>
      <c r="P187" s="75">
        <f>VLOOKUP($A187,'Data Vlaue (Cr)'!$C:$FB,119)</f>
        <v>0.43</v>
      </c>
      <c r="Q187" s="75">
        <f>VLOOKUP($A187,'Data Vlaue (Cr)'!$C:$FB,122)*100</f>
        <v>0</v>
      </c>
      <c r="R187" s="75">
        <f>VLOOKUP($A187,'Data Vlaue (Cr)'!$C:$FB,125)</f>
        <v>0.27</v>
      </c>
      <c r="S187" s="75">
        <f>VLOOKUP($A187,'Data Vlaue (Cr)'!$C:$FB,128)*100</f>
        <v>-18.18</v>
      </c>
    </row>
    <row r="188" spans="1:19" x14ac:dyDescent="0.25">
      <c r="A188" s="96" t="str">
        <f>'Data Vlaue (Cr)'!C179</f>
        <v>SHRIRAMFIN</v>
      </c>
      <c r="B188" s="75">
        <f>VLOOKUP($A188,'Data Vlaue (Cr)'!$C:$FB,2)</f>
        <v>825</v>
      </c>
      <c r="C188" s="75">
        <f>VLOOKUP($A188,'Data Vlaue (Cr)'!$C:$FB,8)</f>
        <v>1056.8</v>
      </c>
      <c r="D188" s="75">
        <f>VLOOKUP($A188,'Data Vlaue (Cr)'!$C:$FB,4)</f>
        <v>1057.5</v>
      </c>
      <c r="E188" s="75">
        <f>VLOOKUP($A188,'Data Vlaue (Cr)'!$C:$FB,5)</f>
        <v>1048.9000000000001</v>
      </c>
      <c r="F188" s="75">
        <f t="shared" si="24"/>
        <v>0.70000000000004547</v>
      </c>
      <c r="G188" s="75">
        <f t="shared" si="25"/>
        <v>0.8132387706855706</v>
      </c>
      <c r="H188" s="75">
        <f>VLOOKUP($A188,'Data Vlaue (Cr)'!$C:$FB,99)</f>
        <v>6135</v>
      </c>
      <c r="I188" s="75">
        <f>VLOOKUP($A188,'Data Vlaue (Cr)'!$C:$FB,100)</f>
        <v>6212</v>
      </c>
      <c r="J188" s="75">
        <f t="shared" si="26"/>
        <v>-77</v>
      </c>
      <c r="K188" s="75">
        <f t="shared" si="27"/>
        <v>-1.2550937245313774</v>
      </c>
      <c r="L188" s="75">
        <f>VLOOKUP($A188,'Data Vlaue (Cr)'!$C:$FB,67)</f>
        <v>3565</v>
      </c>
      <c r="M188" s="75">
        <f>VLOOKUP($A188,'Data Vlaue (Cr)'!$C:$FB,68)</f>
        <v>4934</v>
      </c>
      <c r="N188" s="75">
        <f t="shared" si="28"/>
        <v>-1369</v>
      </c>
      <c r="O188" s="75">
        <f t="shared" si="29"/>
        <v>-38.401122019635345</v>
      </c>
      <c r="P188" s="75">
        <f>VLOOKUP($A188,'Data Vlaue (Cr)'!$C:$FB,119)</f>
        <v>0.79</v>
      </c>
      <c r="Q188" s="75">
        <f>VLOOKUP($A188,'Data Vlaue (Cr)'!$C:$FB,122)*100</f>
        <v>8.2199999999999989</v>
      </c>
      <c r="R188" s="75">
        <f>VLOOKUP($A188,'Data Vlaue (Cr)'!$C:$FB,125)</f>
        <v>0.37</v>
      </c>
      <c r="S188" s="75">
        <f>VLOOKUP($A188,'Data Vlaue (Cr)'!$C:$FB,128)*100</f>
        <v>-41.27</v>
      </c>
    </row>
    <row r="189" spans="1:19" x14ac:dyDescent="0.25">
      <c r="A189" s="96" t="str">
        <f>'Data Vlaue (Cr)'!C180</f>
        <v>SIEMENS</v>
      </c>
      <c r="B189" s="75">
        <f>VLOOKUP($A189,'Data Vlaue (Cr)'!$C:$FB,2)</f>
        <v>175</v>
      </c>
      <c r="C189" s="75">
        <f>VLOOKUP($A189,'Data Vlaue (Cr)'!$C:$FB,8)</f>
        <v>3151.6</v>
      </c>
      <c r="D189" s="75">
        <f>VLOOKUP($A189,'Data Vlaue (Cr)'!$C:$FB,4)</f>
        <v>3156.2</v>
      </c>
      <c r="E189" s="75">
        <f>VLOOKUP($A189,'Data Vlaue (Cr)'!$C:$FB,5)</f>
        <v>3117.4</v>
      </c>
      <c r="F189" s="75">
        <f t="shared" si="24"/>
        <v>4.5999999999999091</v>
      </c>
      <c r="G189" s="75">
        <f t="shared" si="25"/>
        <v>1.2293264051707664</v>
      </c>
      <c r="H189" s="75">
        <f>VLOOKUP($A189,'Data Vlaue (Cr)'!$C:$FB,99)</f>
        <v>1747</v>
      </c>
      <c r="I189" s="75">
        <f>VLOOKUP($A189,'Data Vlaue (Cr)'!$C:$FB,100)</f>
        <v>1779</v>
      </c>
      <c r="J189" s="75">
        <f t="shared" si="26"/>
        <v>-32</v>
      </c>
      <c r="K189" s="75">
        <f t="shared" si="27"/>
        <v>-1.8317115054378934</v>
      </c>
      <c r="L189" s="75">
        <f>VLOOKUP($A189,'Data Vlaue (Cr)'!$C:$FB,67)</f>
        <v>1726</v>
      </c>
      <c r="M189" s="75">
        <f>VLOOKUP($A189,'Data Vlaue (Cr)'!$C:$FB,68)</f>
        <v>1524</v>
      </c>
      <c r="N189" s="75">
        <f t="shared" si="28"/>
        <v>202</v>
      </c>
      <c r="O189" s="75">
        <f t="shared" si="29"/>
        <v>11.703360370799537</v>
      </c>
      <c r="P189" s="75">
        <f>VLOOKUP($A189,'Data Vlaue (Cr)'!$C:$FB,119)</f>
        <v>0.56999999999999995</v>
      </c>
      <c r="Q189" s="75">
        <f>VLOOKUP($A189,'Data Vlaue (Cr)'!$C:$FB,122)*100</f>
        <v>-1.72</v>
      </c>
      <c r="R189" s="75">
        <f>VLOOKUP($A189,'Data Vlaue (Cr)'!$C:$FB,125)</f>
        <v>0.28000000000000003</v>
      </c>
      <c r="S189" s="75">
        <f>VLOOKUP($A189,'Data Vlaue (Cr)'!$C:$FB,128)*100</f>
        <v>-20</v>
      </c>
    </row>
    <row r="190" spans="1:19" x14ac:dyDescent="0.25">
      <c r="A190" s="96" t="str">
        <f>'Data Vlaue (Cr)'!C181</f>
        <v>SOLARINDS</v>
      </c>
      <c r="B190" s="75">
        <f>VLOOKUP($A190,'Data Vlaue (Cr)'!$C:$FB,2)</f>
        <v>50</v>
      </c>
      <c r="C190" s="75">
        <f>VLOOKUP($A190,'Data Vlaue (Cr)'!$C:$FB,8)</f>
        <v>13445</v>
      </c>
      <c r="D190" s="75">
        <f>VLOOKUP($A190,'Data Vlaue (Cr)'!$C:$FB,4)</f>
        <v>13448</v>
      </c>
      <c r="E190" s="75">
        <f>VLOOKUP($A190,'Data Vlaue (Cr)'!$C:$FB,5)</f>
        <v>13448</v>
      </c>
      <c r="F190" s="75">
        <f t="shared" si="24"/>
        <v>3</v>
      </c>
      <c r="G190" s="75">
        <f t="shared" si="25"/>
        <v>0</v>
      </c>
      <c r="H190" s="75">
        <f>VLOOKUP($A190,'Data Vlaue (Cr)'!$C:$FB,99)</f>
        <v>2368</v>
      </c>
      <c r="I190" s="75">
        <f>VLOOKUP($A190,'Data Vlaue (Cr)'!$C:$FB,100)</f>
        <v>2394</v>
      </c>
      <c r="J190" s="75">
        <f t="shared" si="26"/>
        <v>-26</v>
      </c>
      <c r="K190" s="75">
        <f t="shared" si="27"/>
        <v>-1.097972972972973</v>
      </c>
      <c r="L190" s="75">
        <f>VLOOKUP($A190,'Data Vlaue (Cr)'!$C:$FB,67)</f>
        <v>684</v>
      </c>
      <c r="M190" s="75">
        <f>VLOOKUP($A190,'Data Vlaue (Cr)'!$C:$FB,68)</f>
        <v>1001</v>
      </c>
      <c r="N190" s="75">
        <f t="shared" si="28"/>
        <v>-317</v>
      </c>
      <c r="O190" s="75">
        <f t="shared" si="29"/>
        <v>-46.345029239766085</v>
      </c>
      <c r="P190" s="75">
        <f>VLOOKUP($A190,'Data Vlaue (Cr)'!$C:$FB,119)</f>
        <v>0.47</v>
      </c>
      <c r="Q190" s="75">
        <f>VLOOKUP($A190,'Data Vlaue (Cr)'!$C:$FB,122)*100</f>
        <v>0</v>
      </c>
      <c r="R190" s="75">
        <f>VLOOKUP($A190,'Data Vlaue (Cr)'!$C:$FB,125)</f>
        <v>0.33</v>
      </c>
      <c r="S190" s="75">
        <f>VLOOKUP($A190,'Data Vlaue (Cr)'!$C:$FB,128)*100</f>
        <v>-25</v>
      </c>
    </row>
    <row r="191" spans="1:19" x14ac:dyDescent="0.25">
      <c r="A191" s="96" t="str">
        <f>'Data Vlaue (Cr)'!C182</f>
        <v>SONACOMS</v>
      </c>
      <c r="B191" s="75">
        <f>VLOOKUP($A191,'Data Vlaue (Cr)'!$C:$FB,2)</f>
        <v>1225</v>
      </c>
      <c r="C191" s="75">
        <f>VLOOKUP($A191,'Data Vlaue (Cr)'!$C:$FB,8)</f>
        <v>538</v>
      </c>
      <c r="D191" s="75">
        <f>VLOOKUP($A191,'Data Vlaue (Cr)'!$C:$FB,4)</f>
        <v>539.85</v>
      </c>
      <c r="E191" s="75">
        <f>VLOOKUP($A191,'Data Vlaue (Cr)'!$C:$FB,5)</f>
        <v>532.04999999999995</v>
      </c>
      <c r="F191" s="75">
        <f t="shared" si="24"/>
        <v>1.8500000000000227</v>
      </c>
      <c r="G191" s="75">
        <f t="shared" si="25"/>
        <v>1.4448457904973728</v>
      </c>
      <c r="H191" s="75">
        <f>VLOOKUP($A191,'Data Vlaue (Cr)'!$C:$FB,99)</f>
        <v>1252</v>
      </c>
      <c r="I191" s="75">
        <f>VLOOKUP($A191,'Data Vlaue (Cr)'!$C:$FB,100)</f>
        <v>1221</v>
      </c>
      <c r="J191" s="75">
        <f t="shared" si="26"/>
        <v>31</v>
      </c>
      <c r="K191" s="75">
        <f t="shared" si="27"/>
        <v>2.4760383386581468</v>
      </c>
      <c r="L191" s="75">
        <f>VLOOKUP($A191,'Data Vlaue (Cr)'!$C:$FB,67)</f>
        <v>969</v>
      </c>
      <c r="M191" s="75">
        <f>VLOOKUP($A191,'Data Vlaue (Cr)'!$C:$FB,68)</f>
        <v>450</v>
      </c>
      <c r="N191" s="75">
        <f t="shared" si="28"/>
        <v>519</v>
      </c>
      <c r="O191" s="75">
        <f t="shared" si="29"/>
        <v>53.56037151702786</v>
      </c>
      <c r="P191" s="75">
        <f>VLOOKUP($A191,'Data Vlaue (Cr)'!$C:$FB,119)</f>
        <v>0.66</v>
      </c>
      <c r="Q191" s="75">
        <f>VLOOKUP($A191,'Data Vlaue (Cr)'!$C:$FB,122)*100</f>
        <v>0</v>
      </c>
      <c r="R191" s="75">
        <f>VLOOKUP($A191,'Data Vlaue (Cr)'!$C:$FB,125)</f>
        <v>0.22</v>
      </c>
      <c r="S191" s="75">
        <f>VLOOKUP($A191,'Data Vlaue (Cr)'!$C:$FB,128)*100</f>
        <v>-56.000000000000007</v>
      </c>
    </row>
    <row r="192" spans="1:19" x14ac:dyDescent="0.25">
      <c r="A192" s="96" t="str">
        <f>'Data Vlaue (Cr)'!C183</f>
        <v>SRF</v>
      </c>
      <c r="B192" s="75">
        <f>VLOOKUP($A192,'Data Vlaue (Cr)'!$C:$FB,2)</f>
        <v>200</v>
      </c>
      <c r="C192" s="75">
        <f>VLOOKUP($A192,'Data Vlaue (Cr)'!$C:$FB,8)</f>
        <v>2949.1</v>
      </c>
      <c r="D192" s="75">
        <f>VLOOKUP($A192,'Data Vlaue (Cr)'!$C:$FB,4)</f>
        <v>2950.7</v>
      </c>
      <c r="E192" s="75">
        <f>VLOOKUP($A192,'Data Vlaue (Cr)'!$C:$FB,5)</f>
        <v>2965.9</v>
      </c>
      <c r="F192" s="75">
        <f t="shared" si="24"/>
        <v>1.5999999999999091</v>
      </c>
      <c r="G192" s="75">
        <f t="shared" si="25"/>
        <v>-0.51513200257566927</v>
      </c>
      <c r="H192" s="75">
        <f>VLOOKUP($A192,'Data Vlaue (Cr)'!$C:$FB,99)</f>
        <v>1715</v>
      </c>
      <c r="I192" s="75">
        <f>VLOOKUP($A192,'Data Vlaue (Cr)'!$C:$FB,100)</f>
        <v>1690</v>
      </c>
      <c r="J192" s="75">
        <f t="shared" si="26"/>
        <v>25</v>
      </c>
      <c r="K192" s="75">
        <f t="shared" si="27"/>
        <v>1.4577259475218658</v>
      </c>
      <c r="L192" s="75">
        <f>VLOOKUP($A192,'Data Vlaue (Cr)'!$C:$FB,67)</f>
        <v>439</v>
      </c>
      <c r="M192" s="75">
        <f>VLOOKUP($A192,'Data Vlaue (Cr)'!$C:$FB,68)</f>
        <v>544</v>
      </c>
      <c r="N192" s="75">
        <f t="shared" si="28"/>
        <v>-105</v>
      </c>
      <c r="O192" s="75">
        <f t="shared" si="29"/>
        <v>-23.917995444191344</v>
      </c>
      <c r="P192" s="75">
        <f>VLOOKUP($A192,'Data Vlaue (Cr)'!$C:$FB,119)</f>
        <v>0.61</v>
      </c>
      <c r="Q192" s="75">
        <f>VLOOKUP($A192,'Data Vlaue (Cr)'!$C:$FB,122)*100</f>
        <v>-4.6899999999999995</v>
      </c>
      <c r="R192" s="75">
        <f>VLOOKUP($A192,'Data Vlaue (Cr)'!$C:$FB,125)</f>
        <v>0.5</v>
      </c>
      <c r="S192" s="75">
        <f>VLOOKUP($A192,'Data Vlaue (Cr)'!$C:$FB,128)*100</f>
        <v>56.25</v>
      </c>
    </row>
    <row r="193" spans="1:19" x14ac:dyDescent="0.25">
      <c r="A193" s="96" t="str">
        <f>'Data Vlaue (Cr)'!C184</f>
        <v>SUNPHARMA</v>
      </c>
      <c r="B193" s="75">
        <f>VLOOKUP($A193,'Data Vlaue (Cr)'!$C:$FB,2)</f>
        <v>350</v>
      </c>
      <c r="C193" s="75">
        <f>VLOOKUP($A193,'Data Vlaue (Cr)'!$C:$FB,8)</f>
        <v>1711.1</v>
      </c>
      <c r="D193" s="75">
        <f>VLOOKUP($A193,'Data Vlaue (Cr)'!$C:$FB,4)</f>
        <v>1712</v>
      </c>
      <c r="E193" s="75">
        <f>VLOOKUP($A193,'Data Vlaue (Cr)'!$C:$FB,5)</f>
        <v>1708.9</v>
      </c>
      <c r="F193" s="75">
        <f t="shared" si="24"/>
        <v>0.90000000000009095</v>
      </c>
      <c r="G193" s="75">
        <f t="shared" si="25"/>
        <v>0.18107476635513486</v>
      </c>
      <c r="H193" s="75">
        <f>VLOOKUP($A193,'Data Vlaue (Cr)'!$C:$FB,99)</f>
        <v>7811</v>
      </c>
      <c r="I193" s="75">
        <f>VLOOKUP($A193,'Data Vlaue (Cr)'!$C:$FB,100)</f>
        <v>7843</v>
      </c>
      <c r="J193" s="75">
        <f t="shared" si="26"/>
        <v>-32</v>
      </c>
      <c r="K193" s="75">
        <f t="shared" si="27"/>
        <v>-0.40967865830239408</v>
      </c>
      <c r="L193" s="75">
        <f>VLOOKUP($A193,'Data Vlaue (Cr)'!$C:$FB,67)</f>
        <v>1971</v>
      </c>
      <c r="M193" s="75">
        <f>VLOOKUP($A193,'Data Vlaue (Cr)'!$C:$FB,68)</f>
        <v>3021</v>
      </c>
      <c r="N193" s="75">
        <f t="shared" si="28"/>
        <v>-1050</v>
      </c>
      <c r="O193" s="75">
        <f t="shared" si="29"/>
        <v>-53.272450532724505</v>
      </c>
      <c r="P193" s="75">
        <f>VLOOKUP($A193,'Data Vlaue (Cr)'!$C:$FB,119)</f>
        <v>0.57999999999999996</v>
      </c>
      <c r="Q193" s="75">
        <f>VLOOKUP($A193,'Data Vlaue (Cr)'!$C:$FB,122)*100</f>
        <v>-1.69</v>
      </c>
      <c r="R193" s="75">
        <f>VLOOKUP($A193,'Data Vlaue (Cr)'!$C:$FB,125)</f>
        <v>0.64</v>
      </c>
      <c r="S193" s="75">
        <f>VLOOKUP($A193,'Data Vlaue (Cr)'!$C:$FB,128)*100</f>
        <v>25.490000000000002</v>
      </c>
    </row>
    <row r="194" spans="1:19" ht="13.9" customHeight="1" x14ac:dyDescent="0.25">
      <c r="A194" s="96" t="str">
        <f>'Data Vlaue (Cr)'!C185</f>
        <v>SUPREMEIND</v>
      </c>
      <c r="B194" s="75">
        <f>VLOOKUP($A194,'Data Vlaue (Cr)'!$C:$FB,2)</f>
        <v>175</v>
      </c>
      <c r="C194" s="75">
        <f>VLOOKUP($A194,'Data Vlaue (Cr)'!$C:$FB,8)</f>
        <v>3849.4</v>
      </c>
      <c r="D194" s="75">
        <f>VLOOKUP($A194,'Data Vlaue (Cr)'!$C:$FB,4)</f>
        <v>3850.8</v>
      </c>
      <c r="E194" s="75">
        <f>VLOOKUP($A194,'Data Vlaue (Cr)'!$C:$FB,5)</f>
        <v>3698.3</v>
      </c>
      <c r="F194" s="75">
        <f t="shared" ref="F194:F222" si="30">D194-C194</f>
        <v>1.4000000000000909</v>
      </c>
      <c r="G194" s="75">
        <f t="shared" ref="G194:G222" si="31">(D194-E194)/D194*100</f>
        <v>3.9602160590007269</v>
      </c>
      <c r="H194" s="75">
        <f>VLOOKUP($A194,'Data Vlaue (Cr)'!$C:$FB,99)</f>
        <v>1154</v>
      </c>
      <c r="I194" s="75">
        <f>VLOOKUP($A194,'Data Vlaue (Cr)'!$C:$FB,100)</f>
        <v>1182</v>
      </c>
      <c r="J194" s="75">
        <f t="shared" ref="J194:J222" si="32">H194-I194</f>
        <v>-28</v>
      </c>
      <c r="K194" s="75">
        <f t="shared" ref="K194:K222" si="33">J194/H194*100</f>
        <v>-2.4263431542461005</v>
      </c>
      <c r="L194" s="75">
        <f>VLOOKUP($A194,'Data Vlaue (Cr)'!$C:$FB,67)</f>
        <v>2463</v>
      </c>
      <c r="M194" s="75">
        <f>VLOOKUP($A194,'Data Vlaue (Cr)'!$C:$FB,68)</f>
        <v>1887</v>
      </c>
      <c r="N194" s="75">
        <f t="shared" ref="N194:N222" si="34">L194-M194</f>
        <v>576</v>
      </c>
      <c r="O194" s="75">
        <f t="shared" ref="O194:O222" si="35">N194/L194*100</f>
        <v>23.386114494518878</v>
      </c>
      <c r="P194" s="75">
        <f>VLOOKUP($A194,'Data Vlaue (Cr)'!$C:$FB,119)</f>
        <v>0.71</v>
      </c>
      <c r="Q194" s="75">
        <f>VLOOKUP($A194,'Data Vlaue (Cr)'!$C:$FB,122)*100</f>
        <v>31.480000000000004</v>
      </c>
      <c r="R194" s="75">
        <f>VLOOKUP($A194,'Data Vlaue (Cr)'!$C:$FB,125)</f>
        <v>0.21</v>
      </c>
      <c r="S194" s="75">
        <f>VLOOKUP($A194,'Data Vlaue (Cr)'!$C:$FB,128)*100</f>
        <v>0</v>
      </c>
    </row>
    <row r="195" spans="1:19" x14ac:dyDescent="0.25">
      <c r="A195" s="96" t="str">
        <f>'Data Vlaue (Cr)'!C186</f>
        <v>SUZLON</v>
      </c>
      <c r="B195" s="75">
        <f>VLOOKUP($A195,'Data Vlaue (Cr)'!$C:$FB,2)</f>
        <v>9025</v>
      </c>
      <c r="C195" s="75">
        <f>VLOOKUP($A195,'Data Vlaue (Cr)'!$C:$FB,8)</f>
        <v>47.38</v>
      </c>
      <c r="D195" s="75">
        <f>VLOOKUP($A195,'Data Vlaue (Cr)'!$C:$FB,4)</f>
        <v>47.44</v>
      </c>
      <c r="E195" s="75">
        <f>VLOOKUP($A195,'Data Vlaue (Cr)'!$C:$FB,5)</f>
        <v>47.81</v>
      </c>
      <c r="F195" s="75">
        <f t="shared" si="30"/>
        <v>5.9999999999995168E-2</v>
      </c>
      <c r="G195" s="75">
        <f t="shared" si="31"/>
        <v>-0.77993254637437726</v>
      </c>
      <c r="H195" s="75">
        <f>VLOOKUP($A195,'Data Vlaue (Cr)'!$C:$FB,99)</f>
        <v>3003</v>
      </c>
      <c r="I195" s="75">
        <f>VLOOKUP($A195,'Data Vlaue (Cr)'!$C:$FB,100)</f>
        <v>2955</v>
      </c>
      <c r="J195" s="75">
        <f t="shared" si="32"/>
        <v>48</v>
      </c>
      <c r="K195" s="75">
        <f t="shared" si="33"/>
        <v>1.5984015984015985</v>
      </c>
      <c r="L195" s="75">
        <f>VLOOKUP($A195,'Data Vlaue (Cr)'!$C:$FB,67)</f>
        <v>1145</v>
      </c>
      <c r="M195" s="75">
        <f>VLOOKUP($A195,'Data Vlaue (Cr)'!$C:$FB,68)</f>
        <v>925</v>
      </c>
      <c r="N195" s="75">
        <f t="shared" si="34"/>
        <v>220</v>
      </c>
      <c r="O195" s="75">
        <f t="shared" si="35"/>
        <v>19.213973799126638</v>
      </c>
      <c r="P195" s="75">
        <f>VLOOKUP($A195,'Data Vlaue (Cr)'!$C:$FB,119)</f>
        <v>0.31</v>
      </c>
      <c r="Q195" s="75">
        <f>VLOOKUP($A195,'Data Vlaue (Cr)'!$C:$FB,122)*100</f>
        <v>0</v>
      </c>
      <c r="R195" s="75">
        <f>VLOOKUP($A195,'Data Vlaue (Cr)'!$C:$FB,125)</f>
        <v>0.24</v>
      </c>
      <c r="S195" s="75">
        <f>VLOOKUP($A195,'Data Vlaue (Cr)'!$C:$FB,128)*100</f>
        <v>26.32</v>
      </c>
    </row>
    <row r="196" spans="1:19" x14ac:dyDescent="0.25">
      <c r="A196" s="96" t="str">
        <f>'Data Vlaue (Cr)'!C187</f>
        <v>SWIGGY</v>
      </c>
      <c r="B196" s="75">
        <f>VLOOKUP($A196,'Data Vlaue (Cr)'!$C:$FB,2)</f>
        <v>1300</v>
      </c>
      <c r="C196" s="75">
        <f>VLOOKUP($A196,'Data Vlaue (Cr)'!$C:$FB,8)</f>
        <v>342.3</v>
      </c>
      <c r="D196" s="75">
        <f>VLOOKUP($A196,'Data Vlaue (Cr)'!$C:$FB,4)</f>
        <v>341.6</v>
      </c>
      <c r="E196" s="75">
        <f>VLOOKUP($A196,'Data Vlaue (Cr)'!$C:$FB,5)</f>
        <v>354</v>
      </c>
      <c r="F196" s="75">
        <f t="shared" si="30"/>
        <v>-0.69999999999998863</v>
      </c>
      <c r="G196" s="75">
        <f t="shared" si="31"/>
        <v>-3.6299765807962459</v>
      </c>
      <c r="H196" s="75">
        <f>VLOOKUP($A196,'Data Vlaue (Cr)'!$C:$FB,99)</f>
        <v>1880</v>
      </c>
      <c r="I196" s="75">
        <f>VLOOKUP($A196,'Data Vlaue (Cr)'!$C:$FB,100)</f>
        <v>1820</v>
      </c>
      <c r="J196" s="75">
        <f t="shared" si="32"/>
        <v>60</v>
      </c>
      <c r="K196" s="75">
        <f t="shared" si="33"/>
        <v>3.1914893617021276</v>
      </c>
      <c r="L196" s="75">
        <f>VLOOKUP($A196,'Data Vlaue (Cr)'!$C:$FB,67)</f>
        <v>1423</v>
      </c>
      <c r="M196" s="75">
        <f>VLOOKUP($A196,'Data Vlaue (Cr)'!$C:$FB,68)</f>
        <v>3487</v>
      </c>
      <c r="N196" s="75">
        <f t="shared" si="34"/>
        <v>-2064</v>
      </c>
      <c r="O196" s="75">
        <f t="shared" si="35"/>
        <v>-145.04567814476459</v>
      </c>
      <c r="P196" s="75">
        <f>VLOOKUP($A196,'Data Vlaue (Cr)'!$C:$FB,119)</f>
        <v>1.1100000000000001</v>
      </c>
      <c r="Q196" s="75">
        <f>VLOOKUP($A196,'Data Vlaue (Cr)'!$C:$FB,122)*100</f>
        <v>12.120000000000001</v>
      </c>
      <c r="R196" s="75">
        <f>VLOOKUP($A196,'Data Vlaue (Cr)'!$C:$FB,125)</f>
        <v>0.65</v>
      </c>
      <c r="S196" s="75">
        <f>VLOOKUP($A196,'Data Vlaue (Cr)'!$C:$FB,128)*100</f>
        <v>85.71</v>
      </c>
    </row>
    <row r="197" spans="1:19" x14ac:dyDescent="0.25">
      <c r="A197" s="96" t="str">
        <f>'Data Vlaue (Cr)'!C188</f>
        <v>SYNGENE</v>
      </c>
      <c r="B197" s="75">
        <f>VLOOKUP($A197,'Data Vlaue (Cr)'!$C:$FB,2)</f>
        <v>1000</v>
      </c>
      <c r="C197" s="75">
        <f>VLOOKUP($A197,'Data Vlaue (Cr)'!$C:$FB,8)</f>
        <v>455.1</v>
      </c>
      <c r="D197" s="75">
        <f>VLOOKUP($A197,'Data Vlaue (Cr)'!$C:$FB,4)</f>
        <v>456.75</v>
      </c>
      <c r="E197" s="75">
        <f>VLOOKUP($A197,'Data Vlaue (Cr)'!$C:$FB,5)</f>
        <v>454.65</v>
      </c>
      <c r="F197" s="75">
        <f t="shared" si="30"/>
        <v>1.6499999999999773</v>
      </c>
      <c r="G197" s="75">
        <f t="shared" si="31"/>
        <v>0.45977011494253367</v>
      </c>
      <c r="H197" s="75">
        <f>VLOOKUP($A197,'Data Vlaue (Cr)'!$C:$FB,99)</f>
        <v>1200</v>
      </c>
      <c r="I197" s="75">
        <f>VLOOKUP($A197,'Data Vlaue (Cr)'!$C:$FB,100)</f>
        <v>1141</v>
      </c>
      <c r="J197" s="75">
        <f t="shared" si="32"/>
        <v>59</v>
      </c>
      <c r="K197" s="75">
        <f t="shared" si="33"/>
        <v>4.9166666666666661</v>
      </c>
      <c r="L197" s="75">
        <f>VLOOKUP($A197,'Data Vlaue (Cr)'!$C:$FB,67)</f>
        <v>569</v>
      </c>
      <c r="M197" s="75">
        <f>VLOOKUP($A197,'Data Vlaue (Cr)'!$C:$FB,68)</f>
        <v>322</v>
      </c>
      <c r="N197" s="75">
        <f t="shared" si="34"/>
        <v>247</v>
      </c>
      <c r="O197" s="75">
        <f t="shared" si="35"/>
        <v>43.409490333919152</v>
      </c>
      <c r="P197" s="75">
        <f>VLOOKUP($A197,'Data Vlaue (Cr)'!$C:$FB,119)</f>
        <v>0.56000000000000005</v>
      </c>
      <c r="Q197" s="75">
        <f>VLOOKUP($A197,'Data Vlaue (Cr)'!$C:$FB,122)*100</f>
        <v>0</v>
      </c>
      <c r="R197" s="75">
        <f>VLOOKUP($A197,'Data Vlaue (Cr)'!$C:$FB,125)</f>
        <v>0.28000000000000003</v>
      </c>
      <c r="S197" s="75">
        <f>VLOOKUP($A197,'Data Vlaue (Cr)'!$C:$FB,128)*100</f>
        <v>-9.68</v>
      </c>
    </row>
    <row r="198" spans="1:19" x14ac:dyDescent="0.25">
      <c r="A198" s="96" t="str">
        <f>'Data Vlaue (Cr)'!C189</f>
        <v>TATACONSUM</v>
      </c>
      <c r="B198" s="75">
        <f>VLOOKUP($A198,'Data Vlaue (Cr)'!$C:$FB,2)</f>
        <v>550</v>
      </c>
      <c r="C198" s="75">
        <f>VLOOKUP($A198,'Data Vlaue (Cr)'!$C:$FB,8)</f>
        <v>1152.5999999999999</v>
      </c>
      <c r="D198" s="75">
        <f>VLOOKUP($A198,'Data Vlaue (Cr)'!$C:$FB,4)</f>
        <v>1155.7</v>
      </c>
      <c r="E198" s="75">
        <f>VLOOKUP($A198,'Data Vlaue (Cr)'!$C:$FB,5)</f>
        <v>1156.2</v>
      </c>
      <c r="F198" s="75">
        <f t="shared" si="30"/>
        <v>3.1000000000001364</v>
      </c>
      <c r="G198" s="75">
        <f t="shared" si="31"/>
        <v>-4.3263822791381849E-2</v>
      </c>
      <c r="H198" s="75">
        <f>VLOOKUP($A198,'Data Vlaue (Cr)'!$C:$FB,99)</f>
        <v>2483</v>
      </c>
      <c r="I198" s="75">
        <f>VLOOKUP($A198,'Data Vlaue (Cr)'!$C:$FB,100)</f>
        <v>2477</v>
      </c>
      <c r="J198" s="75">
        <f t="shared" si="32"/>
        <v>6</v>
      </c>
      <c r="K198" s="75">
        <f t="shared" si="33"/>
        <v>0.24164317358034634</v>
      </c>
      <c r="L198" s="75">
        <f>VLOOKUP($A198,'Data Vlaue (Cr)'!$C:$FB,67)</f>
        <v>439</v>
      </c>
      <c r="M198" s="75">
        <f>VLOOKUP($A198,'Data Vlaue (Cr)'!$C:$FB,68)</f>
        <v>706</v>
      </c>
      <c r="N198" s="75">
        <f t="shared" si="34"/>
        <v>-267</v>
      </c>
      <c r="O198" s="75">
        <f t="shared" si="35"/>
        <v>-60.820045558086555</v>
      </c>
      <c r="P198" s="75">
        <f>VLOOKUP($A198,'Data Vlaue (Cr)'!$C:$FB,119)</f>
        <v>0.75</v>
      </c>
      <c r="Q198" s="75">
        <f>VLOOKUP($A198,'Data Vlaue (Cr)'!$C:$FB,122)*100</f>
        <v>-2.6</v>
      </c>
      <c r="R198" s="75">
        <f>VLOOKUP($A198,'Data Vlaue (Cr)'!$C:$FB,125)</f>
        <v>0.3</v>
      </c>
      <c r="S198" s="75">
        <f>VLOOKUP($A198,'Data Vlaue (Cr)'!$C:$FB,128)*100</f>
        <v>-47.370000000000005</v>
      </c>
    </row>
    <row r="199" spans="1:19" x14ac:dyDescent="0.25">
      <c r="A199" s="96" t="str">
        <f>'Data Vlaue (Cr)'!C190</f>
        <v>TATAELXSI</v>
      </c>
      <c r="B199" s="75">
        <f>VLOOKUP($A199,'Data Vlaue (Cr)'!$C:$FB,2)</f>
        <v>100</v>
      </c>
      <c r="C199" s="75">
        <f>VLOOKUP($A199,'Data Vlaue (Cr)'!$C:$FB,8)</f>
        <v>5250.5</v>
      </c>
      <c r="D199" s="75">
        <f>VLOOKUP($A199,'Data Vlaue (Cr)'!$C:$FB,4)</f>
        <v>5240</v>
      </c>
      <c r="E199" s="75">
        <f>VLOOKUP($A199,'Data Vlaue (Cr)'!$C:$FB,5)</f>
        <v>5385.5</v>
      </c>
      <c r="F199" s="75">
        <f t="shared" si="30"/>
        <v>-10.5</v>
      </c>
      <c r="G199" s="75">
        <f t="shared" si="31"/>
        <v>-2.7767175572519083</v>
      </c>
      <c r="H199" s="75">
        <f>VLOOKUP($A199,'Data Vlaue (Cr)'!$C:$FB,99)</f>
        <v>2040</v>
      </c>
      <c r="I199" s="75">
        <f>VLOOKUP($A199,'Data Vlaue (Cr)'!$C:$FB,100)</f>
        <v>1919</v>
      </c>
      <c r="J199" s="75">
        <f t="shared" si="32"/>
        <v>121</v>
      </c>
      <c r="K199" s="75">
        <f t="shared" si="33"/>
        <v>5.9313725490196072</v>
      </c>
      <c r="L199" s="75">
        <f>VLOOKUP($A199,'Data Vlaue (Cr)'!$C:$FB,67)</f>
        <v>1171</v>
      </c>
      <c r="M199" s="75">
        <f>VLOOKUP($A199,'Data Vlaue (Cr)'!$C:$FB,68)</f>
        <v>2139</v>
      </c>
      <c r="N199" s="75">
        <f t="shared" si="34"/>
        <v>-968</v>
      </c>
      <c r="O199" s="75">
        <f t="shared" si="35"/>
        <v>-82.664389410760037</v>
      </c>
      <c r="P199" s="75">
        <f>VLOOKUP($A199,'Data Vlaue (Cr)'!$C:$FB,119)</f>
        <v>0.27</v>
      </c>
      <c r="Q199" s="75">
        <f>VLOOKUP($A199,'Data Vlaue (Cr)'!$C:$FB,122)*100</f>
        <v>-12.9</v>
      </c>
      <c r="R199" s="75">
        <f>VLOOKUP($A199,'Data Vlaue (Cr)'!$C:$FB,125)</f>
        <v>0.31</v>
      </c>
      <c r="S199" s="75">
        <f>VLOOKUP($A199,'Data Vlaue (Cr)'!$C:$FB,128)*100</f>
        <v>63.160000000000004</v>
      </c>
    </row>
    <row r="200" spans="1:19" x14ac:dyDescent="0.25">
      <c r="A200" s="96" t="str">
        <f>'Data Vlaue (Cr)'!C191</f>
        <v>TATAPOWER</v>
      </c>
      <c r="B200" s="75">
        <f>VLOOKUP($A200,'Data Vlaue (Cr)'!$C:$FB,2)</f>
        <v>1450</v>
      </c>
      <c r="C200" s="75">
        <f>VLOOKUP($A200,'Data Vlaue (Cr)'!$C:$FB,8)</f>
        <v>375.65</v>
      </c>
      <c r="D200" s="75">
        <f>VLOOKUP($A200,'Data Vlaue (Cr)'!$C:$FB,4)</f>
        <v>376.8</v>
      </c>
      <c r="E200" s="75">
        <f>VLOOKUP($A200,'Data Vlaue (Cr)'!$C:$FB,5)</f>
        <v>370.8</v>
      </c>
      <c r="F200" s="75">
        <f t="shared" si="30"/>
        <v>1.1500000000000341</v>
      </c>
      <c r="G200" s="75">
        <f t="shared" si="31"/>
        <v>1.5923566878980893</v>
      </c>
      <c r="H200" s="75">
        <f>VLOOKUP($A200,'Data Vlaue (Cr)'!$C:$FB,99)</f>
        <v>4540</v>
      </c>
      <c r="I200" s="75">
        <f>VLOOKUP($A200,'Data Vlaue (Cr)'!$C:$FB,100)</f>
        <v>4487</v>
      </c>
      <c r="J200" s="75">
        <f t="shared" si="32"/>
        <v>53</v>
      </c>
      <c r="K200" s="75">
        <f t="shared" si="33"/>
        <v>1.1674008810572687</v>
      </c>
      <c r="L200" s="75">
        <f>VLOOKUP($A200,'Data Vlaue (Cr)'!$C:$FB,67)</f>
        <v>2602</v>
      </c>
      <c r="M200" s="75">
        <f>VLOOKUP($A200,'Data Vlaue (Cr)'!$C:$FB,68)</f>
        <v>1135</v>
      </c>
      <c r="N200" s="75">
        <f t="shared" si="34"/>
        <v>1467</v>
      </c>
      <c r="O200" s="75">
        <f t="shared" si="35"/>
        <v>56.379707916986931</v>
      </c>
      <c r="P200" s="75">
        <f>VLOOKUP($A200,'Data Vlaue (Cr)'!$C:$FB,119)</f>
        <v>0.79</v>
      </c>
      <c r="Q200" s="75">
        <f>VLOOKUP($A200,'Data Vlaue (Cr)'!$C:$FB,122)*100</f>
        <v>-2.4699999999999998</v>
      </c>
      <c r="R200" s="75">
        <f>VLOOKUP($A200,'Data Vlaue (Cr)'!$C:$FB,125)</f>
        <v>0.39</v>
      </c>
      <c r="S200" s="75">
        <f>VLOOKUP($A200,'Data Vlaue (Cr)'!$C:$FB,128)*100</f>
        <v>-37.1</v>
      </c>
    </row>
    <row r="201" spans="1:19" x14ac:dyDescent="0.25">
      <c r="A201" s="96" t="str">
        <f>'Data Vlaue (Cr)'!C192</f>
        <v>TATASTEEL</v>
      </c>
      <c r="B201" s="75">
        <f>VLOOKUP($A201,'Data Vlaue (Cr)'!$C:$FB,2)</f>
        <v>5500</v>
      </c>
      <c r="C201" s="75">
        <f>VLOOKUP($A201,'Data Vlaue (Cr)'!$C:$FB,8)</f>
        <v>207.59</v>
      </c>
      <c r="D201" s="75">
        <f>VLOOKUP($A201,'Data Vlaue (Cr)'!$C:$FB,4)</f>
        <v>208.13</v>
      </c>
      <c r="E201" s="75">
        <f>VLOOKUP($A201,'Data Vlaue (Cr)'!$C:$FB,5)</f>
        <v>208.09</v>
      </c>
      <c r="F201" s="75">
        <f t="shared" si="30"/>
        <v>0.53999999999999204</v>
      </c>
      <c r="G201" s="75">
        <f t="shared" si="31"/>
        <v>1.9218757507323329E-2</v>
      </c>
      <c r="H201" s="75">
        <f>VLOOKUP($A201,'Data Vlaue (Cr)'!$C:$FB,99)</f>
        <v>9889</v>
      </c>
      <c r="I201" s="75">
        <f>VLOOKUP($A201,'Data Vlaue (Cr)'!$C:$FB,100)</f>
        <v>9939</v>
      </c>
      <c r="J201" s="75">
        <f t="shared" si="32"/>
        <v>-50</v>
      </c>
      <c r="K201" s="75">
        <f t="shared" si="33"/>
        <v>-0.50561229649105066</v>
      </c>
      <c r="L201" s="75">
        <f>VLOOKUP($A201,'Data Vlaue (Cr)'!$C:$FB,67)</f>
        <v>9120</v>
      </c>
      <c r="M201" s="75">
        <f>VLOOKUP($A201,'Data Vlaue (Cr)'!$C:$FB,68)</f>
        <v>23007</v>
      </c>
      <c r="N201" s="75">
        <f t="shared" si="34"/>
        <v>-13887</v>
      </c>
      <c r="O201" s="75">
        <f t="shared" si="35"/>
        <v>-152.26973684210526</v>
      </c>
      <c r="P201" s="75">
        <f>VLOOKUP($A201,'Data Vlaue (Cr)'!$C:$FB,119)</f>
        <v>0.82</v>
      </c>
      <c r="Q201" s="75">
        <f>VLOOKUP($A201,'Data Vlaue (Cr)'!$C:$FB,122)*100</f>
        <v>1.23</v>
      </c>
      <c r="R201" s="75">
        <f>VLOOKUP($A201,'Data Vlaue (Cr)'!$C:$FB,125)</f>
        <v>0.56000000000000005</v>
      </c>
      <c r="S201" s="75">
        <f>VLOOKUP($A201,'Data Vlaue (Cr)'!$C:$FB,128)*100</f>
        <v>24.44</v>
      </c>
    </row>
    <row r="202" spans="1:19" x14ac:dyDescent="0.25">
      <c r="A202" s="96" t="str">
        <f>'Data Vlaue (Cr)'!C193</f>
        <v>TATATECH</v>
      </c>
      <c r="B202" s="75">
        <f>VLOOKUP($A202,'Data Vlaue (Cr)'!$C:$FB,2)</f>
        <v>800</v>
      </c>
      <c r="C202" s="75">
        <f>VLOOKUP($A202,'Data Vlaue (Cr)'!$C:$FB,8)</f>
        <v>627.95000000000005</v>
      </c>
      <c r="D202" s="75">
        <f>VLOOKUP($A202,'Data Vlaue (Cr)'!$C:$FB,4)</f>
        <v>628.65</v>
      </c>
      <c r="E202" s="75">
        <f>VLOOKUP($A202,'Data Vlaue (Cr)'!$C:$FB,5)</f>
        <v>632.79999999999995</v>
      </c>
      <c r="F202" s="75">
        <f t="shared" si="30"/>
        <v>0.69999999999993179</v>
      </c>
      <c r="G202" s="75">
        <f t="shared" si="31"/>
        <v>-0.66014475463293998</v>
      </c>
      <c r="H202" s="75">
        <f>VLOOKUP($A202,'Data Vlaue (Cr)'!$C:$FB,99)</f>
        <v>1313</v>
      </c>
      <c r="I202" s="75">
        <f>VLOOKUP($A202,'Data Vlaue (Cr)'!$C:$FB,100)</f>
        <v>1292</v>
      </c>
      <c r="J202" s="75">
        <f t="shared" si="32"/>
        <v>21</v>
      </c>
      <c r="K202" s="75">
        <f t="shared" si="33"/>
        <v>1.5993907083015995</v>
      </c>
      <c r="L202" s="75">
        <f>VLOOKUP($A202,'Data Vlaue (Cr)'!$C:$FB,67)</f>
        <v>289</v>
      </c>
      <c r="M202" s="75">
        <f>VLOOKUP($A202,'Data Vlaue (Cr)'!$C:$FB,68)</f>
        <v>721</v>
      </c>
      <c r="N202" s="75">
        <f t="shared" si="34"/>
        <v>-432</v>
      </c>
      <c r="O202" s="75">
        <f t="shared" si="35"/>
        <v>-149.48096885813149</v>
      </c>
      <c r="P202" s="75">
        <f>VLOOKUP($A202,'Data Vlaue (Cr)'!$C:$FB,119)</f>
        <v>0.68</v>
      </c>
      <c r="Q202" s="75">
        <f>VLOOKUP($A202,'Data Vlaue (Cr)'!$C:$FB,122)*100</f>
        <v>1.49</v>
      </c>
      <c r="R202" s="75">
        <f>VLOOKUP($A202,'Data Vlaue (Cr)'!$C:$FB,125)</f>
        <v>0.62</v>
      </c>
      <c r="S202" s="75">
        <f>VLOOKUP($A202,'Data Vlaue (Cr)'!$C:$FB,128)*100</f>
        <v>87.88</v>
      </c>
    </row>
    <row r="203" spans="1:19" x14ac:dyDescent="0.25">
      <c r="A203" s="96" t="str">
        <f>'Data Vlaue (Cr)'!C194</f>
        <v>TCS</v>
      </c>
      <c r="B203" s="75">
        <f>VLOOKUP($A203,'Data Vlaue (Cr)'!$C:$FB,2)</f>
        <v>175</v>
      </c>
      <c r="C203" s="75">
        <f>VLOOKUP($A203,'Data Vlaue (Cr)'!$C:$FB,8)</f>
        <v>2909.8</v>
      </c>
      <c r="D203" s="75">
        <f>VLOOKUP($A203,'Data Vlaue (Cr)'!$C:$FB,4)</f>
        <v>2918.3</v>
      </c>
      <c r="E203" s="75">
        <f>VLOOKUP($A203,'Data Vlaue (Cr)'!$C:$FB,5)</f>
        <v>2991.7</v>
      </c>
      <c r="F203" s="75">
        <f t="shared" si="30"/>
        <v>8.5</v>
      </c>
      <c r="G203" s="75">
        <f t="shared" si="31"/>
        <v>-2.5151629373265134</v>
      </c>
      <c r="H203" s="75">
        <f>VLOOKUP($A203,'Data Vlaue (Cr)'!$C:$FB,99)</f>
        <v>17951</v>
      </c>
      <c r="I203" s="75">
        <f>VLOOKUP($A203,'Data Vlaue (Cr)'!$C:$FB,100)</f>
        <v>16877</v>
      </c>
      <c r="J203" s="75">
        <f t="shared" si="32"/>
        <v>1074</v>
      </c>
      <c r="K203" s="75">
        <f t="shared" si="33"/>
        <v>5.98295359589995</v>
      </c>
      <c r="L203" s="75">
        <f>VLOOKUP($A203,'Data Vlaue (Cr)'!$C:$FB,67)</f>
        <v>12660</v>
      </c>
      <c r="M203" s="75">
        <f>VLOOKUP($A203,'Data Vlaue (Cr)'!$C:$FB,68)</f>
        <v>12126</v>
      </c>
      <c r="N203" s="75">
        <f t="shared" si="34"/>
        <v>534</v>
      </c>
      <c r="O203" s="75">
        <f t="shared" si="35"/>
        <v>4.218009478672986</v>
      </c>
      <c r="P203" s="75">
        <f>VLOOKUP($A203,'Data Vlaue (Cr)'!$C:$FB,119)</f>
        <v>0.56999999999999995</v>
      </c>
      <c r="Q203" s="75">
        <f>VLOOKUP($A203,'Data Vlaue (Cr)'!$C:$FB,122)*100</f>
        <v>0</v>
      </c>
      <c r="R203" s="75">
        <f>VLOOKUP($A203,'Data Vlaue (Cr)'!$C:$FB,125)</f>
        <v>0.63</v>
      </c>
      <c r="S203" s="75">
        <f>VLOOKUP($A203,'Data Vlaue (Cr)'!$C:$FB,128)*100</f>
        <v>40</v>
      </c>
    </row>
    <row r="204" spans="1:19" x14ac:dyDescent="0.25">
      <c r="A204" s="96" t="str">
        <f>'Data Vlaue (Cr)'!C195</f>
        <v>TECHM</v>
      </c>
      <c r="B204" s="75">
        <f>VLOOKUP($A204,'Data Vlaue (Cr)'!$C:$FB,2)</f>
        <v>600</v>
      </c>
      <c r="C204" s="75">
        <f>VLOOKUP($A204,'Data Vlaue (Cr)'!$C:$FB,8)</f>
        <v>1634.4</v>
      </c>
      <c r="D204" s="75">
        <f>VLOOKUP($A204,'Data Vlaue (Cr)'!$C:$FB,4)</f>
        <v>1633.9</v>
      </c>
      <c r="E204" s="75">
        <f>VLOOKUP($A204,'Data Vlaue (Cr)'!$C:$FB,5)</f>
        <v>1645.4</v>
      </c>
      <c r="F204" s="75">
        <f t="shared" si="30"/>
        <v>-0.5</v>
      </c>
      <c r="G204" s="75">
        <f t="shared" si="31"/>
        <v>-0.70383744415202887</v>
      </c>
      <c r="H204" s="75">
        <f>VLOOKUP($A204,'Data Vlaue (Cr)'!$C:$FB,99)</f>
        <v>5311</v>
      </c>
      <c r="I204" s="75">
        <f>VLOOKUP($A204,'Data Vlaue (Cr)'!$C:$FB,100)</f>
        <v>5316</v>
      </c>
      <c r="J204" s="75">
        <f t="shared" si="32"/>
        <v>-5</v>
      </c>
      <c r="K204" s="75">
        <f t="shared" si="33"/>
        <v>-9.4144228958764828E-2</v>
      </c>
      <c r="L204" s="75">
        <f>VLOOKUP($A204,'Data Vlaue (Cr)'!$C:$FB,67)</f>
        <v>2109</v>
      </c>
      <c r="M204" s="75">
        <f>VLOOKUP($A204,'Data Vlaue (Cr)'!$C:$FB,68)</f>
        <v>4074</v>
      </c>
      <c r="N204" s="75">
        <f t="shared" si="34"/>
        <v>-1965</v>
      </c>
      <c r="O204" s="75">
        <f t="shared" si="35"/>
        <v>-93.172119487908972</v>
      </c>
      <c r="P204" s="75">
        <f>VLOOKUP($A204,'Data Vlaue (Cr)'!$C:$FB,119)</f>
        <v>0.62</v>
      </c>
      <c r="Q204" s="75">
        <f>VLOOKUP($A204,'Data Vlaue (Cr)'!$C:$FB,122)*100</f>
        <v>0</v>
      </c>
      <c r="R204" s="75">
        <f>VLOOKUP($A204,'Data Vlaue (Cr)'!$C:$FB,125)</f>
        <v>0.8</v>
      </c>
      <c r="S204" s="75">
        <f>VLOOKUP($A204,'Data Vlaue (Cr)'!$C:$FB,128)*100</f>
        <v>81.820000000000007</v>
      </c>
    </row>
    <row r="205" spans="1:19" x14ac:dyDescent="0.25">
      <c r="A205" s="96" t="str">
        <f>'Data Vlaue (Cr)'!C196</f>
        <v>TIINDIA</v>
      </c>
      <c r="B205" s="75">
        <f>VLOOKUP($A205,'Data Vlaue (Cr)'!$C:$FB,2)</f>
        <v>200</v>
      </c>
      <c r="C205" s="75">
        <f>VLOOKUP($A205,'Data Vlaue (Cr)'!$C:$FB,8)</f>
        <v>2450.1999999999998</v>
      </c>
      <c r="D205" s="75">
        <f>VLOOKUP($A205,'Data Vlaue (Cr)'!$C:$FB,4)</f>
        <v>2451.8000000000002</v>
      </c>
      <c r="E205" s="75">
        <f>VLOOKUP($A205,'Data Vlaue (Cr)'!$C:$FB,5)</f>
        <v>2448.8000000000002</v>
      </c>
      <c r="F205" s="75">
        <f t="shared" si="30"/>
        <v>1.6000000000003638</v>
      </c>
      <c r="G205" s="75">
        <f t="shared" si="31"/>
        <v>0.1223590831226038</v>
      </c>
      <c r="H205" s="75">
        <f>VLOOKUP($A205,'Data Vlaue (Cr)'!$C:$FB,99)</f>
        <v>1503</v>
      </c>
      <c r="I205" s="75">
        <f>VLOOKUP($A205,'Data Vlaue (Cr)'!$C:$FB,100)</f>
        <v>1538</v>
      </c>
      <c r="J205" s="75">
        <f t="shared" si="32"/>
        <v>-35</v>
      </c>
      <c r="K205" s="75">
        <f t="shared" si="33"/>
        <v>-2.3286759813705924</v>
      </c>
      <c r="L205" s="75">
        <f>VLOOKUP($A205,'Data Vlaue (Cr)'!$C:$FB,67)</f>
        <v>772</v>
      </c>
      <c r="M205" s="75">
        <f>VLOOKUP($A205,'Data Vlaue (Cr)'!$C:$FB,68)</f>
        <v>1722</v>
      </c>
      <c r="N205" s="75">
        <f t="shared" si="34"/>
        <v>-950</v>
      </c>
      <c r="O205" s="75">
        <f t="shared" si="35"/>
        <v>-123.05699481865284</v>
      </c>
      <c r="P205" s="75">
        <f>VLOOKUP($A205,'Data Vlaue (Cr)'!$C:$FB,119)</f>
        <v>0.55000000000000004</v>
      </c>
      <c r="Q205" s="75">
        <f>VLOOKUP($A205,'Data Vlaue (Cr)'!$C:$FB,122)*100</f>
        <v>1.8499999999999999</v>
      </c>
      <c r="R205" s="75">
        <f>VLOOKUP($A205,'Data Vlaue (Cr)'!$C:$FB,125)</f>
        <v>0.27</v>
      </c>
      <c r="S205" s="75">
        <f>VLOOKUP($A205,'Data Vlaue (Cr)'!$C:$FB,128)*100</f>
        <v>-28.95</v>
      </c>
    </row>
    <row r="206" spans="1:19" x14ac:dyDescent="0.25">
      <c r="A206" s="96" t="str">
        <f>'Data Vlaue (Cr)'!C197</f>
        <v>TITAN</v>
      </c>
      <c r="B206" s="75">
        <f>VLOOKUP($A206,'Data Vlaue (Cr)'!$C:$FB,2)</f>
        <v>175</v>
      </c>
      <c r="C206" s="75">
        <f>VLOOKUP($A206,'Data Vlaue (Cr)'!$C:$FB,8)</f>
        <v>4249.1000000000004</v>
      </c>
      <c r="D206" s="75">
        <f>VLOOKUP($A206,'Data Vlaue (Cr)'!$C:$FB,4)</f>
        <v>4252.5</v>
      </c>
      <c r="E206" s="75">
        <f>VLOOKUP($A206,'Data Vlaue (Cr)'!$C:$FB,5)</f>
        <v>4283.1000000000004</v>
      </c>
      <c r="F206" s="75">
        <f t="shared" si="30"/>
        <v>3.3999999999996362</v>
      </c>
      <c r="G206" s="75">
        <f t="shared" si="31"/>
        <v>-0.71957671957672809</v>
      </c>
      <c r="H206" s="75">
        <f>VLOOKUP($A206,'Data Vlaue (Cr)'!$C:$FB,99)</f>
        <v>9814</v>
      </c>
      <c r="I206" s="75">
        <f>VLOOKUP($A206,'Data Vlaue (Cr)'!$C:$FB,100)</f>
        <v>8405</v>
      </c>
      <c r="J206" s="75">
        <f t="shared" si="32"/>
        <v>1409</v>
      </c>
      <c r="K206" s="75">
        <f t="shared" si="33"/>
        <v>14.357040961891176</v>
      </c>
      <c r="L206" s="75">
        <f>VLOOKUP($A206,'Data Vlaue (Cr)'!$C:$FB,67)</f>
        <v>31293</v>
      </c>
      <c r="M206" s="75">
        <f>VLOOKUP($A206,'Data Vlaue (Cr)'!$C:$FB,68)</f>
        <v>14906</v>
      </c>
      <c r="N206" s="75">
        <f t="shared" si="34"/>
        <v>16387</v>
      </c>
      <c r="O206" s="75">
        <f t="shared" si="35"/>
        <v>52.366343910778767</v>
      </c>
      <c r="P206" s="75">
        <f>VLOOKUP($A206,'Data Vlaue (Cr)'!$C:$FB,119)</f>
        <v>0.49</v>
      </c>
      <c r="Q206" s="75">
        <f>VLOOKUP($A206,'Data Vlaue (Cr)'!$C:$FB,122)*100</f>
        <v>-15.52</v>
      </c>
      <c r="R206" s="75">
        <f>VLOOKUP($A206,'Data Vlaue (Cr)'!$C:$FB,125)</f>
        <v>0.49</v>
      </c>
      <c r="S206" s="75">
        <f>VLOOKUP($A206,'Data Vlaue (Cr)'!$C:$FB,128)*100</f>
        <v>58.06</v>
      </c>
    </row>
    <row r="207" spans="1:19" x14ac:dyDescent="0.25">
      <c r="A207" s="96" t="str">
        <f>'Data Vlaue (Cr)'!C198</f>
        <v>TMPV</v>
      </c>
      <c r="B207" s="75">
        <f>VLOOKUP($A207,'Data Vlaue (Cr)'!$C:$FB,2)</f>
        <v>800</v>
      </c>
      <c r="C207" s="75">
        <f>VLOOKUP($A207,'Data Vlaue (Cr)'!$C:$FB,8)</f>
        <v>384.7</v>
      </c>
      <c r="D207" s="75">
        <f>VLOOKUP($A207,'Data Vlaue (Cr)'!$C:$FB,4)</f>
        <v>385.75</v>
      </c>
      <c r="E207" s="75">
        <f>VLOOKUP($A207,'Data Vlaue (Cr)'!$C:$FB,5)</f>
        <v>380.55</v>
      </c>
      <c r="F207" s="75">
        <f t="shared" si="30"/>
        <v>1.0500000000000114</v>
      </c>
      <c r="G207" s="75">
        <f t="shared" si="31"/>
        <v>1.3480233311730367</v>
      </c>
      <c r="H207" s="75">
        <f>VLOOKUP($A207,'Data Vlaue (Cr)'!$C:$FB,99)</f>
        <v>5889</v>
      </c>
      <c r="I207" s="75">
        <f>VLOOKUP($A207,'Data Vlaue (Cr)'!$C:$FB,100)</f>
        <v>5948</v>
      </c>
      <c r="J207" s="75">
        <f t="shared" si="32"/>
        <v>-59</v>
      </c>
      <c r="K207" s="75">
        <f t="shared" si="33"/>
        <v>-1.0018678892851078</v>
      </c>
      <c r="L207" s="75">
        <f>VLOOKUP($A207,'Data Vlaue (Cr)'!$C:$FB,67)</f>
        <v>5045</v>
      </c>
      <c r="M207" s="75">
        <f>VLOOKUP($A207,'Data Vlaue (Cr)'!$C:$FB,68)</f>
        <v>3019</v>
      </c>
      <c r="N207" s="75">
        <f t="shared" si="34"/>
        <v>2026</v>
      </c>
      <c r="O207" s="75">
        <f t="shared" si="35"/>
        <v>40.158572844400396</v>
      </c>
      <c r="P207" s="75">
        <f>VLOOKUP($A207,'Data Vlaue (Cr)'!$C:$FB,119)</f>
        <v>0.84</v>
      </c>
      <c r="Q207" s="75">
        <f>VLOOKUP($A207,'Data Vlaue (Cr)'!$C:$FB,122)*100</f>
        <v>-3.45</v>
      </c>
      <c r="R207" s="75">
        <f>VLOOKUP($A207,'Data Vlaue (Cr)'!$C:$FB,125)</f>
        <v>0.5</v>
      </c>
      <c r="S207" s="75">
        <f>VLOOKUP($A207,'Data Vlaue (Cr)'!$C:$FB,128)*100</f>
        <v>-5.66</v>
      </c>
    </row>
    <row r="208" spans="1:19" x14ac:dyDescent="0.25">
      <c r="A208" s="96" t="str">
        <f>'Data Vlaue (Cr)'!C199</f>
        <v>TORNTPHARM</v>
      </c>
      <c r="B208" s="75">
        <f>VLOOKUP($A208,'Data Vlaue (Cr)'!$C:$FB,2)</f>
        <v>250</v>
      </c>
      <c r="C208" s="75">
        <f>VLOOKUP($A208,'Data Vlaue (Cr)'!$C:$FB,8)</f>
        <v>4056.7</v>
      </c>
      <c r="D208" s="75">
        <f>VLOOKUP($A208,'Data Vlaue (Cr)'!$C:$FB,4)</f>
        <v>4026.5</v>
      </c>
      <c r="E208" s="75">
        <f>VLOOKUP($A208,'Data Vlaue (Cr)'!$C:$FB,5)</f>
        <v>4049</v>
      </c>
      <c r="F208" s="75">
        <f t="shared" si="30"/>
        <v>-30.199999999999818</v>
      </c>
      <c r="G208" s="75">
        <f t="shared" si="31"/>
        <v>-0.55879796349186639</v>
      </c>
      <c r="H208" s="75">
        <f>VLOOKUP($A208,'Data Vlaue (Cr)'!$C:$FB,99)</f>
        <v>1577</v>
      </c>
      <c r="I208" s="75">
        <f>VLOOKUP($A208,'Data Vlaue (Cr)'!$C:$FB,100)</f>
        <v>1483</v>
      </c>
      <c r="J208" s="75">
        <f t="shared" si="32"/>
        <v>94</v>
      </c>
      <c r="K208" s="75">
        <f t="shared" si="33"/>
        <v>5.9606848446417251</v>
      </c>
      <c r="L208" s="75">
        <f>VLOOKUP($A208,'Data Vlaue (Cr)'!$C:$FB,67)</f>
        <v>590</v>
      </c>
      <c r="M208" s="75">
        <f>VLOOKUP($A208,'Data Vlaue (Cr)'!$C:$FB,68)</f>
        <v>728</v>
      </c>
      <c r="N208" s="75">
        <f t="shared" si="34"/>
        <v>-138</v>
      </c>
      <c r="O208" s="75">
        <f t="shared" si="35"/>
        <v>-23.389830508474578</v>
      </c>
      <c r="P208" s="75">
        <f>VLOOKUP($A208,'Data Vlaue (Cr)'!$C:$FB,119)</f>
        <v>0.55000000000000004</v>
      </c>
      <c r="Q208" s="75">
        <f>VLOOKUP($A208,'Data Vlaue (Cr)'!$C:$FB,122)*100</f>
        <v>-6.78</v>
      </c>
      <c r="R208" s="75">
        <f>VLOOKUP($A208,'Data Vlaue (Cr)'!$C:$FB,125)</f>
        <v>0.31</v>
      </c>
      <c r="S208" s="75">
        <f>VLOOKUP($A208,'Data Vlaue (Cr)'!$C:$FB,128)*100</f>
        <v>82.35</v>
      </c>
    </row>
    <row r="209" spans="1:19" x14ac:dyDescent="0.25">
      <c r="A209" s="96" t="str">
        <f>'Data Vlaue (Cr)'!C200</f>
        <v>TORNTPOWER</v>
      </c>
      <c r="B209" s="75">
        <f>VLOOKUP($A209,'Data Vlaue (Cr)'!$C:$FB,2)</f>
        <v>425</v>
      </c>
      <c r="C209" s="75">
        <f>VLOOKUP($A209,'Data Vlaue (Cr)'!$C:$FB,8)</f>
        <v>1428.6</v>
      </c>
      <c r="D209" s="75">
        <f>VLOOKUP($A209,'Data Vlaue (Cr)'!$C:$FB,4)</f>
        <v>1414.8</v>
      </c>
      <c r="E209" s="75">
        <f>VLOOKUP($A209,'Data Vlaue (Cr)'!$C:$FB,5)</f>
        <v>1475.2</v>
      </c>
      <c r="F209" s="75">
        <f t="shared" si="30"/>
        <v>-13.799999999999955</v>
      </c>
      <c r="G209" s="75">
        <f t="shared" si="31"/>
        <v>-4.2691546508340465</v>
      </c>
      <c r="H209" s="75">
        <f>VLOOKUP($A209,'Data Vlaue (Cr)'!$C:$FB,99)</f>
        <v>1487</v>
      </c>
      <c r="I209" s="75">
        <f>VLOOKUP($A209,'Data Vlaue (Cr)'!$C:$FB,100)</f>
        <v>1184</v>
      </c>
      <c r="J209" s="75">
        <f t="shared" si="32"/>
        <v>303</v>
      </c>
      <c r="K209" s="75">
        <f t="shared" si="33"/>
        <v>20.376597175521184</v>
      </c>
      <c r="L209" s="75">
        <f>VLOOKUP($A209,'Data Vlaue (Cr)'!$C:$FB,67)</f>
        <v>4405</v>
      </c>
      <c r="M209" s="75">
        <f>VLOOKUP($A209,'Data Vlaue (Cr)'!$C:$FB,68)</f>
        <v>2942</v>
      </c>
      <c r="N209" s="75">
        <f t="shared" si="34"/>
        <v>1463</v>
      </c>
      <c r="O209" s="75">
        <f t="shared" si="35"/>
        <v>33.212258796821793</v>
      </c>
      <c r="P209" s="75">
        <f>VLOOKUP($A209,'Data Vlaue (Cr)'!$C:$FB,119)</f>
        <v>0.55000000000000004</v>
      </c>
      <c r="Q209" s="75">
        <f>VLOOKUP($A209,'Data Vlaue (Cr)'!$C:$FB,122)*100</f>
        <v>-34.520000000000003</v>
      </c>
      <c r="R209" s="75">
        <f>VLOOKUP($A209,'Data Vlaue (Cr)'!$C:$FB,125)</f>
        <v>0.52</v>
      </c>
      <c r="S209" s="75">
        <f>VLOOKUP($A209,'Data Vlaue (Cr)'!$C:$FB,128)*100</f>
        <v>48.57</v>
      </c>
    </row>
    <row r="210" spans="1:19" x14ac:dyDescent="0.25">
      <c r="A210" s="96" t="str">
        <f>'Data Vlaue (Cr)'!C201</f>
        <v>TRENT</v>
      </c>
      <c r="B210" s="75">
        <f>VLOOKUP($A210,'Data Vlaue (Cr)'!$C:$FB,2)</f>
        <v>100</v>
      </c>
      <c r="C210" s="75">
        <f>VLOOKUP($A210,'Data Vlaue (Cr)'!$C:$FB,8)</f>
        <v>4218.8999999999996</v>
      </c>
      <c r="D210" s="75">
        <f>VLOOKUP($A210,'Data Vlaue (Cr)'!$C:$FB,4)</f>
        <v>4224</v>
      </c>
      <c r="E210" s="75">
        <f>VLOOKUP($A210,'Data Vlaue (Cr)'!$C:$FB,5)</f>
        <v>4186.3</v>
      </c>
      <c r="F210" s="75">
        <f t="shared" si="30"/>
        <v>5.1000000000003638</v>
      </c>
      <c r="G210" s="75">
        <f t="shared" si="31"/>
        <v>0.89251893939393512</v>
      </c>
      <c r="H210" s="75">
        <f>VLOOKUP($A210,'Data Vlaue (Cr)'!$C:$FB,99)</f>
        <v>6111</v>
      </c>
      <c r="I210" s="75">
        <f>VLOOKUP($A210,'Data Vlaue (Cr)'!$C:$FB,100)</f>
        <v>6161</v>
      </c>
      <c r="J210" s="75">
        <f t="shared" si="32"/>
        <v>-50</v>
      </c>
      <c r="K210" s="75">
        <f t="shared" si="33"/>
        <v>-0.81819669448535437</v>
      </c>
      <c r="L210" s="75">
        <f>VLOOKUP($A210,'Data Vlaue (Cr)'!$C:$FB,67)</f>
        <v>3432</v>
      </c>
      <c r="M210" s="75">
        <f>VLOOKUP($A210,'Data Vlaue (Cr)'!$C:$FB,68)</f>
        <v>2217</v>
      </c>
      <c r="N210" s="75">
        <f t="shared" si="34"/>
        <v>1215</v>
      </c>
      <c r="O210" s="75">
        <f t="shared" si="35"/>
        <v>35.4020979020979</v>
      </c>
      <c r="P210" s="75">
        <f>VLOOKUP($A210,'Data Vlaue (Cr)'!$C:$FB,119)</f>
        <v>0.74</v>
      </c>
      <c r="Q210" s="75">
        <f>VLOOKUP($A210,'Data Vlaue (Cr)'!$C:$FB,122)*100</f>
        <v>8.82</v>
      </c>
      <c r="R210" s="75">
        <f>VLOOKUP($A210,'Data Vlaue (Cr)'!$C:$FB,125)</f>
        <v>0.5</v>
      </c>
      <c r="S210" s="75">
        <f>VLOOKUP($A210,'Data Vlaue (Cr)'!$C:$FB,128)*100</f>
        <v>-15.25</v>
      </c>
    </row>
    <row r="211" spans="1:19" x14ac:dyDescent="0.25">
      <c r="A211" s="96" t="str">
        <f>'Data Vlaue (Cr)'!C202</f>
        <v>TVSMOTOR</v>
      </c>
      <c r="B211" s="75">
        <f>VLOOKUP($A211,'Data Vlaue (Cr)'!$C:$FB,2)</f>
        <v>175</v>
      </c>
      <c r="C211" s="75">
        <f>VLOOKUP($A211,'Data Vlaue (Cr)'!$C:$FB,8)</f>
        <v>3865.1</v>
      </c>
      <c r="D211" s="75">
        <f>VLOOKUP($A211,'Data Vlaue (Cr)'!$C:$FB,4)</f>
        <v>3868.5</v>
      </c>
      <c r="E211" s="75">
        <f>VLOOKUP($A211,'Data Vlaue (Cr)'!$C:$FB,5)</f>
        <v>3775.2</v>
      </c>
      <c r="F211" s="75">
        <f t="shared" si="30"/>
        <v>3.4000000000000909</v>
      </c>
      <c r="G211" s="75">
        <f t="shared" si="31"/>
        <v>2.4117875145405243</v>
      </c>
      <c r="H211" s="75">
        <f>VLOOKUP($A211,'Data Vlaue (Cr)'!$C:$FB,99)</f>
        <v>4525</v>
      </c>
      <c r="I211" s="75">
        <f>VLOOKUP($A211,'Data Vlaue (Cr)'!$C:$FB,100)</f>
        <v>4358</v>
      </c>
      <c r="J211" s="75">
        <f t="shared" si="32"/>
        <v>167</v>
      </c>
      <c r="K211" s="75">
        <f t="shared" si="33"/>
        <v>3.6906077348066302</v>
      </c>
      <c r="L211" s="75">
        <f>VLOOKUP($A211,'Data Vlaue (Cr)'!$C:$FB,67)</f>
        <v>6641</v>
      </c>
      <c r="M211" s="75">
        <f>VLOOKUP($A211,'Data Vlaue (Cr)'!$C:$FB,68)</f>
        <v>1097</v>
      </c>
      <c r="N211" s="75">
        <f t="shared" si="34"/>
        <v>5544</v>
      </c>
      <c r="O211" s="75">
        <f t="shared" si="35"/>
        <v>83.481403403101936</v>
      </c>
      <c r="P211" s="75">
        <f>VLOOKUP($A211,'Data Vlaue (Cr)'!$C:$FB,119)</f>
        <v>0.68</v>
      </c>
      <c r="Q211" s="75">
        <f>VLOOKUP($A211,'Data Vlaue (Cr)'!$C:$FB,122)*100</f>
        <v>-2.86</v>
      </c>
      <c r="R211" s="75">
        <f>VLOOKUP($A211,'Data Vlaue (Cr)'!$C:$FB,125)</f>
        <v>0.26</v>
      </c>
      <c r="S211" s="75">
        <f>VLOOKUP($A211,'Data Vlaue (Cr)'!$C:$FB,128)*100</f>
        <v>-39.53</v>
      </c>
    </row>
    <row r="212" spans="1:19" x14ac:dyDescent="0.25">
      <c r="A212" s="96" t="str">
        <f>'Data Vlaue (Cr)'!C203</f>
        <v>ULTRACEMCO</v>
      </c>
      <c r="B212" s="75">
        <f>VLOOKUP($A212,'Data Vlaue (Cr)'!$C:$FB,2)</f>
        <v>50</v>
      </c>
      <c r="C212" s="75">
        <f>VLOOKUP($A212,'Data Vlaue (Cr)'!$C:$FB,8)</f>
        <v>12969</v>
      </c>
      <c r="D212" s="75">
        <f>VLOOKUP($A212,'Data Vlaue (Cr)'!$C:$FB,4)</f>
        <v>12976</v>
      </c>
      <c r="E212" s="75">
        <f>VLOOKUP($A212,'Data Vlaue (Cr)'!$C:$FB,5)</f>
        <v>13029</v>
      </c>
      <c r="F212" s="75">
        <f t="shared" si="30"/>
        <v>7</v>
      </c>
      <c r="G212" s="75">
        <f t="shared" si="31"/>
        <v>-0.40844636251541305</v>
      </c>
      <c r="H212" s="75">
        <f>VLOOKUP($A212,'Data Vlaue (Cr)'!$C:$FB,99)</f>
        <v>4717</v>
      </c>
      <c r="I212" s="75">
        <f>VLOOKUP($A212,'Data Vlaue (Cr)'!$C:$FB,100)</f>
        <v>4738</v>
      </c>
      <c r="J212" s="75">
        <f t="shared" si="32"/>
        <v>-21</v>
      </c>
      <c r="K212" s="75">
        <f t="shared" si="33"/>
        <v>-0.44519821920712316</v>
      </c>
      <c r="L212" s="75">
        <f>VLOOKUP($A212,'Data Vlaue (Cr)'!$C:$FB,67)</f>
        <v>1838</v>
      </c>
      <c r="M212" s="75">
        <f>VLOOKUP($A212,'Data Vlaue (Cr)'!$C:$FB,68)</f>
        <v>2873</v>
      </c>
      <c r="N212" s="75">
        <f t="shared" si="34"/>
        <v>-1035</v>
      </c>
      <c r="O212" s="75">
        <f t="shared" si="35"/>
        <v>-56.311207834602826</v>
      </c>
      <c r="P212" s="75">
        <f>VLOOKUP($A212,'Data Vlaue (Cr)'!$C:$FB,119)</f>
        <v>0.66</v>
      </c>
      <c r="Q212" s="75">
        <f>VLOOKUP($A212,'Data Vlaue (Cr)'!$C:$FB,122)*100</f>
        <v>-7.04</v>
      </c>
      <c r="R212" s="75">
        <f>VLOOKUP($A212,'Data Vlaue (Cr)'!$C:$FB,125)</f>
        <v>0.6</v>
      </c>
      <c r="S212" s="75">
        <f>VLOOKUP($A212,'Data Vlaue (Cr)'!$C:$FB,128)*100</f>
        <v>5.26</v>
      </c>
    </row>
    <row r="213" spans="1:19" x14ac:dyDescent="0.25">
      <c r="A213" s="96" t="str">
        <f>'Data Vlaue (Cr)'!C204</f>
        <v>UNIONBANK</v>
      </c>
      <c r="B213" s="75">
        <f>VLOOKUP($A213,'Data Vlaue (Cr)'!$C:$FB,2)</f>
        <v>4425</v>
      </c>
      <c r="C213" s="75">
        <f>VLOOKUP($A213,'Data Vlaue (Cr)'!$C:$FB,8)</f>
        <v>180.33</v>
      </c>
      <c r="D213" s="75">
        <f>VLOOKUP($A213,'Data Vlaue (Cr)'!$C:$FB,4)</f>
        <v>180.43</v>
      </c>
      <c r="E213" s="75">
        <f>VLOOKUP($A213,'Data Vlaue (Cr)'!$C:$FB,5)</f>
        <v>179.41</v>
      </c>
      <c r="F213" s="75">
        <f t="shared" si="30"/>
        <v>9.9999999999994316E-2</v>
      </c>
      <c r="G213" s="75">
        <f t="shared" si="31"/>
        <v>0.5653161891038132</v>
      </c>
      <c r="H213" s="75">
        <f>VLOOKUP($A213,'Data Vlaue (Cr)'!$C:$FB,99)</f>
        <v>2421</v>
      </c>
      <c r="I213" s="75">
        <f>VLOOKUP($A213,'Data Vlaue (Cr)'!$C:$FB,100)</f>
        <v>2454</v>
      </c>
      <c r="J213" s="75">
        <f t="shared" si="32"/>
        <v>-33</v>
      </c>
      <c r="K213" s="75">
        <f t="shared" si="33"/>
        <v>-1.3630731102850062</v>
      </c>
      <c r="L213" s="75">
        <f>VLOOKUP($A213,'Data Vlaue (Cr)'!$C:$FB,67)</f>
        <v>1768</v>
      </c>
      <c r="M213" s="75">
        <f>VLOOKUP($A213,'Data Vlaue (Cr)'!$C:$FB,68)</f>
        <v>939</v>
      </c>
      <c r="N213" s="75">
        <f t="shared" si="34"/>
        <v>829</v>
      </c>
      <c r="O213" s="75">
        <f t="shared" si="35"/>
        <v>46.889140271493211</v>
      </c>
      <c r="P213" s="75">
        <f>VLOOKUP($A213,'Data Vlaue (Cr)'!$C:$FB,119)</f>
        <v>0.64</v>
      </c>
      <c r="Q213" s="75">
        <f>VLOOKUP($A213,'Data Vlaue (Cr)'!$C:$FB,122)*100</f>
        <v>10.34</v>
      </c>
      <c r="R213" s="75">
        <f>VLOOKUP($A213,'Data Vlaue (Cr)'!$C:$FB,125)</f>
        <v>0.28000000000000003</v>
      </c>
      <c r="S213" s="75">
        <f>VLOOKUP($A213,'Data Vlaue (Cr)'!$C:$FB,128)*100</f>
        <v>-20</v>
      </c>
    </row>
    <row r="214" spans="1:19" x14ac:dyDescent="0.25">
      <c r="A214" s="96" t="str">
        <f>'Data Vlaue (Cr)'!C205</f>
        <v>UNITDSPR</v>
      </c>
      <c r="B214" s="75">
        <f>VLOOKUP($A214,'Data Vlaue (Cr)'!$C:$FB,2)</f>
        <v>400</v>
      </c>
      <c r="C214" s="75">
        <f>VLOOKUP($A214,'Data Vlaue (Cr)'!$C:$FB,8)</f>
        <v>1412.9</v>
      </c>
      <c r="D214" s="75">
        <f>VLOOKUP($A214,'Data Vlaue (Cr)'!$C:$FB,4)</f>
        <v>1413.6</v>
      </c>
      <c r="E214" s="75">
        <f>VLOOKUP($A214,'Data Vlaue (Cr)'!$C:$FB,5)</f>
        <v>1412.7</v>
      </c>
      <c r="F214" s="75">
        <f t="shared" si="30"/>
        <v>0.6999999999998181</v>
      </c>
      <c r="G214" s="75">
        <f t="shared" si="31"/>
        <v>6.3667232597613449E-2</v>
      </c>
      <c r="H214" s="75">
        <f>VLOOKUP($A214,'Data Vlaue (Cr)'!$C:$FB,99)</f>
        <v>2183</v>
      </c>
      <c r="I214" s="75">
        <f>VLOOKUP($A214,'Data Vlaue (Cr)'!$C:$FB,100)</f>
        <v>2180</v>
      </c>
      <c r="J214" s="75">
        <f t="shared" si="32"/>
        <v>3</v>
      </c>
      <c r="K214" s="75">
        <f t="shared" si="33"/>
        <v>0.13742556115437471</v>
      </c>
      <c r="L214" s="75">
        <f>VLOOKUP($A214,'Data Vlaue (Cr)'!$C:$FB,67)</f>
        <v>368</v>
      </c>
      <c r="M214" s="75">
        <f>VLOOKUP($A214,'Data Vlaue (Cr)'!$C:$FB,68)</f>
        <v>390</v>
      </c>
      <c r="N214" s="75">
        <f t="shared" si="34"/>
        <v>-22</v>
      </c>
      <c r="O214" s="75">
        <f t="shared" si="35"/>
        <v>-5.9782608695652177</v>
      </c>
      <c r="P214" s="75">
        <f>VLOOKUP($A214,'Data Vlaue (Cr)'!$C:$FB,119)</f>
        <v>0.94</v>
      </c>
      <c r="Q214" s="75">
        <f>VLOOKUP($A214,'Data Vlaue (Cr)'!$C:$FB,122)*100</f>
        <v>1.08</v>
      </c>
      <c r="R214" s="75">
        <f>VLOOKUP($A214,'Data Vlaue (Cr)'!$C:$FB,125)</f>
        <v>0.57999999999999996</v>
      </c>
      <c r="S214" s="75">
        <f>VLOOKUP($A214,'Data Vlaue (Cr)'!$C:$FB,128)*100</f>
        <v>38.1</v>
      </c>
    </row>
    <row r="215" spans="1:19" x14ac:dyDescent="0.25">
      <c r="A215" s="96" t="str">
        <f>'Data Vlaue (Cr)'!C206</f>
        <v>UNOMINDA</v>
      </c>
      <c r="B215" s="75">
        <f>VLOOKUP($A215,'Data Vlaue (Cr)'!$C:$FB,2)</f>
        <v>550</v>
      </c>
      <c r="C215" s="75">
        <f>VLOOKUP($A215,'Data Vlaue (Cr)'!$C:$FB,8)</f>
        <v>1245.8</v>
      </c>
      <c r="D215" s="75">
        <f>VLOOKUP($A215,'Data Vlaue (Cr)'!$C:$FB,4)</f>
        <v>1249.9000000000001</v>
      </c>
      <c r="E215" s="75">
        <f>VLOOKUP($A215,'Data Vlaue (Cr)'!$C:$FB,5)</f>
        <v>1234.3</v>
      </c>
      <c r="F215" s="75">
        <f t="shared" si="30"/>
        <v>4.1000000000001364</v>
      </c>
      <c r="G215" s="75">
        <f t="shared" si="31"/>
        <v>1.2480998479878498</v>
      </c>
      <c r="H215" s="75">
        <f>VLOOKUP($A215,'Data Vlaue (Cr)'!$C:$FB,99)</f>
        <v>1201</v>
      </c>
      <c r="I215" s="75">
        <f>VLOOKUP($A215,'Data Vlaue (Cr)'!$C:$FB,100)</f>
        <v>1211</v>
      </c>
      <c r="J215" s="75">
        <f t="shared" si="32"/>
        <v>-10</v>
      </c>
      <c r="K215" s="75">
        <f t="shared" si="33"/>
        <v>-0.83263946711074099</v>
      </c>
      <c r="L215" s="75">
        <f>VLOOKUP($A215,'Data Vlaue (Cr)'!$C:$FB,67)</f>
        <v>831</v>
      </c>
      <c r="M215" s="75">
        <f>VLOOKUP($A215,'Data Vlaue (Cr)'!$C:$FB,68)</f>
        <v>663</v>
      </c>
      <c r="N215" s="75">
        <f t="shared" si="34"/>
        <v>168</v>
      </c>
      <c r="O215" s="75">
        <f t="shared" si="35"/>
        <v>20.216606498194945</v>
      </c>
      <c r="P215" s="75">
        <f>VLOOKUP($A215,'Data Vlaue (Cr)'!$C:$FB,119)</f>
        <v>0.81</v>
      </c>
      <c r="Q215" s="75">
        <f>VLOOKUP($A215,'Data Vlaue (Cr)'!$C:$FB,122)*100</f>
        <v>1.25</v>
      </c>
      <c r="R215" s="75">
        <f>VLOOKUP($A215,'Data Vlaue (Cr)'!$C:$FB,125)</f>
        <v>0.41</v>
      </c>
      <c r="S215" s="75">
        <f>VLOOKUP($A215,'Data Vlaue (Cr)'!$C:$FB,128)*100</f>
        <v>-6.8199999999999994</v>
      </c>
    </row>
    <row r="216" spans="1:19" x14ac:dyDescent="0.25">
      <c r="A216" s="96" t="str">
        <f>'Data Vlaue (Cr)'!C207</f>
        <v>UPL</v>
      </c>
      <c r="B216" s="75">
        <f>VLOOKUP($A216,'Data Vlaue (Cr)'!$C:$FB,2)</f>
        <v>1355</v>
      </c>
      <c r="C216" s="75">
        <f>VLOOKUP($A216,'Data Vlaue (Cr)'!$C:$FB,8)</f>
        <v>749</v>
      </c>
      <c r="D216" s="75">
        <f>VLOOKUP($A216,'Data Vlaue (Cr)'!$C:$FB,4)</f>
        <v>750</v>
      </c>
      <c r="E216" s="75">
        <f>VLOOKUP($A216,'Data Vlaue (Cr)'!$C:$FB,5)</f>
        <v>747.9</v>
      </c>
      <c r="F216" s="75">
        <f t="shared" si="30"/>
        <v>1</v>
      </c>
      <c r="G216" s="75">
        <f t="shared" si="31"/>
        <v>0.28000000000000302</v>
      </c>
      <c r="H216" s="75">
        <f>VLOOKUP($A216,'Data Vlaue (Cr)'!$C:$FB,99)</f>
        <v>3778</v>
      </c>
      <c r="I216" s="75">
        <f>VLOOKUP($A216,'Data Vlaue (Cr)'!$C:$FB,100)</f>
        <v>3801</v>
      </c>
      <c r="J216" s="75">
        <f t="shared" si="32"/>
        <v>-23</v>
      </c>
      <c r="K216" s="75">
        <f t="shared" si="33"/>
        <v>-0.60878771836950762</v>
      </c>
      <c r="L216" s="75">
        <f>VLOOKUP($A216,'Data Vlaue (Cr)'!$C:$FB,67)</f>
        <v>1002</v>
      </c>
      <c r="M216" s="75">
        <f>VLOOKUP($A216,'Data Vlaue (Cr)'!$C:$FB,68)</f>
        <v>1672</v>
      </c>
      <c r="N216" s="75">
        <f t="shared" si="34"/>
        <v>-670</v>
      </c>
      <c r="O216" s="75">
        <f t="shared" si="35"/>
        <v>-66.866267465069868</v>
      </c>
      <c r="P216" s="75">
        <f>VLOOKUP($A216,'Data Vlaue (Cr)'!$C:$FB,119)</f>
        <v>0.59</v>
      </c>
      <c r="Q216" s="75">
        <f>VLOOKUP($A216,'Data Vlaue (Cr)'!$C:$FB,122)*100</f>
        <v>1.72</v>
      </c>
      <c r="R216" s="75">
        <f>VLOOKUP($A216,'Data Vlaue (Cr)'!$C:$FB,125)</f>
        <v>0.31</v>
      </c>
      <c r="S216" s="75">
        <f>VLOOKUP($A216,'Data Vlaue (Cr)'!$C:$FB,128)*100</f>
        <v>-26.19</v>
      </c>
    </row>
    <row r="217" spans="1:19" x14ac:dyDescent="0.25">
      <c r="A217" s="96" t="str">
        <f>'Data Vlaue (Cr)'!C208</f>
        <v>VBL</v>
      </c>
      <c r="B217" s="75">
        <f>VLOOKUP($A217,'Data Vlaue (Cr)'!$C:$FB,2)</f>
        <v>1125</v>
      </c>
      <c r="C217" s="75">
        <f>VLOOKUP($A217,'Data Vlaue (Cr)'!$C:$FB,8)</f>
        <v>456.9</v>
      </c>
      <c r="D217" s="75">
        <f>VLOOKUP($A217,'Data Vlaue (Cr)'!$C:$FB,4)</f>
        <v>458.4</v>
      </c>
      <c r="E217" s="75">
        <f>VLOOKUP($A217,'Data Vlaue (Cr)'!$C:$FB,5)</f>
        <v>456.8</v>
      </c>
      <c r="F217" s="75">
        <f t="shared" si="30"/>
        <v>1.5</v>
      </c>
      <c r="G217" s="75">
        <f t="shared" si="31"/>
        <v>0.34904013961604846</v>
      </c>
      <c r="H217" s="75">
        <f>VLOOKUP($A217,'Data Vlaue (Cr)'!$C:$FB,99)</f>
        <v>3678</v>
      </c>
      <c r="I217" s="75">
        <f>VLOOKUP($A217,'Data Vlaue (Cr)'!$C:$FB,100)</f>
        <v>3694</v>
      </c>
      <c r="J217" s="75">
        <f t="shared" si="32"/>
        <v>-16</v>
      </c>
      <c r="K217" s="75">
        <f t="shared" si="33"/>
        <v>-0.43501903208265358</v>
      </c>
      <c r="L217" s="75">
        <f>VLOOKUP($A217,'Data Vlaue (Cr)'!$C:$FB,67)</f>
        <v>710</v>
      </c>
      <c r="M217" s="75">
        <f>VLOOKUP($A217,'Data Vlaue (Cr)'!$C:$FB,68)</f>
        <v>1527</v>
      </c>
      <c r="N217" s="75">
        <f t="shared" si="34"/>
        <v>-817</v>
      </c>
      <c r="O217" s="75">
        <f t="shared" si="35"/>
        <v>-115.07042253521126</v>
      </c>
      <c r="P217" s="75">
        <f>VLOOKUP($A217,'Data Vlaue (Cr)'!$C:$FB,119)</f>
        <v>0.54</v>
      </c>
      <c r="Q217" s="75">
        <f>VLOOKUP($A217,'Data Vlaue (Cr)'!$C:$FB,122)*100</f>
        <v>-3.5700000000000003</v>
      </c>
      <c r="R217" s="75">
        <f>VLOOKUP($A217,'Data Vlaue (Cr)'!$C:$FB,125)</f>
        <v>0.37</v>
      </c>
      <c r="S217" s="75">
        <f>VLOOKUP($A217,'Data Vlaue (Cr)'!$C:$FB,128)*100</f>
        <v>-27.450000000000003</v>
      </c>
    </row>
    <row r="218" spans="1:19" x14ac:dyDescent="0.25">
      <c r="A218" s="96" t="str">
        <f>'Data Vlaue (Cr)'!C209</f>
        <v>VEDL</v>
      </c>
      <c r="B218" s="75">
        <f>VLOOKUP($A218,'Data Vlaue (Cr)'!$C:$FB,2)</f>
        <v>1150</v>
      </c>
      <c r="C218" s="75">
        <f>VLOOKUP($A218,'Data Vlaue (Cr)'!$C:$FB,8)</f>
        <v>701.15</v>
      </c>
      <c r="D218" s="75">
        <f>VLOOKUP($A218,'Data Vlaue (Cr)'!$C:$FB,4)</f>
        <v>703.7</v>
      </c>
      <c r="E218" s="75">
        <f>VLOOKUP($A218,'Data Vlaue (Cr)'!$C:$FB,5)</f>
        <v>690.65</v>
      </c>
      <c r="F218" s="75">
        <f t="shared" si="30"/>
        <v>2.5500000000000682</v>
      </c>
      <c r="G218" s="75">
        <f t="shared" si="31"/>
        <v>1.8544834446497183</v>
      </c>
      <c r="H218" s="75">
        <f>VLOOKUP($A218,'Data Vlaue (Cr)'!$C:$FB,99)</f>
        <v>12250</v>
      </c>
      <c r="I218" s="75">
        <f>VLOOKUP($A218,'Data Vlaue (Cr)'!$C:$FB,100)</f>
        <v>12409</v>
      </c>
      <c r="J218" s="75">
        <f t="shared" si="32"/>
        <v>-159</v>
      </c>
      <c r="K218" s="75">
        <f t="shared" si="33"/>
        <v>-1.2979591836734694</v>
      </c>
      <c r="L218" s="75">
        <f>VLOOKUP($A218,'Data Vlaue (Cr)'!$C:$FB,67)</f>
        <v>6647</v>
      </c>
      <c r="M218" s="75">
        <f>VLOOKUP($A218,'Data Vlaue (Cr)'!$C:$FB,68)</f>
        <v>5826</v>
      </c>
      <c r="N218" s="75">
        <f t="shared" si="34"/>
        <v>821</v>
      </c>
      <c r="O218" s="75">
        <f t="shared" si="35"/>
        <v>12.351436738378215</v>
      </c>
      <c r="P218" s="75">
        <f>VLOOKUP($A218,'Data Vlaue (Cr)'!$C:$FB,119)</f>
        <v>0.63</v>
      </c>
      <c r="Q218" s="75">
        <f>VLOOKUP($A218,'Data Vlaue (Cr)'!$C:$FB,122)*100</f>
        <v>3.2800000000000002</v>
      </c>
      <c r="R218" s="75">
        <f>VLOOKUP($A218,'Data Vlaue (Cr)'!$C:$FB,125)</f>
        <v>0.48</v>
      </c>
      <c r="S218" s="75">
        <f>VLOOKUP($A218,'Data Vlaue (Cr)'!$C:$FB,128)*100</f>
        <v>-12.73</v>
      </c>
    </row>
    <row r="219" spans="1:19" x14ac:dyDescent="0.25">
      <c r="A219" s="96" t="str">
        <f>'Data Vlaue (Cr)'!C210</f>
        <v>VOLTAS</v>
      </c>
      <c r="B219" s="75">
        <f>VLOOKUP($A219,'Data Vlaue (Cr)'!$C:$FB,2)</f>
        <v>375</v>
      </c>
      <c r="C219" s="75">
        <f>VLOOKUP($A219,'Data Vlaue (Cr)'!$C:$FB,8)</f>
        <v>1506.5</v>
      </c>
      <c r="D219" s="75">
        <f>VLOOKUP($A219,'Data Vlaue (Cr)'!$C:$FB,4)</f>
        <v>1507.2</v>
      </c>
      <c r="E219" s="75">
        <f>VLOOKUP($A219,'Data Vlaue (Cr)'!$C:$FB,5)</f>
        <v>1480.4</v>
      </c>
      <c r="F219" s="75">
        <f t="shared" si="30"/>
        <v>0.70000000000004547</v>
      </c>
      <c r="G219" s="75">
        <f t="shared" si="31"/>
        <v>1.7781316348195297</v>
      </c>
      <c r="H219" s="75">
        <f>VLOOKUP($A219,'Data Vlaue (Cr)'!$C:$FB,99)</f>
        <v>2844</v>
      </c>
      <c r="I219" s="75">
        <f>VLOOKUP($A219,'Data Vlaue (Cr)'!$C:$FB,100)</f>
        <v>2792</v>
      </c>
      <c r="J219" s="75">
        <f t="shared" si="32"/>
        <v>52</v>
      </c>
      <c r="K219" s="75">
        <f t="shared" si="33"/>
        <v>1.8284106891701828</v>
      </c>
      <c r="L219" s="75">
        <f>VLOOKUP($A219,'Data Vlaue (Cr)'!$C:$FB,67)</f>
        <v>1580</v>
      </c>
      <c r="M219" s="75">
        <f>VLOOKUP($A219,'Data Vlaue (Cr)'!$C:$FB,68)</f>
        <v>2798</v>
      </c>
      <c r="N219" s="75">
        <f t="shared" si="34"/>
        <v>-1218</v>
      </c>
      <c r="O219" s="75">
        <f t="shared" si="35"/>
        <v>-77.088607594936704</v>
      </c>
      <c r="P219" s="75">
        <f>VLOOKUP($A219,'Data Vlaue (Cr)'!$C:$FB,119)</f>
        <v>1.04</v>
      </c>
      <c r="Q219" s="75">
        <f>VLOOKUP($A219,'Data Vlaue (Cr)'!$C:$FB,122)*100</f>
        <v>7.22</v>
      </c>
      <c r="R219" s="75">
        <f>VLOOKUP($A219,'Data Vlaue (Cr)'!$C:$FB,125)</f>
        <v>0.55000000000000004</v>
      </c>
      <c r="S219" s="75">
        <f>VLOOKUP($A219,'Data Vlaue (Cr)'!$C:$FB,128)*100</f>
        <v>-14.06</v>
      </c>
    </row>
    <row r="220" spans="1:19" x14ac:dyDescent="0.25">
      <c r="A220" s="96" t="str">
        <f>'Data Vlaue (Cr)'!C211</f>
        <v>WAAREEENER</v>
      </c>
      <c r="B220" s="75">
        <f>VLOOKUP($A220,'Data Vlaue (Cr)'!$C:$FB,2)</f>
        <v>175</v>
      </c>
      <c r="C220" s="75">
        <f>VLOOKUP($A220,'Data Vlaue (Cr)'!$C:$FB,8)</f>
        <v>3177.6</v>
      </c>
      <c r="D220" s="75">
        <f>VLOOKUP($A220,'Data Vlaue (Cr)'!$C:$FB,4)</f>
        <v>3183.3</v>
      </c>
      <c r="E220" s="75">
        <f>VLOOKUP($A220,'Data Vlaue (Cr)'!$C:$FB,5)</f>
        <v>3169.3</v>
      </c>
      <c r="F220" s="75">
        <f t="shared" si="30"/>
        <v>5.7000000000002728</v>
      </c>
      <c r="G220" s="75">
        <f t="shared" si="31"/>
        <v>0.43979518110137272</v>
      </c>
      <c r="H220" s="75">
        <f>VLOOKUP($A220,'Data Vlaue (Cr)'!$C:$FB,99)</f>
        <v>1574</v>
      </c>
      <c r="I220" s="75">
        <f>VLOOKUP($A220,'Data Vlaue (Cr)'!$C:$FB,100)</f>
        <v>1516</v>
      </c>
      <c r="J220" s="75">
        <f t="shared" si="32"/>
        <v>58</v>
      </c>
      <c r="K220" s="75">
        <f t="shared" si="33"/>
        <v>3.6848792884371027</v>
      </c>
      <c r="L220" s="75">
        <f>VLOOKUP($A220,'Data Vlaue (Cr)'!$C:$FB,67)</f>
        <v>1206</v>
      </c>
      <c r="M220" s="75">
        <f>VLOOKUP($A220,'Data Vlaue (Cr)'!$C:$FB,68)</f>
        <v>1268</v>
      </c>
      <c r="N220" s="75">
        <f t="shared" si="34"/>
        <v>-62</v>
      </c>
      <c r="O220" s="75">
        <f t="shared" si="35"/>
        <v>-5.140961857379768</v>
      </c>
      <c r="P220" s="75">
        <f>VLOOKUP($A220,'Data Vlaue (Cr)'!$C:$FB,119)</f>
        <v>0.67</v>
      </c>
      <c r="Q220" s="75">
        <f>VLOOKUP($A220,'Data Vlaue (Cr)'!$C:$FB,122)*100</f>
        <v>3.08</v>
      </c>
      <c r="R220" s="75">
        <f>VLOOKUP($A220,'Data Vlaue (Cr)'!$C:$FB,125)</f>
        <v>0.34</v>
      </c>
      <c r="S220" s="75">
        <f>VLOOKUP($A220,'Data Vlaue (Cr)'!$C:$FB,128)*100</f>
        <v>9.68</v>
      </c>
    </row>
    <row r="221" spans="1:19" x14ac:dyDescent="0.25">
      <c r="A221" s="98" t="str">
        <f>'Data Vlaue (Cr)'!C212</f>
        <v>WIPRO</v>
      </c>
      <c r="B221" s="75">
        <f>VLOOKUP($A221,'Data Vlaue (Cr)'!$C:$FB,2)</f>
        <v>3000</v>
      </c>
      <c r="C221" s="75">
        <f>VLOOKUP($A221,'Data Vlaue (Cr)'!$C:$FB,8)</f>
        <v>229.81</v>
      </c>
      <c r="D221" s="75">
        <f>VLOOKUP($A221,'Data Vlaue (Cr)'!$C:$FB,4)</f>
        <v>229.9</v>
      </c>
      <c r="E221" s="75">
        <f>VLOOKUP($A221,'Data Vlaue (Cr)'!$C:$FB,5)</f>
        <v>231.5</v>
      </c>
      <c r="F221" s="75">
        <f t="shared" si="30"/>
        <v>9.0000000000003411E-2</v>
      </c>
      <c r="G221" s="75">
        <f t="shared" si="31"/>
        <v>-0.69595476294040637</v>
      </c>
      <c r="H221" s="75">
        <f>VLOOKUP($A221,'Data Vlaue (Cr)'!$C:$FB,99)</f>
        <v>7273</v>
      </c>
      <c r="I221" s="75">
        <f>VLOOKUP($A221,'Data Vlaue (Cr)'!$C:$FB,100)</f>
        <v>7191</v>
      </c>
      <c r="J221" s="75">
        <f t="shared" si="32"/>
        <v>82</v>
      </c>
      <c r="K221" s="75">
        <f t="shared" si="33"/>
        <v>1.1274577203354874</v>
      </c>
      <c r="L221" s="75">
        <f>VLOOKUP($A221,'Data Vlaue (Cr)'!$C:$FB,67)</f>
        <v>2207</v>
      </c>
      <c r="M221" s="75">
        <f>VLOOKUP($A221,'Data Vlaue (Cr)'!$C:$FB,68)</f>
        <v>3274</v>
      </c>
      <c r="N221" s="75">
        <f t="shared" si="34"/>
        <v>-1067</v>
      </c>
      <c r="O221" s="75">
        <f t="shared" si="35"/>
        <v>-48.346171273221564</v>
      </c>
      <c r="P221" s="75">
        <f>VLOOKUP($A221,'Data Vlaue (Cr)'!$C:$FB,119)</f>
        <v>0.55000000000000004</v>
      </c>
      <c r="Q221" s="75">
        <f>VLOOKUP($A221,'Data Vlaue (Cr)'!$C:$FB,122)*100</f>
        <v>0</v>
      </c>
      <c r="R221" s="75">
        <f>VLOOKUP($A221,'Data Vlaue (Cr)'!$C:$FB,125)</f>
        <v>0.6</v>
      </c>
      <c r="S221" s="75">
        <f>VLOOKUP($A221,'Data Vlaue (Cr)'!$C:$FB,128)*100</f>
        <v>27.66</v>
      </c>
    </row>
    <row r="222" spans="1:19" x14ac:dyDescent="0.25">
      <c r="A222" s="98" t="str">
        <f>'Data Vlaue (Cr)'!C213</f>
        <v>YESBANK</v>
      </c>
      <c r="B222" s="75">
        <f>VLOOKUP($A222,'Data Vlaue (Cr)'!$C:$FB,2)</f>
        <v>31100</v>
      </c>
      <c r="C222" s="75">
        <f>VLOOKUP($A222,'Data Vlaue (Cr)'!$C:$FB,8)</f>
        <v>21.32</v>
      </c>
      <c r="D222" s="75">
        <f>VLOOKUP($A222,'Data Vlaue (Cr)'!$C:$FB,4)</f>
        <v>21.34</v>
      </c>
      <c r="E222" s="75">
        <f>VLOOKUP($A222,'Data Vlaue (Cr)'!$C:$FB,5)</f>
        <v>21.42</v>
      </c>
      <c r="F222" s="75">
        <f t="shared" si="30"/>
        <v>1.9999999999999574E-2</v>
      </c>
      <c r="G222" s="75">
        <f t="shared" si="31"/>
        <v>-0.37488284910966185</v>
      </c>
      <c r="H222" s="75">
        <f>VLOOKUP($A222,'Data Vlaue (Cr)'!$C:$FB,99)</f>
        <v>3787</v>
      </c>
      <c r="I222" s="75">
        <f>VLOOKUP($A222,'Data Vlaue (Cr)'!$C:$FB,100)</f>
        <v>3794</v>
      </c>
      <c r="J222" s="75">
        <f t="shared" si="32"/>
        <v>-7</v>
      </c>
      <c r="K222" s="75">
        <f t="shared" si="33"/>
        <v>-0.18484288354898337</v>
      </c>
      <c r="L222" s="75">
        <f>VLOOKUP($A222,'Data Vlaue (Cr)'!$C:$FB,67)</f>
        <v>620</v>
      </c>
      <c r="M222" s="75">
        <f>VLOOKUP($A222,'Data Vlaue (Cr)'!$C:$FB,68)</f>
        <v>889</v>
      </c>
      <c r="N222" s="75">
        <f t="shared" si="34"/>
        <v>-269</v>
      </c>
      <c r="O222" s="75">
        <f t="shared" si="35"/>
        <v>-43.387096774193552</v>
      </c>
      <c r="P222" s="75">
        <f>VLOOKUP($A222,'Data Vlaue (Cr)'!$C:$FB,119)</f>
        <v>0.51</v>
      </c>
      <c r="Q222" s="75">
        <f>VLOOKUP($A222,'Data Vlaue (Cr)'!$C:$FB,122)*100</f>
        <v>-1.92</v>
      </c>
      <c r="R222" s="75">
        <f>VLOOKUP($A222,'Data Vlaue (Cr)'!$C:$FB,125)</f>
        <v>0.36</v>
      </c>
      <c r="S222" s="75">
        <f>VLOOKUP($A222,'Data Vlaue (Cr)'!$C:$FB,128)*100</f>
        <v>5.88</v>
      </c>
    </row>
    <row r="223" spans="1:19" x14ac:dyDescent="0.25">
      <c r="A223" s="98"/>
      <c r="B223" s="75"/>
      <c r="C223" s="75"/>
      <c r="D223" s="75"/>
      <c r="E223" s="75"/>
      <c r="F223" s="75"/>
      <c r="G223" s="75"/>
      <c r="H223" s="75"/>
      <c r="I223" s="75"/>
      <c r="J223" s="75"/>
      <c r="K223" s="75"/>
      <c r="L223" s="75"/>
      <c r="M223" s="75"/>
      <c r="N223" s="75"/>
      <c r="O223" s="75"/>
      <c r="P223" s="75"/>
      <c r="Q223" s="75"/>
      <c r="R223" s="75"/>
      <c r="S223" s="75"/>
    </row>
    <row r="224" spans="1:19" x14ac:dyDescent="0.25">
      <c r="A224" s="98"/>
      <c r="B224" s="75"/>
      <c r="C224" s="75"/>
      <c r="D224" s="75"/>
      <c r="E224" s="75"/>
      <c r="F224" s="75"/>
      <c r="G224" s="75"/>
      <c r="H224" s="75"/>
      <c r="I224" s="75"/>
      <c r="J224" s="75"/>
      <c r="K224" s="75"/>
      <c r="L224" s="75"/>
      <c r="M224" s="75"/>
      <c r="N224" s="75"/>
      <c r="O224" s="75"/>
      <c r="P224" s="75"/>
      <c r="Q224" s="75"/>
      <c r="R224" s="75"/>
      <c r="S224" s="75"/>
    </row>
    <row r="225" spans="1:19" x14ac:dyDescent="0.25">
      <c r="A225" s="98"/>
      <c r="B225" s="75"/>
      <c r="C225" s="75"/>
      <c r="D225" s="75"/>
      <c r="E225" s="75"/>
      <c r="F225" s="75"/>
      <c r="G225" s="75"/>
      <c r="H225" s="75"/>
      <c r="I225" s="75"/>
      <c r="J225" s="75"/>
      <c r="K225" s="75"/>
      <c r="L225" s="75"/>
      <c r="M225" s="75"/>
      <c r="N225" s="75"/>
      <c r="O225" s="75"/>
      <c r="P225" s="75"/>
      <c r="Q225" s="75"/>
      <c r="R225" s="75"/>
      <c r="S225" s="75"/>
    </row>
    <row r="226" spans="1:19" x14ac:dyDescent="0.25">
      <c r="A226" s="98"/>
      <c r="B226" s="75"/>
      <c r="C226" s="75"/>
      <c r="D226" s="75"/>
      <c r="E226" s="75"/>
      <c r="F226" s="75"/>
      <c r="G226" s="75"/>
      <c r="H226" s="75"/>
      <c r="I226" s="75"/>
      <c r="J226" s="75"/>
      <c r="K226" s="75"/>
      <c r="L226" s="75"/>
      <c r="M226" s="75"/>
      <c r="N226" s="75"/>
      <c r="O226" s="75"/>
      <c r="P226" s="75"/>
      <c r="Q226" s="75"/>
      <c r="R226" s="75"/>
      <c r="S226" s="75"/>
    </row>
    <row r="227" spans="1:19" x14ac:dyDescent="0.25">
      <c r="A227" s="258"/>
      <c r="B227" s="258"/>
      <c r="C227" s="258"/>
      <c r="D227" s="258"/>
      <c r="E227" s="258"/>
      <c r="F227" s="258"/>
      <c r="G227" s="15"/>
      <c r="H227" s="16"/>
      <c r="I227" s="258"/>
      <c r="J227" s="258"/>
      <c r="K227" s="258"/>
      <c r="L227" s="258"/>
      <c r="M227" s="258"/>
      <c r="N227" s="16"/>
      <c r="O227" s="16"/>
      <c r="P227" s="16"/>
      <c r="Q227" s="258"/>
      <c r="R227" s="258"/>
      <c r="S227" s="258"/>
    </row>
    <row r="228" spans="1:19" x14ac:dyDescent="0.25">
      <c r="A228" s="255" t="s">
        <v>391</v>
      </c>
      <c r="B228" s="256"/>
      <c r="C228" s="256"/>
      <c r="D228" s="256"/>
      <c r="E228" s="256"/>
      <c r="F228" s="257"/>
      <c r="G228" s="18"/>
      <c r="H228" s="18">
        <f>SUM(H11:H223)</f>
        <v>2282333</v>
      </c>
      <c r="I228" s="18">
        <f>SUM(I11:I223)</f>
        <v>2893158</v>
      </c>
      <c r="J228" s="18">
        <f>H228-I228</f>
        <v>-610825</v>
      </c>
      <c r="K228" s="19">
        <f>J228/I228</f>
        <v>-0.21112742546380114</v>
      </c>
      <c r="L228" s="18">
        <f>SUM(L11:L223)</f>
        <v>9863803</v>
      </c>
      <c r="M228" s="18">
        <f>SUM(M11:M223)</f>
        <v>60083202</v>
      </c>
      <c r="N228" s="18">
        <f>L228-M228</f>
        <v>-50219399</v>
      </c>
      <c r="O228" s="19">
        <f>N228/M228</f>
        <v>-0.83583093657358676</v>
      </c>
      <c r="P228" s="255"/>
      <c r="Q228" s="256"/>
      <c r="R228" s="256"/>
      <c r="S228" s="257"/>
    </row>
    <row r="232" spans="1:19" x14ac:dyDescent="0.25">
      <c r="A232" s="251" t="s">
        <v>334</v>
      </c>
      <c r="B232" s="251"/>
      <c r="C232" s="251"/>
      <c r="D232" s="6"/>
      <c r="E232" s="6"/>
      <c r="F232" s="6"/>
      <c r="G232" s="6"/>
      <c r="H232" s="8" t="s">
        <v>385</v>
      </c>
      <c r="J232" s="7"/>
      <c r="K232" s="7"/>
      <c r="L232" s="7"/>
      <c r="M232" s="7"/>
    </row>
    <row r="233" spans="1:19" x14ac:dyDescent="0.25">
      <c r="A233" s="22"/>
      <c r="B233" s="23" t="s">
        <v>182</v>
      </c>
      <c r="C233" s="24" t="s">
        <v>386</v>
      </c>
      <c r="D233" s="25" t="s">
        <v>266</v>
      </c>
      <c r="E233" s="24" t="s">
        <v>386</v>
      </c>
      <c r="F233" s="23" t="s">
        <v>461</v>
      </c>
      <c r="G233" s="23" t="s">
        <v>387</v>
      </c>
      <c r="H233" s="24" t="s">
        <v>386</v>
      </c>
    </row>
    <row r="234" spans="1:19" x14ac:dyDescent="0.25">
      <c r="A234" s="26" t="s">
        <v>388</v>
      </c>
      <c r="B234" s="9">
        <f>VLOOKUP(B233,'OI(Value)'!A7:E226,5,0)</f>
        <v>10890</v>
      </c>
      <c r="C234" s="146">
        <f>VLOOKUP(B233,'OI(Value)'!A7:G226,7,0)</f>
        <v>-1.9E-3</v>
      </c>
      <c r="D234" s="9">
        <f>VLOOKUP(D233,'OI(Value)'!A7:E226,5,0)</f>
        <v>43447</v>
      </c>
      <c r="E234" s="147">
        <f>VLOOKUP(D233,'OI(Value)'!A7:G226,7,0)</f>
        <v>2.2000000000000001E-3</v>
      </c>
      <c r="F234" s="9">
        <f>G234-D234-B234</f>
        <v>531531</v>
      </c>
      <c r="G234" s="10">
        <f>'OI(Value)'!E227</f>
        <v>585868</v>
      </c>
      <c r="H234" s="147">
        <f>'OI(Value)'!D234</f>
        <v>6.460499634730007E-3</v>
      </c>
    </row>
    <row r="235" spans="1:19" x14ac:dyDescent="0.25">
      <c r="A235" s="26" t="s">
        <v>389</v>
      </c>
      <c r="B235" s="9">
        <f>VLOOKUP(B233,'OI(Value)'!A7:H226,8,0)</f>
        <v>89482</v>
      </c>
      <c r="C235" s="146">
        <f>VLOOKUP(B233,'OI(Value)'!A7:J226,10,0)</f>
        <v>1.2800000000000001E-2</v>
      </c>
      <c r="D235" s="9">
        <f>VLOOKUP(D233,'OI(Value)'!A1:O227,8,0)</f>
        <v>506970</v>
      </c>
      <c r="E235" s="147">
        <f>VLOOKUP(D233,'OI(Value)'!A1:J226,10,0)</f>
        <v>0.37390000000000001</v>
      </c>
      <c r="F235" s="9">
        <f>G235-D235-B235</f>
        <v>276270</v>
      </c>
      <c r="G235" s="9">
        <f>'OI(Value)'!H227</f>
        <v>872722</v>
      </c>
      <c r="H235" s="147">
        <f>'OI(Value)'!D235</f>
        <v>0.17432584488531286</v>
      </c>
    </row>
    <row r="236" spans="1:19" x14ac:dyDescent="0.25">
      <c r="A236" s="26" t="s">
        <v>390</v>
      </c>
      <c r="B236" s="9">
        <f>VLOOKUP(B233,'OI(Value)'!A7:K226,11,0)</f>
        <v>104639</v>
      </c>
      <c r="C236" s="146">
        <f>VLOOKUP(B233,'OI(Value)'!A7:M226,13,0)</f>
        <v>0.12740000000000001</v>
      </c>
      <c r="D236" s="9">
        <f>VLOOKUP(D233,'OI(Value)'!A2:O228,11,0)</f>
        <v>534892</v>
      </c>
      <c r="E236" s="147">
        <f>VLOOKUP(D233,'OI(Value)'!A7:M226,13,0)</f>
        <v>0.2399</v>
      </c>
      <c r="F236" s="9">
        <f>G236-D236-B236</f>
        <v>186604</v>
      </c>
      <c r="G236" s="9">
        <f>'OI(Value)'!K227</f>
        <v>826135</v>
      </c>
      <c r="H236" s="147">
        <f>'OI(Volume)'!D242</f>
        <v>3.8652087481765567E-2</v>
      </c>
    </row>
    <row r="237" spans="1:19" x14ac:dyDescent="0.25">
      <c r="A237" s="22" t="s">
        <v>391</v>
      </c>
      <c r="B237" s="62">
        <f>SUM(B234:B236)</f>
        <v>205011</v>
      </c>
      <c r="C237" s="148">
        <f>VLOOKUP(B233,'OI(Value)'!A7:D148,4,0)</f>
        <v>6.7299999999999999E-2</v>
      </c>
      <c r="D237" s="62">
        <f>SUM(D234:D236)</f>
        <v>1085309</v>
      </c>
      <c r="E237" s="148">
        <f>VLOOKUP(D233,'OI(Value)'!A1:D227,4,0)</f>
        <v>-0.37459999999999999</v>
      </c>
      <c r="F237" s="62">
        <f>SUM(F234:F236)</f>
        <v>994405</v>
      </c>
      <c r="G237" s="62">
        <f>SUM(G234:G236)</f>
        <v>2284725</v>
      </c>
      <c r="H237" s="151">
        <f>'OI(Value)'!D237</f>
        <v>0.12285373513223692</v>
      </c>
    </row>
    <row r="241" spans="1:8" x14ac:dyDescent="0.25">
      <c r="A241" s="20" t="s">
        <v>392</v>
      </c>
      <c r="B241" s="11"/>
      <c r="C241" s="11"/>
      <c r="D241" s="11"/>
      <c r="E241" s="11"/>
      <c r="F241" s="11"/>
      <c r="G241" s="11"/>
      <c r="H241" s="12"/>
    </row>
    <row r="242" spans="1:8" x14ac:dyDescent="0.25">
      <c r="A242" s="27"/>
      <c r="B242" s="27"/>
      <c r="C242" s="252" t="s">
        <v>459</v>
      </c>
      <c r="D242" s="253"/>
      <c r="E242" s="254"/>
      <c r="F242" s="252" t="s">
        <v>460</v>
      </c>
      <c r="G242" s="253"/>
      <c r="H242" s="254"/>
    </row>
    <row r="243" spans="1:8" x14ac:dyDescent="0.25">
      <c r="A243" s="28"/>
      <c r="B243" s="27"/>
      <c r="C243" s="31">
        <f>D10</f>
        <v>46064</v>
      </c>
      <c r="D243" s="31" t="s">
        <v>397</v>
      </c>
      <c r="E243" s="32" t="s">
        <v>321</v>
      </c>
      <c r="F243" s="31">
        <f>C243</f>
        <v>46064</v>
      </c>
      <c r="G243" s="31" t="str">
        <f>D243</f>
        <v>Preious</v>
      </c>
      <c r="H243" s="32" t="s">
        <v>386</v>
      </c>
    </row>
    <row r="244" spans="1:8" x14ac:dyDescent="0.25">
      <c r="A244" s="29" t="s">
        <v>393</v>
      </c>
      <c r="B244" s="30"/>
      <c r="C244" s="13">
        <f>FII!N3</f>
        <v>6181</v>
      </c>
      <c r="D244" s="13">
        <f>FII!J3</f>
        <v>6180</v>
      </c>
      <c r="E244" s="14">
        <f>(C244-D244)/C244</f>
        <v>1.6178611875101117E-4</v>
      </c>
      <c r="F244" s="13">
        <f>FII!M3</f>
        <v>33861</v>
      </c>
      <c r="G244" s="13">
        <f>FII!I3</f>
        <v>33917</v>
      </c>
      <c r="H244" s="14">
        <f>(F244-G244)/F244</f>
        <v>-1.6538200289418505E-3</v>
      </c>
    </row>
    <row r="245" spans="1:8" x14ac:dyDescent="0.25">
      <c r="A245" s="249" t="s">
        <v>394</v>
      </c>
      <c r="B245" s="250"/>
      <c r="C245" s="13">
        <f>FII!N4</f>
        <v>55933</v>
      </c>
      <c r="D245" s="13">
        <f>FII!J4</f>
        <v>52803</v>
      </c>
      <c r="E245" s="14">
        <f>(C245-D245)/C245</f>
        <v>5.5959809057264942E-2</v>
      </c>
      <c r="F245" s="13">
        <f>FII!M4</f>
        <v>306925</v>
      </c>
      <c r="G245" s="13">
        <f>FII!I4</f>
        <v>290317</v>
      </c>
      <c r="H245" s="14">
        <f>(F245-G245)/F245</f>
        <v>5.4110939154516577E-2</v>
      </c>
    </row>
    <row r="246" spans="1:8" x14ac:dyDescent="0.25">
      <c r="A246" s="249" t="s">
        <v>395</v>
      </c>
      <c r="B246" s="250"/>
      <c r="C246" s="13">
        <f>FII!N15</f>
        <v>429655</v>
      </c>
      <c r="D246" s="13">
        <f>FII!J15</f>
        <v>428295</v>
      </c>
      <c r="E246" s="14">
        <f>(C246-D246)/C246</f>
        <v>3.1653303231662612E-3</v>
      </c>
      <c r="F246" s="13">
        <f>FII!M15</f>
        <v>6365432</v>
      </c>
      <c r="G246" s="13">
        <f>FII!I15</f>
        <v>6351826</v>
      </c>
      <c r="H246" s="14">
        <f>(F246-G246)/F246</f>
        <v>2.1374825777731974E-3</v>
      </c>
    </row>
    <row r="247" spans="1:8" x14ac:dyDescent="0.25">
      <c r="A247" s="249" t="s">
        <v>396</v>
      </c>
      <c r="B247" s="250"/>
      <c r="C247" s="13">
        <f>FII!N16</f>
        <v>65521</v>
      </c>
      <c r="D247" s="13">
        <f>FII!J16</f>
        <v>61076</v>
      </c>
      <c r="E247" s="14">
        <f>(C247-D247)/C247</f>
        <v>6.7840844919949322E-2</v>
      </c>
      <c r="F247" s="13">
        <f>FII!M16</f>
        <v>942785</v>
      </c>
      <c r="G247" s="13">
        <f>FII!I16</f>
        <v>880816</v>
      </c>
      <c r="H247" s="14">
        <f>(F247-G247)/F247</f>
        <v>6.5729726289663074E-2</v>
      </c>
    </row>
    <row r="248" spans="1:8" x14ac:dyDescent="0.25">
      <c r="A248" s="249" t="s">
        <v>391</v>
      </c>
      <c r="B248" s="250"/>
      <c r="C248" s="155">
        <f>SUM(C244:C247)</f>
        <v>557290</v>
      </c>
      <c r="D248" s="155">
        <f>SUM(D244:D247)</f>
        <v>548354</v>
      </c>
      <c r="E248" s="156">
        <f>(C248-D248)/C248</f>
        <v>1.6034739543146298E-2</v>
      </c>
      <c r="F248" s="157">
        <f>SUM(F244:F247)</f>
        <v>7649003</v>
      </c>
      <c r="G248" s="158">
        <f>SUM(G244:G247)</f>
        <v>7556876</v>
      </c>
      <c r="H248" s="156">
        <f>(F248-G248)/F248</f>
        <v>1.2044314795013155E-2</v>
      </c>
    </row>
  </sheetData>
  <mergeCells count="24">
    <mergeCell ref="P228:S228"/>
    <mergeCell ref="A228:F228"/>
    <mergeCell ref="Q227:S227"/>
    <mergeCell ref="I227:M227"/>
    <mergeCell ref="A227:F227"/>
    <mergeCell ref="A247:B247"/>
    <mergeCell ref="A248:B248"/>
    <mergeCell ref="A232:C232"/>
    <mergeCell ref="C242:E242"/>
    <mergeCell ref="F242:H242"/>
    <mergeCell ref="A245:B245"/>
    <mergeCell ref="A246:B246"/>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workbookViewId="0">
      <pane ySplit="5" topLeftCell="A6" activePane="bottomLeft" state="frozen"/>
      <selection pane="bottomLeft" activeCell="D9" sqref="D9"/>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1" t="s">
        <v>456</v>
      </c>
      <c r="B3" s="312"/>
      <c r="C3" s="312"/>
      <c r="D3" s="312"/>
      <c r="E3" s="312"/>
      <c r="F3" s="312"/>
      <c r="G3" s="313"/>
      <c r="H3" s="46"/>
    </row>
    <row r="4" spans="1:8" x14ac:dyDescent="0.25">
      <c r="A4" s="287" t="s">
        <v>366</v>
      </c>
      <c r="B4" s="106" t="s">
        <v>312</v>
      </c>
      <c r="C4" s="106" t="s">
        <v>313</v>
      </c>
      <c r="D4" s="287" t="s">
        <v>367</v>
      </c>
      <c r="E4" s="287"/>
      <c r="F4" s="287"/>
      <c r="G4" s="287"/>
      <c r="H4" s="47"/>
    </row>
    <row r="5" spans="1:8" x14ac:dyDescent="0.25">
      <c r="A5" s="306"/>
      <c r="B5" s="3">
        <f>PCR!B6</f>
        <v>46064</v>
      </c>
      <c r="C5" s="3">
        <f>B5</f>
        <v>46064</v>
      </c>
      <c r="D5" s="76" t="s">
        <v>367</v>
      </c>
      <c r="E5" s="76" t="s">
        <v>321</v>
      </c>
      <c r="F5" s="76" t="s">
        <v>368</v>
      </c>
      <c r="G5" s="76" t="s">
        <v>369</v>
      </c>
      <c r="H5" s="48"/>
    </row>
    <row r="6" spans="1:8" x14ac:dyDescent="0.25">
      <c r="A6" s="101" t="str">
        <f>'Data Vlaue (Cr)'!C2</f>
        <v>360ONE</v>
      </c>
      <c r="B6" s="144">
        <f>VLOOKUP($A6,'Data shares'!$C:$FA,7)</f>
        <v>1138.4000000000001</v>
      </c>
      <c r="C6" s="144">
        <f>VLOOKUP($A6,'Data shares'!$C:$FA,3)</f>
        <v>1142.2</v>
      </c>
      <c r="D6" s="144">
        <f>VLOOKUP($A6,'Data shares'!$C:$FA,23)</f>
        <v>3.8</v>
      </c>
      <c r="E6" s="145">
        <f>VLOOKUP($A6,'Data shares'!$C:$FA,26)*100</f>
        <v>0.33</v>
      </c>
      <c r="F6" s="144">
        <f>VLOOKUP($A6,'Data shares'!$C:$FA,24)</f>
        <v>1.6</v>
      </c>
      <c r="G6" s="144">
        <f>VLOOKUP($A6,'Data shares'!$C:$FA,25)</f>
        <v>2.2000000000000002</v>
      </c>
    </row>
    <row r="7" spans="1:8" x14ac:dyDescent="0.25">
      <c r="A7" s="101" t="str">
        <f>'Data Vlaue (Cr)'!C3</f>
        <v>ABB</v>
      </c>
      <c r="B7" s="144">
        <f>VLOOKUP($A7,'Data shares'!$C:$FA,7)</f>
        <v>5825.5</v>
      </c>
      <c r="C7" s="144">
        <f>VLOOKUP($A7,'Data shares'!$C:$FA,3)</f>
        <v>5826.5</v>
      </c>
      <c r="D7" s="144">
        <f>VLOOKUP($A7,'Data shares'!$C:$FA,23)</f>
        <v>1</v>
      </c>
      <c r="E7" s="145">
        <f>VLOOKUP($A7,'Data shares'!$C:$FA,26)*100</f>
        <v>0.02</v>
      </c>
      <c r="F7" s="144">
        <f>VLOOKUP($A7,'Data shares'!$C:$FA,24)</f>
        <v>11</v>
      </c>
      <c r="G7" s="144">
        <f>VLOOKUP($A7,'Data shares'!$C:$FA,25)</f>
        <v>-10</v>
      </c>
    </row>
    <row r="8" spans="1:8" x14ac:dyDescent="0.25">
      <c r="A8" s="101" t="str">
        <f>'Data Vlaue (Cr)'!C4</f>
        <v>ABCAPITAL</v>
      </c>
      <c r="B8" s="144">
        <f>VLOOKUP($A8,'Data shares'!$C:$FA,7)</f>
        <v>344.25</v>
      </c>
      <c r="C8" s="144">
        <f>VLOOKUP($A8,'Data shares'!$C:$FA,3)</f>
        <v>344.35</v>
      </c>
      <c r="D8" s="144">
        <f>VLOOKUP($A8,'Data shares'!$C:$FA,23)</f>
        <v>0.1</v>
      </c>
      <c r="E8" s="145">
        <f>VLOOKUP($A8,'Data shares'!$C:$FA,26)*100</f>
        <v>0.03</v>
      </c>
      <c r="F8" s="144">
        <f>VLOOKUP($A8,'Data shares'!$C:$FA,24)</f>
        <v>1.1499999999999999</v>
      </c>
      <c r="G8" s="144">
        <f>VLOOKUP($A8,'Data shares'!$C:$FA,25)</f>
        <v>-1.05</v>
      </c>
    </row>
    <row r="9" spans="1:8" x14ac:dyDescent="0.25">
      <c r="A9" s="101" t="str">
        <f>'Data Vlaue (Cr)'!C5</f>
        <v>ADANIENSOL</v>
      </c>
      <c r="B9" s="144">
        <f>VLOOKUP($A9,'Data shares'!$C:$FA,7)</f>
        <v>1033.8</v>
      </c>
      <c r="C9" s="144">
        <f>VLOOKUP($A9,'Data shares'!$C:$FA,3)</f>
        <v>1036.7</v>
      </c>
      <c r="D9" s="144">
        <f>VLOOKUP($A9,'Data shares'!$C:$FA,23)</f>
        <v>2.9</v>
      </c>
      <c r="E9" s="145">
        <f>VLOOKUP($A9,'Data shares'!$C:$FA,26)*100</f>
        <v>0.27999999999999997</v>
      </c>
      <c r="F9" s="144">
        <f>VLOOKUP($A9,'Data shares'!$C:$FA,24)</f>
        <v>2.8</v>
      </c>
      <c r="G9" s="144">
        <f>VLOOKUP($A9,'Data shares'!$C:$FA,25)</f>
        <v>0.1</v>
      </c>
    </row>
    <row r="10" spans="1:8" x14ac:dyDescent="0.25">
      <c r="A10" s="101" t="str">
        <f>'Data Vlaue (Cr)'!C6</f>
        <v>ADANIENT</v>
      </c>
      <c r="B10" s="144">
        <f>VLOOKUP($A10,'Data shares'!$C:$FA,7)</f>
        <v>2234.4</v>
      </c>
      <c r="C10" s="144">
        <f>VLOOKUP($A10,'Data shares'!$C:$FA,3)</f>
        <v>2236.6999999999998</v>
      </c>
      <c r="D10" s="144">
        <f>VLOOKUP($A10,'Data shares'!$C:$FA,23)</f>
        <v>2.2999999999999998</v>
      </c>
      <c r="E10" s="145">
        <f>VLOOKUP($A10,'Data shares'!$C:$FA,26)*100</f>
        <v>0.1</v>
      </c>
      <c r="F10" s="144">
        <f>VLOOKUP($A10,'Data shares'!$C:$FA,24)</f>
        <v>1.4</v>
      </c>
      <c r="G10" s="144">
        <f>VLOOKUP($A10,'Data shares'!$C:$FA,25)</f>
        <v>0.9</v>
      </c>
    </row>
    <row r="11" spans="1:8" x14ac:dyDescent="0.25">
      <c r="A11" s="101" t="str">
        <f>'Data Vlaue (Cr)'!C7</f>
        <v>ADANIGREEN</v>
      </c>
      <c r="B11" s="144">
        <f>VLOOKUP($A11,'Data shares'!$C:$FA,7)</f>
        <v>994.75</v>
      </c>
      <c r="C11" s="144">
        <f>VLOOKUP($A11,'Data shares'!$C:$FA,3)</f>
        <v>997.6</v>
      </c>
      <c r="D11" s="144">
        <f>VLOOKUP($A11,'Data shares'!$C:$FA,23)</f>
        <v>2.85</v>
      </c>
      <c r="E11" s="145">
        <f>VLOOKUP($A11,'Data shares'!$C:$FA,26)*100</f>
        <v>0.28999999999999998</v>
      </c>
      <c r="F11" s="144">
        <f>VLOOKUP($A11,'Data shares'!$C:$FA,24)</f>
        <v>2.9</v>
      </c>
      <c r="G11" s="144">
        <f>VLOOKUP($A11,'Data shares'!$C:$FA,25)</f>
        <v>-0.05</v>
      </c>
    </row>
    <row r="12" spans="1:8" x14ac:dyDescent="0.25">
      <c r="A12" s="101" t="str">
        <f>'Data Vlaue (Cr)'!C8</f>
        <v>ADANIPORTS</v>
      </c>
      <c r="B12" s="144">
        <f>VLOOKUP($A12,'Data shares'!$C:$FA,7)</f>
        <v>1553.4</v>
      </c>
      <c r="C12" s="144">
        <f>VLOOKUP($A12,'Data shares'!$C:$FA,3)</f>
        <v>1555.8</v>
      </c>
      <c r="D12" s="144">
        <f>VLOOKUP($A12,'Data shares'!$C:$FA,23)</f>
        <v>2.4</v>
      </c>
      <c r="E12" s="145">
        <f>VLOOKUP($A12,'Data shares'!$C:$FA,26)*100</f>
        <v>0.15</v>
      </c>
      <c r="F12" s="144">
        <f>VLOOKUP($A12,'Data shares'!$C:$FA,24)</f>
        <v>4.7</v>
      </c>
      <c r="G12" s="144">
        <f>VLOOKUP($A12,'Data shares'!$C:$FA,25)</f>
        <v>-2.2999999999999998</v>
      </c>
    </row>
    <row r="13" spans="1:8" x14ac:dyDescent="0.25">
      <c r="A13" s="101" t="str">
        <f>'Data Vlaue (Cr)'!C9</f>
        <v>ALKEM</v>
      </c>
      <c r="B13" s="144">
        <f>VLOOKUP($A13,'Data shares'!$C:$FA,7)</f>
        <v>5890</v>
      </c>
      <c r="C13" s="144">
        <f>VLOOKUP($A13,'Data shares'!$C:$FA,3)</f>
        <v>5851.5</v>
      </c>
      <c r="D13" s="144">
        <f>VLOOKUP($A13,'Data shares'!$C:$FA,23)</f>
        <v>-38.5</v>
      </c>
      <c r="E13" s="145">
        <f>VLOOKUP($A13,'Data shares'!$C:$FA,26)*100</f>
        <v>-0.65</v>
      </c>
      <c r="F13" s="144">
        <f>VLOOKUP($A13,'Data shares'!$C:$FA,24)</f>
        <v>-40</v>
      </c>
      <c r="G13" s="144">
        <f>VLOOKUP($A13,'Data shares'!$C:$FA,25)</f>
        <v>1.5</v>
      </c>
    </row>
    <row r="14" spans="1:8" x14ac:dyDescent="0.25">
      <c r="A14" s="101" t="str">
        <f>'Data Vlaue (Cr)'!C10</f>
        <v>AMBER</v>
      </c>
      <c r="B14" s="144">
        <f>VLOOKUP($A14,'Data shares'!$C:$FA,7)</f>
        <v>7696</v>
      </c>
      <c r="C14" s="144">
        <f>VLOOKUP($A14,'Data shares'!$C:$FA,3)</f>
        <v>7643.5</v>
      </c>
      <c r="D14" s="144">
        <f>VLOOKUP($A14,'Data shares'!$C:$FA,23)</f>
        <v>-52.5</v>
      </c>
      <c r="E14" s="145">
        <f>VLOOKUP($A14,'Data shares'!$C:$FA,26)*100</f>
        <v>-0.67999999999999994</v>
      </c>
      <c r="F14" s="144">
        <f>VLOOKUP($A14,'Data shares'!$C:$FA,24)</f>
        <v>-57.5</v>
      </c>
      <c r="G14" s="144">
        <f>VLOOKUP($A14,'Data shares'!$C:$FA,25)</f>
        <v>5</v>
      </c>
    </row>
    <row r="15" spans="1:8" x14ac:dyDescent="0.25">
      <c r="A15" s="101" t="str">
        <f>'Data Vlaue (Cr)'!C11</f>
        <v>AMBUJACEM</v>
      </c>
      <c r="B15" s="144">
        <f>VLOOKUP($A15,'Data shares'!$C:$FA,7)</f>
        <v>541.25</v>
      </c>
      <c r="C15" s="144">
        <f>VLOOKUP($A15,'Data shares'!$C:$FA,3)</f>
        <v>541.54999999999995</v>
      </c>
      <c r="D15" s="144">
        <f>VLOOKUP($A15,'Data shares'!$C:$FA,23)</f>
        <v>0.3</v>
      </c>
      <c r="E15" s="145">
        <f>VLOOKUP($A15,'Data shares'!$C:$FA,26)*100</f>
        <v>0.06</v>
      </c>
      <c r="F15" s="144">
        <f>VLOOKUP($A15,'Data shares'!$C:$FA,24)</f>
        <v>1.4</v>
      </c>
      <c r="G15" s="144">
        <f>VLOOKUP($A15,'Data shares'!$C:$FA,25)</f>
        <v>-1.1000000000000001</v>
      </c>
    </row>
    <row r="16" spans="1:8" x14ac:dyDescent="0.25">
      <c r="A16" s="101" t="str">
        <f>'Data Vlaue (Cr)'!C12</f>
        <v>ANGELONE</v>
      </c>
      <c r="B16" s="144">
        <f>VLOOKUP($A16,'Data shares'!$C:$FA,7)</f>
        <v>2781.1</v>
      </c>
      <c r="C16" s="144">
        <f>VLOOKUP($A16,'Data shares'!$C:$FA,3)</f>
        <v>2790.9</v>
      </c>
      <c r="D16" s="144">
        <f>VLOOKUP($A16,'Data shares'!$C:$FA,23)</f>
        <v>9.8000000000000007</v>
      </c>
      <c r="E16" s="145">
        <f>VLOOKUP($A16,'Data shares'!$C:$FA,26)*100</f>
        <v>0.35000000000000003</v>
      </c>
      <c r="F16" s="144">
        <f>VLOOKUP($A16,'Data shares'!$C:$FA,24)</f>
        <v>9.5</v>
      </c>
      <c r="G16" s="144">
        <f>VLOOKUP($A16,'Data shares'!$C:$FA,25)</f>
        <v>0.3</v>
      </c>
    </row>
    <row r="17" spans="1:7" x14ac:dyDescent="0.25">
      <c r="A17" s="101" t="str">
        <f>'Data Vlaue (Cr)'!C13</f>
        <v>APLAPOLLO</v>
      </c>
      <c r="B17" s="144">
        <f>VLOOKUP($A17,'Data shares'!$C:$FA,7)</f>
        <v>2280.8000000000002</v>
      </c>
      <c r="C17" s="144">
        <f>VLOOKUP($A17,'Data shares'!$C:$FA,3)</f>
        <v>2281.6999999999998</v>
      </c>
      <c r="D17" s="144">
        <f>VLOOKUP($A17,'Data shares'!$C:$FA,23)</f>
        <v>0.9</v>
      </c>
      <c r="E17" s="145">
        <f>VLOOKUP($A17,'Data shares'!$C:$FA,26)*100</f>
        <v>0.04</v>
      </c>
      <c r="F17" s="144">
        <f>VLOOKUP($A17,'Data shares'!$C:$FA,24)</f>
        <v>1</v>
      </c>
      <c r="G17" s="144">
        <f>VLOOKUP($A17,'Data shares'!$C:$FA,25)</f>
        <v>-0.1</v>
      </c>
    </row>
    <row r="18" spans="1:7" x14ac:dyDescent="0.25">
      <c r="A18" s="101" t="str">
        <f>'Data Vlaue (Cr)'!C14</f>
        <v>APOLLOHOSP</v>
      </c>
      <c r="B18" s="144">
        <f>VLOOKUP($A18,'Data shares'!$C:$FA,7)</f>
        <v>7507</v>
      </c>
      <c r="C18" s="144">
        <f>VLOOKUP($A18,'Data shares'!$C:$FA,3)</f>
        <v>7520.5</v>
      </c>
      <c r="D18" s="144">
        <f>VLOOKUP($A18,'Data shares'!$C:$FA,23)</f>
        <v>13.5</v>
      </c>
      <c r="E18" s="145">
        <f>VLOOKUP($A18,'Data shares'!$C:$FA,26)*100</f>
        <v>0.18</v>
      </c>
      <c r="F18" s="144">
        <f>VLOOKUP($A18,'Data shares'!$C:$FA,24)</f>
        <v>-5.5</v>
      </c>
      <c r="G18" s="144">
        <f>VLOOKUP($A18,'Data shares'!$C:$FA,25)</f>
        <v>19</v>
      </c>
    </row>
    <row r="19" spans="1:7" x14ac:dyDescent="0.25">
      <c r="A19" s="101" t="str">
        <f>'Data Vlaue (Cr)'!C15</f>
        <v>ASHOKLEY</v>
      </c>
      <c r="B19" s="144">
        <f>VLOOKUP($A19,'Data shares'!$C:$FA,7)</f>
        <v>206.35</v>
      </c>
      <c r="C19" s="144">
        <f>VLOOKUP($A19,'Data shares'!$C:$FA,3)</f>
        <v>206.25</v>
      </c>
      <c r="D19" s="144">
        <f>VLOOKUP($A19,'Data shares'!$C:$FA,23)</f>
        <v>-0.1</v>
      </c>
      <c r="E19" s="145">
        <f>VLOOKUP($A19,'Data shares'!$C:$FA,26)*100</f>
        <v>-0.05</v>
      </c>
      <c r="F19" s="144">
        <f>VLOOKUP($A19,'Data shares'!$C:$FA,24)</f>
        <v>-1.26</v>
      </c>
      <c r="G19" s="144">
        <f>VLOOKUP($A19,'Data shares'!$C:$FA,25)</f>
        <v>1.1599999999999999</v>
      </c>
    </row>
    <row r="20" spans="1:7" x14ac:dyDescent="0.25">
      <c r="A20" s="101" t="str">
        <f>'Data Vlaue (Cr)'!C16</f>
        <v>ASIANPAINT</v>
      </c>
      <c r="B20" s="144">
        <f>VLOOKUP($A20,'Data shares'!$C:$FA,7)</f>
        <v>2392.5</v>
      </c>
      <c r="C20" s="144">
        <f>VLOOKUP($A20,'Data shares'!$C:$FA,3)</f>
        <v>2401.5</v>
      </c>
      <c r="D20" s="144">
        <f>VLOOKUP($A20,'Data shares'!$C:$FA,23)</f>
        <v>9</v>
      </c>
      <c r="E20" s="145">
        <f>VLOOKUP($A20,'Data shares'!$C:$FA,26)*100</f>
        <v>0.38</v>
      </c>
      <c r="F20" s="144">
        <f>VLOOKUP($A20,'Data shares'!$C:$FA,24)</f>
        <v>8.1999999999999993</v>
      </c>
      <c r="G20" s="144">
        <f>VLOOKUP($A20,'Data shares'!$C:$FA,25)</f>
        <v>0.8</v>
      </c>
    </row>
    <row r="21" spans="1:7" x14ac:dyDescent="0.25">
      <c r="A21" s="101" t="str">
        <f>'Data Vlaue (Cr)'!C17</f>
        <v>ASTRAL</v>
      </c>
      <c r="B21" s="144">
        <f>VLOOKUP($A21,'Data shares'!$C:$FA,7)</f>
        <v>1592.1</v>
      </c>
      <c r="C21" s="144">
        <f>VLOOKUP($A21,'Data shares'!$C:$FA,3)</f>
        <v>1591.2</v>
      </c>
      <c r="D21" s="144">
        <f>VLOOKUP($A21,'Data shares'!$C:$FA,23)</f>
        <v>-0.9</v>
      </c>
      <c r="E21" s="145">
        <f>VLOOKUP($A21,'Data shares'!$C:$FA,26)*100</f>
        <v>-0.06</v>
      </c>
      <c r="F21" s="144">
        <f>VLOOKUP($A21,'Data shares'!$C:$FA,24)</f>
        <v>4.8</v>
      </c>
      <c r="G21" s="144">
        <f>VLOOKUP($A21,'Data shares'!$C:$FA,25)</f>
        <v>-5.7</v>
      </c>
    </row>
    <row r="22" spans="1:7" x14ac:dyDescent="0.25">
      <c r="A22" s="101" t="str">
        <f>'Data Vlaue (Cr)'!C18</f>
        <v>AUBANK</v>
      </c>
      <c r="B22" s="144">
        <f>VLOOKUP($A22,'Data shares'!$C:$FA,7)</f>
        <v>990.25</v>
      </c>
      <c r="C22" s="144">
        <f>VLOOKUP($A22,'Data shares'!$C:$FA,3)</f>
        <v>990.95</v>
      </c>
      <c r="D22" s="144">
        <f>VLOOKUP($A22,'Data shares'!$C:$FA,23)</f>
        <v>0.7</v>
      </c>
      <c r="E22" s="145">
        <f>VLOOKUP($A22,'Data shares'!$C:$FA,26)*100</f>
        <v>6.9999999999999993E-2</v>
      </c>
      <c r="F22" s="144">
        <f>VLOOKUP($A22,'Data shares'!$C:$FA,24)</f>
        <v>0.75</v>
      </c>
      <c r="G22" s="144">
        <f>VLOOKUP($A22,'Data shares'!$C:$FA,25)</f>
        <v>-0.05</v>
      </c>
    </row>
    <row r="23" spans="1:7" x14ac:dyDescent="0.25">
      <c r="A23" s="101" t="str">
        <f>'Data Vlaue (Cr)'!C19</f>
        <v>AUROPHARMA</v>
      </c>
      <c r="B23" s="144">
        <f>VLOOKUP($A23,'Data shares'!$C:$FA,7)</f>
        <v>1146.5999999999999</v>
      </c>
      <c r="C23" s="144">
        <f>VLOOKUP($A23,'Data shares'!$C:$FA,3)</f>
        <v>1149.7</v>
      </c>
      <c r="D23" s="144">
        <f>VLOOKUP($A23,'Data shares'!$C:$FA,23)</f>
        <v>3.1</v>
      </c>
      <c r="E23" s="145">
        <f>VLOOKUP($A23,'Data shares'!$C:$FA,26)*100</f>
        <v>0.27</v>
      </c>
      <c r="F23" s="144">
        <f>VLOOKUP($A23,'Data shares'!$C:$FA,24)</f>
        <v>2.5</v>
      </c>
      <c r="G23" s="144">
        <f>VLOOKUP($A23,'Data shares'!$C:$FA,25)</f>
        <v>0.6</v>
      </c>
    </row>
    <row r="24" spans="1:7" x14ac:dyDescent="0.25">
      <c r="A24" s="101" t="str">
        <f>'Data Vlaue (Cr)'!C20</f>
        <v>AXISBANK</v>
      </c>
      <c r="B24" s="144">
        <f>VLOOKUP($A24,'Data shares'!$C:$FA,7)</f>
        <v>1347.3</v>
      </c>
      <c r="C24" s="144">
        <f>VLOOKUP($A24,'Data shares'!$C:$FA,3)</f>
        <v>1348</v>
      </c>
      <c r="D24" s="144">
        <f>VLOOKUP($A24,'Data shares'!$C:$FA,23)</f>
        <v>0.7</v>
      </c>
      <c r="E24" s="145">
        <f>VLOOKUP($A24,'Data shares'!$C:$FA,26)*100</f>
        <v>0.05</v>
      </c>
      <c r="F24" s="144">
        <f>VLOOKUP($A24,'Data shares'!$C:$FA,24)</f>
        <v>0.5</v>
      </c>
      <c r="G24" s="144">
        <f>VLOOKUP($A24,'Data shares'!$C:$FA,25)</f>
        <v>0.2</v>
      </c>
    </row>
    <row r="25" spans="1:7" x14ac:dyDescent="0.25">
      <c r="A25" s="101" t="str">
        <f>'Data Vlaue (Cr)'!C21</f>
        <v>BAJAJ-AUTO</v>
      </c>
      <c r="B25" s="144">
        <f>VLOOKUP($A25,'Data shares'!$C:$FA,7)</f>
        <v>9869.5</v>
      </c>
      <c r="C25" s="144">
        <f>VLOOKUP($A25,'Data shares'!$C:$FA,3)</f>
        <v>9869.5</v>
      </c>
      <c r="D25" s="144">
        <f>VLOOKUP($A25,'Data shares'!$C:$FA,23)</f>
        <v>0</v>
      </c>
      <c r="E25" s="145">
        <f>VLOOKUP($A25,'Data shares'!$C:$FA,26)*100</f>
        <v>0</v>
      </c>
      <c r="F25" s="144">
        <f>VLOOKUP($A25,'Data shares'!$C:$FA,24)</f>
        <v>31</v>
      </c>
      <c r="G25" s="144">
        <f>VLOOKUP($A25,'Data shares'!$C:$FA,25)</f>
        <v>-31</v>
      </c>
    </row>
    <row r="26" spans="1:7" x14ac:dyDescent="0.25">
      <c r="A26" s="101" t="str">
        <f>'Data Vlaue (Cr)'!C22</f>
        <v>BAJAJFINSV</v>
      </c>
      <c r="B26" s="144">
        <f>VLOOKUP($A26,'Data shares'!$C:$FA,7)</f>
        <v>2027</v>
      </c>
      <c r="C26" s="144">
        <f>VLOOKUP($A26,'Data shares'!$C:$FA,3)</f>
        <v>2028.5</v>
      </c>
      <c r="D26" s="144">
        <f>VLOOKUP($A26,'Data shares'!$C:$FA,23)</f>
        <v>1.5</v>
      </c>
      <c r="E26" s="145">
        <f>VLOOKUP($A26,'Data shares'!$C:$FA,26)*100</f>
        <v>6.9999999999999993E-2</v>
      </c>
      <c r="F26" s="144">
        <f>VLOOKUP($A26,'Data shares'!$C:$FA,24)</f>
        <v>1.5</v>
      </c>
      <c r="G26" s="144">
        <f>VLOOKUP($A26,'Data shares'!$C:$FA,25)</f>
        <v>0</v>
      </c>
    </row>
    <row r="27" spans="1:7" x14ac:dyDescent="0.25">
      <c r="A27" s="101" t="str">
        <f>'Data Vlaue (Cr)'!C23</f>
        <v>BAJAJHLDNG</v>
      </c>
      <c r="B27" s="144">
        <f>VLOOKUP($A27,'Data shares'!$C:$FA,7)</f>
        <v>11111</v>
      </c>
      <c r="C27" s="144">
        <f>VLOOKUP($A27,'Data shares'!$C:$FA,3)</f>
        <v>11120</v>
      </c>
      <c r="D27" s="144">
        <f>VLOOKUP($A27,'Data shares'!$C:$FA,23)</f>
        <v>9</v>
      </c>
      <c r="E27" s="145">
        <f>VLOOKUP($A27,'Data shares'!$C:$FA,26)*100</f>
        <v>0.08</v>
      </c>
      <c r="F27" s="144">
        <f>VLOOKUP($A27,'Data shares'!$C:$FA,24)</f>
        <v>37</v>
      </c>
      <c r="G27" s="144">
        <f>VLOOKUP($A27,'Data shares'!$C:$FA,25)</f>
        <v>-28</v>
      </c>
    </row>
    <row r="28" spans="1:7" x14ac:dyDescent="0.25">
      <c r="A28" s="101" t="str">
        <f>'Data Vlaue (Cr)'!C24</f>
        <v>BAJFINANCE</v>
      </c>
      <c r="B28" s="144">
        <f>VLOOKUP($A28,'Data shares'!$C:$FA,7)</f>
        <v>968.95</v>
      </c>
      <c r="C28" s="144">
        <f>VLOOKUP($A28,'Data shares'!$C:$FA,3)</f>
        <v>969.35</v>
      </c>
      <c r="D28" s="144">
        <f>VLOOKUP($A28,'Data shares'!$C:$FA,23)</f>
        <v>0.4</v>
      </c>
      <c r="E28" s="145">
        <f>VLOOKUP($A28,'Data shares'!$C:$FA,26)*100</f>
        <v>0.04</v>
      </c>
      <c r="F28" s="144">
        <f>VLOOKUP($A28,'Data shares'!$C:$FA,24)</f>
        <v>2.9</v>
      </c>
      <c r="G28" s="144">
        <f>VLOOKUP($A28,'Data shares'!$C:$FA,25)</f>
        <v>-2.5</v>
      </c>
    </row>
    <row r="29" spans="1:7" x14ac:dyDescent="0.25">
      <c r="A29" s="101" t="str">
        <f>'Data Vlaue (Cr)'!C25</f>
        <v>BANDHANBNK</v>
      </c>
      <c r="B29" s="144">
        <f>VLOOKUP($A29,'Data shares'!$C:$FA,7)</f>
        <v>168.26</v>
      </c>
      <c r="C29" s="144">
        <f>VLOOKUP($A29,'Data shares'!$C:$FA,3)</f>
        <v>168.28</v>
      </c>
      <c r="D29" s="144">
        <f>VLOOKUP($A29,'Data shares'!$C:$FA,23)</f>
        <v>0.02</v>
      </c>
      <c r="E29" s="145">
        <f>VLOOKUP($A29,'Data shares'!$C:$FA,26)*100</f>
        <v>0.01</v>
      </c>
      <c r="F29" s="144">
        <f>VLOOKUP($A29,'Data shares'!$C:$FA,24)</f>
        <v>-0.02</v>
      </c>
      <c r="G29" s="144">
        <f>VLOOKUP($A29,'Data shares'!$C:$FA,25)</f>
        <v>0.04</v>
      </c>
    </row>
    <row r="30" spans="1:7" x14ac:dyDescent="0.25">
      <c r="A30" s="101" t="str">
        <f>'Data Vlaue (Cr)'!C26</f>
        <v>BANKBARODA</v>
      </c>
      <c r="B30" s="144">
        <f>VLOOKUP($A30,'Data shares'!$C:$FA,7)</f>
        <v>291.2</v>
      </c>
      <c r="C30" s="144">
        <f>VLOOKUP($A30,'Data shares'!$C:$FA,3)</f>
        <v>291.39999999999998</v>
      </c>
      <c r="D30" s="144">
        <f>VLOOKUP($A30,'Data shares'!$C:$FA,23)</f>
        <v>0.2</v>
      </c>
      <c r="E30" s="145">
        <f>VLOOKUP($A30,'Data shares'!$C:$FA,26)*100</f>
        <v>6.9999999999999993E-2</v>
      </c>
      <c r="F30" s="144">
        <f>VLOOKUP($A30,'Data shares'!$C:$FA,24)</f>
        <v>0.95</v>
      </c>
      <c r="G30" s="144">
        <f>VLOOKUP($A30,'Data shares'!$C:$FA,25)</f>
        <v>-0.75</v>
      </c>
    </row>
    <row r="31" spans="1:7" x14ac:dyDescent="0.25">
      <c r="A31" s="101" t="str">
        <f>'Data Vlaue (Cr)'!C27</f>
        <v>BANKINDIA</v>
      </c>
      <c r="B31" s="144">
        <f>VLOOKUP($A31,'Data shares'!$C:$FA,7)</f>
        <v>167.13</v>
      </c>
      <c r="C31" s="144">
        <f>VLOOKUP($A31,'Data shares'!$C:$FA,3)</f>
        <v>167.57</v>
      </c>
      <c r="D31" s="144">
        <f>VLOOKUP($A31,'Data shares'!$C:$FA,23)</f>
        <v>0.44</v>
      </c>
      <c r="E31" s="145">
        <f>VLOOKUP($A31,'Data shares'!$C:$FA,26)*100</f>
        <v>0.26</v>
      </c>
      <c r="F31" s="144">
        <f>VLOOKUP($A31,'Data shares'!$C:$FA,24)</f>
        <v>0.15</v>
      </c>
      <c r="G31" s="144">
        <f>VLOOKUP($A31,'Data shares'!$C:$FA,25)</f>
        <v>0.28999999999999998</v>
      </c>
    </row>
    <row r="32" spans="1:7" x14ac:dyDescent="0.25">
      <c r="A32" s="101" t="str">
        <f>'Data Vlaue (Cr)'!C28</f>
        <v>BANKNIFTY</v>
      </c>
      <c r="B32" s="144">
        <f>VLOOKUP($A32,'Data shares'!$C:$FA,7)</f>
        <v>60745.35</v>
      </c>
      <c r="C32" s="144">
        <f>VLOOKUP($A32,'Data shares'!$C:$FA,3)</f>
        <v>60809</v>
      </c>
      <c r="D32" s="144">
        <f>VLOOKUP($A32,'Data shares'!$C:$FA,23)</f>
        <v>63.65</v>
      </c>
      <c r="E32" s="145">
        <f>VLOOKUP($A32,'Data shares'!$C:$FA,26)*100</f>
        <v>0.1</v>
      </c>
      <c r="F32" s="144">
        <f>VLOOKUP($A32,'Data shares'!$C:$FA,24)</f>
        <v>77.599999999999994</v>
      </c>
      <c r="G32" s="144">
        <f>VLOOKUP($A32,'Data shares'!$C:$FA,25)</f>
        <v>-13.95</v>
      </c>
    </row>
    <row r="33" spans="1:7" x14ac:dyDescent="0.25">
      <c r="A33" s="101" t="str">
        <f>'Data Vlaue (Cr)'!C29</f>
        <v>BDL</v>
      </c>
      <c r="B33" s="144">
        <f>VLOOKUP($A33,'Data shares'!$C:$FA,7)</f>
        <v>1282.5999999999999</v>
      </c>
      <c r="C33" s="144">
        <f>VLOOKUP($A33,'Data shares'!$C:$FA,3)</f>
        <v>1285.7</v>
      </c>
      <c r="D33" s="144">
        <f>VLOOKUP($A33,'Data shares'!$C:$FA,23)</f>
        <v>3.1</v>
      </c>
      <c r="E33" s="145">
        <f>VLOOKUP($A33,'Data shares'!$C:$FA,26)*100</f>
        <v>0.24</v>
      </c>
      <c r="F33" s="144">
        <f>VLOOKUP($A33,'Data shares'!$C:$FA,24)</f>
        <v>-8.5</v>
      </c>
      <c r="G33" s="144">
        <f>VLOOKUP($A33,'Data shares'!$C:$FA,25)</f>
        <v>11.6</v>
      </c>
    </row>
    <row r="34" spans="1:7" x14ac:dyDescent="0.25">
      <c r="A34" s="101" t="str">
        <f>'Data Vlaue (Cr)'!C30</f>
        <v>BEL</v>
      </c>
      <c r="B34" s="144">
        <f>VLOOKUP($A34,'Data shares'!$C:$FA,7)</f>
        <v>437.55</v>
      </c>
      <c r="C34" s="144">
        <f>VLOOKUP($A34,'Data shares'!$C:$FA,3)</f>
        <v>437.7</v>
      </c>
      <c r="D34" s="144">
        <f>VLOOKUP($A34,'Data shares'!$C:$FA,23)</f>
        <v>0.15</v>
      </c>
      <c r="E34" s="145">
        <f>VLOOKUP($A34,'Data shares'!$C:$FA,26)*100</f>
        <v>0.03</v>
      </c>
      <c r="F34" s="144">
        <f>VLOOKUP($A34,'Data shares'!$C:$FA,24)</f>
        <v>0.15</v>
      </c>
      <c r="G34" s="144">
        <f>VLOOKUP($A34,'Data shares'!$C:$FA,25)</f>
        <v>0</v>
      </c>
    </row>
    <row r="35" spans="1:7" x14ac:dyDescent="0.25">
      <c r="A35" s="101" t="str">
        <f>'Data Vlaue (Cr)'!C31</f>
        <v>BHARATFORG</v>
      </c>
      <c r="B35" s="144">
        <f>VLOOKUP($A35,'Data shares'!$C:$FA,7)</f>
        <v>1676.4</v>
      </c>
      <c r="C35" s="144">
        <f>VLOOKUP($A35,'Data shares'!$C:$FA,3)</f>
        <v>1678.4</v>
      </c>
      <c r="D35" s="144">
        <f>VLOOKUP($A35,'Data shares'!$C:$FA,23)</f>
        <v>2</v>
      </c>
      <c r="E35" s="145">
        <f>VLOOKUP($A35,'Data shares'!$C:$FA,26)*100</f>
        <v>0.12</v>
      </c>
      <c r="F35" s="144">
        <f>VLOOKUP($A35,'Data shares'!$C:$FA,24)</f>
        <v>3.4</v>
      </c>
      <c r="G35" s="144">
        <f>VLOOKUP($A35,'Data shares'!$C:$FA,25)</f>
        <v>-1.4</v>
      </c>
    </row>
    <row r="36" spans="1:7" x14ac:dyDescent="0.25">
      <c r="A36" s="101" t="str">
        <f>'Data Vlaue (Cr)'!C32</f>
        <v>BHARTIARTL</v>
      </c>
      <c r="B36" s="144">
        <f>VLOOKUP($A36,'Data shares'!$C:$FA,7)</f>
        <v>2012.1</v>
      </c>
      <c r="C36" s="144">
        <f>VLOOKUP($A36,'Data shares'!$C:$FA,3)</f>
        <v>2018.1</v>
      </c>
      <c r="D36" s="144">
        <f>VLOOKUP($A36,'Data shares'!$C:$FA,23)</f>
        <v>6</v>
      </c>
      <c r="E36" s="145">
        <f>VLOOKUP($A36,'Data shares'!$C:$FA,26)*100</f>
        <v>0.3</v>
      </c>
      <c r="F36" s="144">
        <f>VLOOKUP($A36,'Data shares'!$C:$FA,24)</f>
        <v>5.6</v>
      </c>
      <c r="G36" s="144">
        <f>VLOOKUP($A36,'Data shares'!$C:$FA,25)</f>
        <v>0.4</v>
      </c>
    </row>
    <row r="37" spans="1:7" x14ac:dyDescent="0.25">
      <c r="A37" s="101" t="str">
        <f>'Data Vlaue (Cr)'!C33</f>
        <v>BHEL</v>
      </c>
      <c r="B37" s="144">
        <f>VLOOKUP($A37,'Data shares'!$C:$FA,7)</f>
        <v>260.64999999999998</v>
      </c>
      <c r="C37" s="144">
        <f>VLOOKUP($A37,'Data shares'!$C:$FA,3)</f>
        <v>260.7</v>
      </c>
      <c r="D37" s="144">
        <f>VLOOKUP($A37,'Data shares'!$C:$FA,23)</f>
        <v>0.05</v>
      </c>
      <c r="E37" s="145">
        <f>VLOOKUP($A37,'Data shares'!$C:$FA,26)*100</f>
        <v>0.02</v>
      </c>
      <c r="F37" s="144">
        <f>VLOOKUP($A37,'Data shares'!$C:$FA,24)</f>
        <v>0.7</v>
      </c>
      <c r="G37" s="144">
        <f>VLOOKUP($A37,'Data shares'!$C:$FA,25)</f>
        <v>-0.65</v>
      </c>
    </row>
    <row r="38" spans="1:7" x14ac:dyDescent="0.25">
      <c r="A38" s="101" t="str">
        <f>'Data Vlaue (Cr)'!C34</f>
        <v>BIOCON</v>
      </c>
      <c r="B38" s="144">
        <f>VLOOKUP($A38,'Data shares'!$C:$FA,7)</f>
        <v>375.2</v>
      </c>
      <c r="C38" s="144">
        <f>VLOOKUP($A38,'Data shares'!$C:$FA,3)</f>
        <v>376.2</v>
      </c>
      <c r="D38" s="144">
        <f>VLOOKUP($A38,'Data shares'!$C:$FA,23)</f>
        <v>1</v>
      </c>
      <c r="E38" s="145">
        <f>VLOOKUP($A38,'Data shares'!$C:$FA,26)*100</f>
        <v>0.27</v>
      </c>
      <c r="F38" s="144">
        <f>VLOOKUP($A38,'Data shares'!$C:$FA,24)</f>
        <v>0.95</v>
      </c>
      <c r="G38" s="144">
        <f>VLOOKUP($A38,'Data shares'!$C:$FA,25)</f>
        <v>0.05</v>
      </c>
    </row>
    <row r="39" spans="1:7" x14ac:dyDescent="0.25">
      <c r="A39" s="101" t="str">
        <f>'Data Vlaue (Cr)'!C35</f>
        <v>BLUESTARCO</v>
      </c>
      <c r="B39" s="144">
        <f>VLOOKUP($A39,'Data shares'!$C:$FA,7)</f>
        <v>1962.2</v>
      </c>
      <c r="C39" s="144">
        <f>VLOOKUP($A39,'Data shares'!$C:$FA,3)</f>
        <v>1968.1</v>
      </c>
      <c r="D39" s="144">
        <f>VLOOKUP($A39,'Data shares'!$C:$FA,23)</f>
        <v>5.9</v>
      </c>
      <c r="E39" s="145">
        <f>VLOOKUP($A39,'Data shares'!$C:$FA,26)*100</f>
        <v>0.3</v>
      </c>
      <c r="F39" s="144">
        <f>VLOOKUP($A39,'Data shares'!$C:$FA,24)</f>
        <v>8.5</v>
      </c>
      <c r="G39" s="144">
        <f>VLOOKUP($A39,'Data shares'!$C:$FA,25)</f>
        <v>-2.6</v>
      </c>
    </row>
    <row r="40" spans="1:7" x14ac:dyDescent="0.25">
      <c r="A40" s="101" t="str">
        <f>'Data Vlaue (Cr)'!C36</f>
        <v>BOSCHLTD</v>
      </c>
      <c r="B40" s="144">
        <f>VLOOKUP($A40,'Data shares'!$C:$FA,7)</f>
        <v>36570</v>
      </c>
      <c r="C40" s="144">
        <f>VLOOKUP($A40,'Data shares'!$C:$FA,3)</f>
        <v>36630</v>
      </c>
      <c r="D40" s="144">
        <f>VLOOKUP($A40,'Data shares'!$C:$FA,23)</f>
        <v>60</v>
      </c>
      <c r="E40" s="145">
        <f>VLOOKUP($A40,'Data shares'!$C:$FA,26)*100</f>
        <v>0.16</v>
      </c>
      <c r="F40" s="144">
        <f>VLOOKUP($A40,'Data shares'!$C:$FA,24)</f>
        <v>105</v>
      </c>
      <c r="G40" s="144">
        <f>VLOOKUP($A40,'Data shares'!$C:$FA,25)</f>
        <v>-45</v>
      </c>
    </row>
    <row r="41" spans="1:7" x14ac:dyDescent="0.25">
      <c r="A41" s="101" t="str">
        <f>'Data Vlaue (Cr)'!C37</f>
        <v>BPCL</v>
      </c>
      <c r="B41" s="144">
        <f>VLOOKUP($A41,'Data shares'!$C:$FA,7)</f>
        <v>387.6</v>
      </c>
      <c r="C41" s="144">
        <f>VLOOKUP($A41,'Data shares'!$C:$FA,3)</f>
        <v>388.1</v>
      </c>
      <c r="D41" s="144">
        <f>VLOOKUP($A41,'Data shares'!$C:$FA,23)</f>
        <v>0.5</v>
      </c>
      <c r="E41" s="145">
        <f>VLOOKUP($A41,'Data shares'!$C:$FA,26)*100</f>
        <v>0.13</v>
      </c>
      <c r="F41" s="144">
        <f>VLOOKUP($A41,'Data shares'!$C:$FA,24)</f>
        <v>0.75</v>
      </c>
      <c r="G41" s="144">
        <f>VLOOKUP($A41,'Data shares'!$C:$FA,25)</f>
        <v>-0.25</v>
      </c>
    </row>
    <row r="42" spans="1:7" x14ac:dyDescent="0.25">
      <c r="A42" s="101" t="str">
        <f>'Data Vlaue (Cr)'!C38</f>
        <v>BRITANNIA</v>
      </c>
      <c r="B42" s="144">
        <f>VLOOKUP($A42,'Data shares'!$C:$FA,7)</f>
        <v>6019</v>
      </c>
      <c r="C42" s="144">
        <f>VLOOKUP($A42,'Data shares'!$C:$FA,3)</f>
        <v>6039.5</v>
      </c>
      <c r="D42" s="144">
        <f>VLOOKUP($A42,'Data shares'!$C:$FA,23)</f>
        <v>20.5</v>
      </c>
      <c r="E42" s="145">
        <f>VLOOKUP($A42,'Data shares'!$C:$FA,26)*100</f>
        <v>0.33999999999999997</v>
      </c>
      <c r="F42" s="144">
        <f>VLOOKUP($A42,'Data shares'!$C:$FA,24)</f>
        <v>6</v>
      </c>
      <c r="G42" s="144">
        <f>VLOOKUP($A42,'Data shares'!$C:$FA,25)</f>
        <v>14.5</v>
      </c>
    </row>
    <row r="43" spans="1:7" x14ac:dyDescent="0.25">
      <c r="A43" s="101" t="str">
        <f>'Data Vlaue (Cr)'!C39</f>
        <v>BSE</v>
      </c>
      <c r="B43" s="144">
        <f>VLOOKUP($A43,'Data shares'!$C:$FA,7)</f>
        <v>3177.1</v>
      </c>
      <c r="C43" s="144">
        <f>VLOOKUP($A43,'Data shares'!$C:$FA,3)</f>
        <v>3179.8</v>
      </c>
      <c r="D43" s="144">
        <f>VLOOKUP($A43,'Data shares'!$C:$FA,23)</f>
        <v>2.7</v>
      </c>
      <c r="E43" s="145">
        <f>VLOOKUP($A43,'Data shares'!$C:$FA,26)*100</f>
        <v>0.08</v>
      </c>
      <c r="F43" s="144">
        <f>VLOOKUP($A43,'Data shares'!$C:$FA,24)</f>
        <v>11.2</v>
      </c>
      <c r="G43" s="144">
        <f>VLOOKUP($A43,'Data shares'!$C:$FA,25)</f>
        <v>-8.5</v>
      </c>
    </row>
    <row r="44" spans="1:7" x14ac:dyDescent="0.25">
      <c r="A44" s="101" t="str">
        <f>'Data Vlaue (Cr)'!C40</f>
        <v>CAMS</v>
      </c>
      <c r="B44" s="144">
        <f>VLOOKUP($A44,'Data shares'!$C:$FA,7)</f>
        <v>747.1</v>
      </c>
      <c r="C44" s="144">
        <f>VLOOKUP($A44,'Data shares'!$C:$FA,3)</f>
        <v>747.95</v>
      </c>
      <c r="D44" s="144">
        <f>VLOOKUP($A44,'Data shares'!$C:$FA,23)</f>
        <v>0.85</v>
      </c>
      <c r="E44" s="145">
        <f>VLOOKUP($A44,'Data shares'!$C:$FA,26)*100</f>
        <v>0.11</v>
      </c>
      <c r="F44" s="144">
        <f>VLOOKUP($A44,'Data shares'!$C:$FA,24)</f>
        <v>2.6</v>
      </c>
      <c r="G44" s="144">
        <f>VLOOKUP($A44,'Data shares'!$C:$FA,25)</f>
        <v>-1.75</v>
      </c>
    </row>
    <row r="45" spans="1:7" x14ac:dyDescent="0.25">
      <c r="A45" s="101" t="str">
        <f>'Data Vlaue (Cr)'!C41</f>
        <v>CANBK</v>
      </c>
      <c r="B45" s="144">
        <f>VLOOKUP($A45,'Data shares'!$C:$FA,7)</f>
        <v>145.51</v>
      </c>
      <c r="C45" s="144">
        <f>VLOOKUP($A45,'Data shares'!$C:$FA,3)</f>
        <v>146</v>
      </c>
      <c r="D45" s="144">
        <f>VLOOKUP($A45,'Data shares'!$C:$FA,23)</f>
        <v>0.49</v>
      </c>
      <c r="E45" s="145">
        <f>VLOOKUP($A45,'Data shares'!$C:$FA,26)*100</f>
        <v>0.33999999999999997</v>
      </c>
      <c r="F45" s="144">
        <f>VLOOKUP($A45,'Data shares'!$C:$FA,24)</f>
        <v>0.52</v>
      </c>
      <c r="G45" s="144">
        <f>VLOOKUP($A45,'Data shares'!$C:$FA,25)</f>
        <v>-0.03</v>
      </c>
    </row>
    <row r="46" spans="1:7" x14ac:dyDescent="0.25">
      <c r="A46" s="101" t="str">
        <f>'Data Vlaue (Cr)'!C42</f>
        <v>CDSL</v>
      </c>
      <c r="B46" s="144">
        <f>VLOOKUP($A46,'Data shares'!$C:$FA,7)</f>
        <v>1397.2</v>
      </c>
      <c r="C46" s="144">
        <f>VLOOKUP($A46,'Data shares'!$C:$FA,3)</f>
        <v>1398.9</v>
      </c>
      <c r="D46" s="144">
        <f>VLOOKUP($A46,'Data shares'!$C:$FA,23)</f>
        <v>1.7</v>
      </c>
      <c r="E46" s="145">
        <f>VLOOKUP($A46,'Data shares'!$C:$FA,26)*100</f>
        <v>0.12</v>
      </c>
      <c r="F46" s="144">
        <f>VLOOKUP($A46,'Data shares'!$C:$FA,24)</f>
        <v>0.2</v>
      </c>
      <c r="G46" s="144">
        <f>VLOOKUP($A46,'Data shares'!$C:$FA,25)</f>
        <v>1.5</v>
      </c>
    </row>
    <row r="47" spans="1:7" x14ac:dyDescent="0.25">
      <c r="A47" s="101" t="str">
        <f>'Data Vlaue (Cr)'!C43</f>
        <v>CGPOWER</v>
      </c>
      <c r="B47" s="144">
        <f>VLOOKUP($A47,'Data shares'!$C:$FA,7)</f>
        <v>685.6</v>
      </c>
      <c r="C47" s="144">
        <f>VLOOKUP($A47,'Data shares'!$C:$FA,3)</f>
        <v>684.75</v>
      </c>
      <c r="D47" s="144">
        <f>VLOOKUP($A47,'Data shares'!$C:$FA,23)</f>
        <v>-0.85</v>
      </c>
      <c r="E47" s="145">
        <f>VLOOKUP($A47,'Data shares'!$C:$FA,26)*100</f>
        <v>-0.12</v>
      </c>
      <c r="F47" s="144">
        <f>VLOOKUP($A47,'Data shares'!$C:$FA,24)</f>
        <v>0.45</v>
      </c>
      <c r="G47" s="144">
        <f>VLOOKUP($A47,'Data shares'!$C:$FA,25)</f>
        <v>-1.3</v>
      </c>
    </row>
    <row r="48" spans="1:7" x14ac:dyDescent="0.25">
      <c r="A48" s="101" t="str">
        <f>'Data Vlaue (Cr)'!C44</f>
        <v>CHOLAFIN</v>
      </c>
      <c r="B48" s="144">
        <f>VLOOKUP($A48,'Data shares'!$C:$FA,7)</f>
        <v>1723</v>
      </c>
      <c r="C48" s="144">
        <f>VLOOKUP($A48,'Data shares'!$C:$FA,3)</f>
        <v>1724.6</v>
      </c>
      <c r="D48" s="144">
        <f>VLOOKUP($A48,'Data shares'!$C:$FA,23)</f>
        <v>1.6</v>
      </c>
      <c r="E48" s="145">
        <f>VLOOKUP($A48,'Data shares'!$C:$FA,26)*100</f>
        <v>0.09</v>
      </c>
      <c r="F48" s="144">
        <f>VLOOKUP($A48,'Data shares'!$C:$FA,24)</f>
        <v>5.7</v>
      </c>
      <c r="G48" s="144">
        <f>VLOOKUP($A48,'Data shares'!$C:$FA,25)</f>
        <v>-4.0999999999999996</v>
      </c>
    </row>
    <row r="49" spans="1:7" x14ac:dyDescent="0.25">
      <c r="A49" s="101" t="str">
        <f>'Data Vlaue (Cr)'!C45</f>
        <v>CIPLA</v>
      </c>
      <c r="B49" s="144">
        <f>VLOOKUP($A49,'Data shares'!$C:$FA,7)</f>
        <v>1349.9</v>
      </c>
      <c r="C49" s="144">
        <f>VLOOKUP($A49,'Data shares'!$C:$FA,3)</f>
        <v>1350.8</v>
      </c>
      <c r="D49" s="144">
        <f>VLOOKUP($A49,'Data shares'!$C:$FA,23)</f>
        <v>0.9</v>
      </c>
      <c r="E49" s="145">
        <f>VLOOKUP($A49,'Data shares'!$C:$FA,26)*100</f>
        <v>6.9999999999999993E-2</v>
      </c>
      <c r="F49" s="144">
        <f>VLOOKUP($A49,'Data shares'!$C:$FA,24)</f>
        <v>4.2</v>
      </c>
      <c r="G49" s="144">
        <f>VLOOKUP($A49,'Data shares'!$C:$FA,25)</f>
        <v>-3.3</v>
      </c>
    </row>
    <row r="50" spans="1:7" x14ac:dyDescent="0.25">
      <c r="A50" s="101" t="str">
        <f>'Data Vlaue (Cr)'!C46</f>
        <v>COALINDIA</v>
      </c>
      <c r="B50" s="144">
        <f>VLOOKUP($A50,'Data shares'!$C:$FA,7)</f>
        <v>423.25</v>
      </c>
      <c r="C50" s="144">
        <f>VLOOKUP($A50,'Data shares'!$C:$FA,3)</f>
        <v>417.5</v>
      </c>
      <c r="D50" s="144">
        <f>VLOOKUP($A50,'Data shares'!$C:$FA,23)</f>
        <v>-5.75</v>
      </c>
      <c r="E50" s="145">
        <f>VLOOKUP($A50,'Data shares'!$C:$FA,26)*100</f>
        <v>-1.3599999999999999</v>
      </c>
      <c r="F50" s="144">
        <f>VLOOKUP($A50,'Data shares'!$C:$FA,24)</f>
        <v>-3.6</v>
      </c>
      <c r="G50" s="144">
        <f>VLOOKUP($A50,'Data shares'!$C:$FA,25)</f>
        <v>-2.15</v>
      </c>
    </row>
    <row r="51" spans="1:7" x14ac:dyDescent="0.25">
      <c r="A51" s="101" t="str">
        <f>'Data Vlaue (Cr)'!C47</f>
        <v>COFORGE</v>
      </c>
      <c r="B51" s="144">
        <f>VLOOKUP($A51,'Data shares'!$C:$FA,7)</f>
        <v>1520.4</v>
      </c>
      <c r="C51" s="144">
        <f>VLOOKUP($A51,'Data shares'!$C:$FA,3)</f>
        <v>1520.8</v>
      </c>
      <c r="D51" s="144">
        <f>VLOOKUP($A51,'Data shares'!$C:$FA,23)</f>
        <v>0.4</v>
      </c>
      <c r="E51" s="145">
        <f>VLOOKUP($A51,'Data shares'!$C:$FA,26)*100</f>
        <v>0.03</v>
      </c>
      <c r="F51" s="144">
        <f>VLOOKUP($A51,'Data shares'!$C:$FA,24)</f>
        <v>5.0999999999999996</v>
      </c>
      <c r="G51" s="144">
        <f>VLOOKUP($A51,'Data shares'!$C:$FA,25)</f>
        <v>-4.7</v>
      </c>
    </row>
    <row r="52" spans="1:7" x14ac:dyDescent="0.25">
      <c r="A52" s="101" t="str">
        <f>'Data Vlaue (Cr)'!C48</f>
        <v>COLPAL</v>
      </c>
      <c r="B52" s="144">
        <f>VLOOKUP($A52,'Data shares'!$C:$FA,7)</f>
        <v>2173.4</v>
      </c>
      <c r="C52" s="144">
        <f>VLOOKUP($A52,'Data shares'!$C:$FA,3)</f>
        <v>2174.8000000000002</v>
      </c>
      <c r="D52" s="144">
        <f>VLOOKUP($A52,'Data shares'!$C:$FA,23)</f>
        <v>1.4</v>
      </c>
      <c r="E52" s="145">
        <f>VLOOKUP($A52,'Data shares'!$C:$FA,26)*100</f>
        <v>0.06</v>
      </c>
      <c r="F52" s="144">
        <f>VLOOKUP($A52,'Data shares'!$C:$FA,24)</f>
        <v>7.1</v>
      </c>
      <c r="G52" s="144">
        <f>VLOOKUP($A52,'Data shares'!$C:$FA,25)</f>
        <v>-5.7</v>
      </c>
    </row>
    <row r="53" spans="1:7" x14ac:dyDescent="0.25">
      <c r="A53" s="101" t="str">
        <f>'Data Vlaue (Cr)'!C49</f>
        <v>CONCOR</v>
      </c>
      <c r="B53" s="144">
        <f>VLOOKUP($A53,'Data shares'!$C:$FA,7)</f>
        <v>515.15</v>
      </c>
      <c r="C53" s="144">
        <f>VLOOKUP($A53,'Data shares'!$C:$FA,3)</f>
        <v>515.79999999999995</v>
      </c>
      <c r="D53" s="144">
        <f>VLOOKUP($A53,'Data shares'!$C:$FA,23)</f>
        <v>0.65</v>
      </c>
      <c r="E53" s="145">
        <f>VLOOKUP($A53,'Data shares'!$C:$FA,26)*100</f>
        <v>0.13</v>
      </c>
      <c r="F53" s="144">
        <f>VLOOKUP($A53,'Data shares'!$C:$FA,24)</f>
        <v>1.95</v>
      </c>
      <c r="G53" s="144">
        <f>VLOOKUP($A53,'Data shares'!$C:$FA,25)</f>
        <v>-1.3</v>
      </c>
    </row>
    <row r="54" spans="1:7" x14ac:dyDescent="0.25">
      <c r="A54" s="101" t="str">
        <f>'Data Vlaue (Cr)'!C50</f>
        <v>CROMPTON</v>
      </c>
      <c r="B54" s="144">
        <f>VLOOKUP($A54,'Data shares'!$C:$FA,7)</f>
        <v>266.04000000000002</v>
      </c>
      <c r="C54" s="144">
        <f>VLOOKUP($A54,'Data shares'!$C:$FA,3)</f>
        <v>266.47000000000003</v>
      </c>
      <c r="D54" s="144">
        <f>VLOOKUP($A54,'Data shares'!$C:$FA,23)</f>
        <v>0.43</v>
      </c>
      <c r="E54" s="145">
        <f>VLOOKUP($A54,'Data shares'!$C:$FA,26)*100</f>
        <v>0.16</v>
      </c>
      <c r="F54" s="144">
        <f>VLOOKUP($A54,'Data shares'!$C:$FA,24)</f>
        <v>0.25</v>
      </c>
      <c r="G54" s="144">
        <f>VLOOKUP($A54,'Data shares'!$C:$FA,25)</f>
        <v>0.18</v>
      </c>
    </row>
    <row r="55" spans="1:7" x14ac:dyDescent="0.25">
      <c r="A55" s="101" t="str">
        <f>'Data Vlaue (Cr)'!C51</f>
        <v>CUMMINSIND</v>
      </c>
      <c r="B55" s="144">
        <f>VLOOKUP($A55,'Data shares'!$C:$FA,7)</f>
        <v>4363.2</v>
      </c>
      <c r="C55" s="144">
        <f>VLOOKUP($A55,'Data shares'!$C:$FA,3)</f>
        <v>4376.3999999999996</v>
      </c>
      <c r="D55" s="144">
        <f>VLOOKUP($A55,'Data shares'!$C:$FA,23)</f>
        <v>13.2</v>
      </c>
      <c r="E55" s="145">
        <f>VLOOKUP($A55,'Data shares'!$C:$FA,26)*100</f>
        <v>0.3</v>
      </c>
      <c r="F55" s="144">
        <f>VLOOKUP($A55,'Data shares'!$C:$FA,24)</f>
        <v>-8.6</v>
      </c>
      <c r="G55" s="144">
        <f>VLOOKUP($A55,'Data shares'!$C:$FA,25)</f>
        <v>21.8</v>
      </c>
    </row>
    <row r="56" spans="1:7" x14ac:dyDescent="0.25">
      <c r="A56" s="101" t="str">
        <f>'Data Vlaue (Cr)'!C52</f>
        <v>DABUR</v>
      </c>
      <c r="B56" s="144">
        <f>VLOOKUP($A56,'Data shares'!$C:$FA,7)</f>
        <v>522.35</v>
      </c>
      <c r="C56" s="144">
        <f>VLOOKUP($A56,'Data shares'!$C:$FA,3)</f>
        <v>523.29999999999995</v>
      </c>
      <c r="D56" s="144">
        <f>VLOOKUP($A56,'Data shares'!$C:$FA,23)</f>
        <v>0.95</v>
      </c>
      <c r="E56" s="145">
        <f>VLOOKUP($A56,'Data shares'!$C:$FA,26)*100</f>
        <v>0.18</v>
      </c>
      <c r="F56" s="144">
        <f>VLOOKUP($A56,'Data shares'!$C:$FA,24)</f>
        <v>0.3</v>
      </c>
      <c r="G56" s="144">
        <f>VLOOKUP($A56,'Data shares'!$C:$FA,25)</f>
        <v>0.65</v>
      </c>
    </row>
    <row r="57" spans="1:7" x14ac:dyDescent="0.25">
      <c r="A57" s="101" t="str">
        <f>'Data Vlaue (Cr)'!C53</f>
        <v>DALBHARAT</v>
      </c>
      <c r="B57" s="144">
        <f>VLOOKUP($A57,'Data shares'!$C:$FA,7)</f>
        <v>2175.1999999999998</v>
      </c>
      <c r="C57" s="144">
        <f>VLOOKUP($A57,'Data shares'!$C:$FA,3)</f>
        <v>2181.6999999999998</v>
      </c>
      <c r="D57" s="144">
        <f>VLOOKUP($A57,'Data shares'!$C:$FA,23)</f>
        <v>6.5</v>
      </c>
      <c r="E57" s="145">
        <f>VLOOKUP($A57,'Data shares'!$C:$FA,26)*100</f>
        <v>0.3</v>
      </c>
      <c r="F57" s="144">
        <f>VLOOKUP($A57,'Data shares'!$C:$FA,24)</f>
        <v>3.1</v>
      </c>
      <c r="G57" s="144">
        <f>VLOOKUP($A57,'Data shares'!$C:$FA,25)</f>
        <v>3.4</v>
      </c>
    </row>
    <row r="58" spans="1:7" x14ac:dyDescent="0.25">
      <c r="A58" s="101" t="str">
        <f>'Data Vlaue (Cr)'!C54</f>
        <v>DELHIVERY</v>
      </c>
      <c r="B58" s="144">
        <f>VLOOKUP($A58,'Data shares'!$C:$FA,7)</f>
        <v>429.5</v>
      </c>
      <c r="C58" s="144">
        <f>VLOOKUP($A58,'Data shares'!$C:$FA,3)</f>
        <v>430.15</v>
      </c>
      <c r="D58" s="144">
        <f>VLOOKUP($A58,'Data shares'!$C:$FA,23)</f>
        <v>0.65</v>
      </c>
      <c r="E58" s="145">
        <f>VLOOKUP($A58,'Data shares'!$C:$FA,26)*100</f>
        <v>0.15</v>
      </c>
      <c r="F58" s="144">
        <f>VLOOKUP($A58,'Data shares'!$C:$FA,24)</f>
        <v>0.8</v>
      </c>
      <c r="G58" s="144">
        <f>VLOOKUP($A58,'Data shares'!$C:$FA,25)</f>
        <v>-0.15</v>
      </c>
    </row>
    <row r="59" spans="1:7" x14ac:dyDescent="0.25">
      <c r="A59" s="101" t="str">
        <f>'Data Vlaue (Cr)'!C55</f>
        <v>DIVISLAB</v>
      </c>
      <c r="B59" s="144">
        <f>VLOOKUP($A59,'Data shares'!$C:$FA,7)</f>
        <v>6386.5</v>
      </c>
      <c r="C59" s="144">
        <f>VLOOKUP($A59,'Data shares'!$C:$FA,3)</f>
        <v>6363</v>
      </c>
      <c r="D59" s="144">
        <f>VLOOKUP($A59,'Data shares'!$C:$FA,23)</f>
        <v>-23.5</v>
      </c>
      <c r="E59" s="145">
        <f>VLOOKUP($A59,'Data shares'!$C:$FA,26)*100</f>
        <v>-0.37</v>
      </c>
      <c r="F59" s="144">
        <f>VLOOKUP($A59,'Data shares'!$C:$FA,24)</f>
        <v>6.5</v>
      </c>
      <c r="G59" s="144">
        <f>VLOOKUP($A59,'Data shares'!$C:$FA,25)</f>
        <v>-30</v>
      </c>
    </row>
    <row r="60" spans="1:7" x14ac:dyDescent="0.25">
      <c r="A60" s="101" t="str">
        <f>'Data Vlaue (Cr)'!C56</f>
        <v>DIXON</v>
      </c>
      <c r="B60" s="144">
        <f>VLOOKUP($A60,'Data shares'!$C:$FA,7)</f>
        <v>11741</v>
      </c>
      <c r="C60" s="144">
        <f>VLOOKUP($A60,'Data shares'!$C:$FA,3)</f>
        <v>11776</v>
      </c>
      <c r="D60" s="144">
        <f>VLOOKUP($A60,'Data shares'!$C:$FA,23)</f>
        <v>35</v>
      </c>
      <c r="E60" s="145">
        <f>VLOOKUP($A60,'Data shares'!$C:$FA,26)*100</f>
        <v>0.3</v>
      </c>
      <c r="F60" s="144">
        <f>VLOOKUP($A60,'Data shares'!$C:$FA,24)</f>
        <v>12</v>
      </c>
      <c r="G60" s="144">
        <f>VLOOKUP($A60,'Data shares'!$C:$FA,25)</f>
        <v>23</v>
      </c>
    </row>
    <row r="61" spans="1:7" x14ac:dyDescent="0.25">
      <c r="A61" s="101" t="str">
        <f>'Data Vlaue (Cr)'!C57</f>
        <v>DLF</v>
      </c>
      <c r="B61" s="144">
        <f>VLOOKUP($A61,'Data shares'!$C:$FA,7)</f>
        <v>672.05</v>
      </c>
      <c r="C61" s="144">
        <f>VLOOKUP($A61,'Data shares'!$C:$FA,3)</f>
        <v>672.55</v>
      </c>
      <c r="D61" s="144">
        <f>VLOOKUP($A61,'Data shares'!$C:$FA,23)</f>
        <v>0.5</v>
      </c>
      <c r="E61" s="145">
        <f>VLOOKUP($A61,'Data shares'!$C:$FA,26)*100</f>
        <v>6.9999999999999993E-2</v>
      </c>
      <c r="F61" s="144">
        <f>VLOOKUP($A61,'Data shares'!$C:$FA,24)</f>
        <v>2.35</v>
      </c>
      <c r="G61" s="144">
        <f>VLOOKUP($A61,'Data shares'!$C:$FA,25)</f>
        <v>-1.85</v>
      </c>
    </row>
    <row r="62" spans="1:7" x14ac:dyDescent="0.25">
      <c r="A62" s="101" t="str">
        <f>'Data Vlaue (Cr)'!C58</f>
        <v>DMART</v>
      </c>
      <c r="B62" s="144">
        <f>VLOOKUP($A62,'Data shares'!$C:$FA,7)</f>
        <v>4003.7</v>
      </c>
      <c r="C62" s="144">
        <f>VLOOKUP($A62,'Data shares'!$C:$FA,3)</f>
        <v>3988.1</v>
      </c>
      <c r="D62" s="144">
        <f>VLOOKUP($A62,'Data shares'!$C:$FA,23)</f>
        <v>-15.6</v>
      </c>
      <c r="E62" s="145">
        <f>VLOOKUP($A62,'Data shares'!$C:$FA,26)*100</f>
        <v>-0.38999999999999996</v>
      </c>
      <c r="F62" s="144">
        <f>VLOOKUP($A62,'Data shares'!$C:$FA,24)</f>
        <v>-3.4</v>
      </c>
      <c r="G62" s="144">
        <f>VLOOKUP($A62,'Data shares'!$C:$FA,25)</f>
        <v>-12.2</v>
      </c>
    </row>
    <row r="63" spans="1:7" x14ac:dyDescent="0.25">
      <c r="A63" s="101" t="str">
        <f>'Data Vlaue (Cr)'!C59</f>
        <v>DRREDDY</v>
      </c>
      <c r="B63" s="144">
        <f>VLOOKUP($A63,'Data shares'!$C:$FA,7)</f>
        <v>1270.3</v>
      </c>
      <c r="C63" s="144">
        <f>VLOOKUP($A63,'Data shares'!$C:$FA,3)</f>
        <v>1271</v>
      </c>
      <c r="D63" s="144">
        <f>VLOOKUP($A63,'Data shares'!$C:$FA,23)</f>
        <v>0.7</v>
      </c>
      <c r="E63" s="145">
        <f>VLOOKUP($A63,'Data shares'!$C:$FA,26)*100</f>
        <v>0.06</v>
      </c>
      <c r="F63" s="144">
        <f>VLOOKUP($A63,'Data shares'!$C:$FA,24)</f>
        <v>3</v>
      </c>
      <c r="G63" s="144">
        <f>VLOOKUP($A63,'Data shares'!$C:$FA,25)</f>
        <v>-2.2999999999999998</v>
      </c>
    </row>
    <row r="64" spans="1:7" x14ac:dyDescent="0.25">
      <c r="A64" s="101" t="str">
        <f>'Data Vlaue (Cr)'!C60</f>
        <v>EICHERMOT</v>
      </c>
      <c r="B64" s="144">
        <f>VLOOKUP($A64,'Data shares'!$C:$FA,7)</f>
        <v>7771</v>
      </c>
      <c r="C64" s="144">
        <f>VLOOKUP($A64,'Data shares'!$C:$FA,3)</f>
        <v>7795.5</v>
      </c>
      <c r="D64" s="144">
        <f>VLOOKUP($A64,'Data shares'!$C:$FA,23)</f>
        <v>24.5</v>
      </c>
      <c r="E64" s="145">
        <f>VLOOKUP($A64,'Data shares'!$C:$FA,26)*100</f>
        <v>0.32</v>
      </c>
      <c r="F64" s="144">
        <f>VLOOKUP($A64,'Data shares'!$C:$FA,24)</f>
        <v>9</v>
      </c>
      <c r="G64" s="144">
        <f>VLOOKUP($A64,'Data shares'!$C:$FA,25)</f>
        <v>15.5</v>
      </c>
    </row>
    <row r="65" spans="1:7" x14ac:dyDescent="0.25">
      <c r="A65" s="101" t="str">
        <f>'Data Vlaue (Cr)'!C61</f>
        <v>ETERNAL</v>
      </c>
      <c r="B65" s="144">
        <f>VLOOKUP($A65,'Data shares'!$C:$FA,7)</f>
        <v>300.7</v>
      </c>
      <c r="C65" s="144">
        <f>VLOOKUP($A65,'Data shares'!$C:$FA,3)</f>
        <v>301.64999999999998</v>
      </c>
      <c r="D65" s="144">
        <f>VLOOKUP($A65,'Data shares'!$C:$FA,23)</f>
        <v>0.95</v>
      </c>
      <c r="E65" s="145">
        <f>VLOOKUP($A65,'Data shares'!$C:$FA,26)*100</f>
        <v>0.32</v>
      </c>
      <c r="F65" s="144">
        <f>VLOOKUP($A65,'Data shares'!$C:$FA,24)</f>
        <v>0.3</v>
      </c>
      <c r="G65" s="144">
        <f>VLOOKUP($A65,'Data shares'!$C:$FA,25)</f>
        <v>0.65</v>
      </c>
    </row>
    <row r="66" spans="1:7" x14ac:dyDescent="0.25">
      <c r="A66" s="101" t="str">
        <f>'Data Vlaue (Cr)'!C62</f>
        <v>EXIDEIND</v>
      </c>
      <c r="B66" s="144">
        <f>VLOOKUP($A66,'Data shares'!$C:$FA,7)</f>
        <v>341.1</v>
      </c>
      <c r="C66" s="144">
        <f>VLOOKUP($A66,'Data shares'!$C:$FA,3)</f>
        <v>341.45</v>
      </c>
      <c r="D66" s="144">
        <f>VLOOKUP($A66,'Data shares'!$C:$FA,23)</f>
        <v>0.35</v>
      </c>
      <c r="E66" s="145">
        <f>VLOOKUP($A66,'Data shares'!$C:$FA,26)*100</f>
        <v>0.1</v>
      </c>
      <c r="F66" s="144">
        <f>VLOOKUP($A66,'Data shares'!$C:$FA,24)</f>
        <v>0.25</v>
      </c>
      <c r="G66" s="144">
        <f>VLOOKUP($A66,'Data shares'!$C:$FA,25)</f>
        <v>0.1</v>
      </c>
    </row>
    <row r="67" spans="1:7" x14ac:dyDescent="0.25">
      <c r="A67" s="101" t="str">
        <f>'Data Vlaue (Cr)'!C63</f>
        <v>FEDERALBNK</v>
      </c>
      <c r="B67" s="144">
        <f>VLOOKUP($A67,'Data shares'!$C:$FA,7)</f>
        <v>290.5</v>
      </c>
      <c r="C67" s="144">
        <f>VLOOKUP($A67,'Data shares'!$C:$FA,3)</f>
        <v>291.5</v>
      </c>
      <c r="D67" s="144">
        <f>VLOOKUP($A67,'Data shares'!$C:$FA,23)</f>
        <v>1</v>
      </c>
      <c r="E67" s="145">
        <f>VLOOKUP($A67,'Data shares'!$C:$FA,26)*100</f>
        <v>0.33999999999999997</v>
      </c>
      <c r="F67" s="144">
        <f>VLOOKUP($A67,'Data shares'!$C:$FA,24)</f>
        <v>-0.4</v>
      </c>
      <c r="G67" s="144">
        <f>VLOOKUP($A67,'Data shares'!$C:$FA,25)</f>
        <v>1.4</v>
      </c>
    </row>
    <row r="68" spans="1:7" x14ac:dyDescent="0.25">
      <c r="A68" s="101" t="str">
        <f>'Data Vlaue (Cr)'!C64</f>
        <v>FINNIFTY</v>
      </c>
      <c r="B68" s="144">
        <f>VLOOKUP($A68,'Data shares'!$C:$FA,7)</f>
        <v>28276.95</v>
      </c>
      <c r="C68" s="144">
        <f>VLOOKUP($A68,'Data shares'!$C:$FA,3)</f>
        <v>28286.799999999999</v>
      </c>
      <c r="D68" s="144">
        <f>VLOOKUP($A68,'Data shares'!$C:$FA,23)</f>
        <v>9.85</v>
      </c>
      <c r="E68" s="145">
        <f>VLOOKUP($A68,'Data shares'!$C:$FA,26)*100</f>
        <v>0.03</v>
      </c>
      <c r="F68" s="144">
        <f>VLOOKUP($A68,'Data shares'!$C:$FA,24)</f>
        <v>23.95</v>
      </c>
      <c r="G68" s="144">
        <f>VLOOKUP($A68,'Data shares'!$C:$FA,25)</f>
        <v>-14.1</v>
      </c>
    </row>
    <row r="69" spans="1:7" x14ac:dyDescent="0.25">
      <c r="A69" s="101" t="str">
        <f>'Data Vlaue (Cr)'!C65</f>
        <v>FORTIS</v>
      </c>
      <c r="B69" s="144">
        <f>VLOOKUP($A69,'Data shares'!$C:$FA,7)</f>
        <v>918.85</v>
      </c>
      <c r="C69" s="144">
        <f>VLOOKUP($A69,'Data shares'!$C:$FA,3)</f>
        <v>921.25</v>
      </c>
      <c r="D69" s="144">
        <f>VLOOKUP($A69,'Data shares'!$C:$FA,23)</f>
        <v>2.4</v>
      </c>
      <c r="E69" s="145">
        <f>VLOOKUP($A69,'Data shares'!$C:$FA,26)*100</f>
        <v>0.26</v>
      </c>
      <c r="F69" s="144">
        <f>VLOOKUP($A69,'Data shares'!$C:$FA,24)</f>
        <v>1.1000000000000001</v>
      </c>
      <c r="G69" s="144">
        <f>VLOOKUP($A69,'Data shares'!$C:$FA,25)</f>
        <v>1.3</v>
      </c>
    </row>
    <row r="70" spans="1:7" x14ac:dyDescent="0.25">
      <c r="A70" s="101" t="str">
        <f>'Data Vlaue (Cr)'!C66</f>
        <v>GAIL</v>
      </c>
      <c r="B70" s="144">
        <f>VLOOKUP($A70,'Data shares'!$C:$FA,7)</f>
        <v>163.47</v>
      </c>
      <c r="C70" s="144">
        <f>VLOOKUP($A70,'Data shares'!$C:$FA,3)</f>
        <v>164.01</v>
      </c>
      <c r="D70" s="144">
        <f>VLOOKUP($A70,'Data shares'!$C:$FA,23)</f>
        <v>0.54</v>
      </c>
      <c r="E70" s="145">
        <f>VLOOKUP($A70,'Data shares'!$C:$FA,26)*100</f>
        <v>0.33</v>
      </c>
      <c r="F70" s="144">
        <f>VLOOKUP($A70,'Data shares'!$C:$FA,24)</f>
        <v>0.51</v>
      </c>
      <c r="G70" s="144">
        <f>VLOOKUP($A70,'Data shares'!$C:$FA,25)</f>
        <v>0.03</v>
      </c>
    </row>
    <row r="71" spans="1:7" x14ac:dyDescent="0.25">
      <c r="A71" s="101" t="str">
        <f>'Data Vlaue (Cr)'!C67</f>
        <v>GLENMARK</v>
      </c>
      <c r="B71" s="144">
        <f>VLOOKUP($A71,'Data shares'!$C:$FA,7)</f>
        <v>2015.2</v>
      </c>
      <c r="C71" s="144">
        <f>VLOOKUP($A71,'Data shares'!$C:$FA,3)</f>
        <v>2018</v>
      </c>
      <c r="D71" s="144">
        <f>VLOOKUP($A71,'Data shares'!$C:$FA,23)</f>
        <v>2.8</v>
      </c>
      <c r="E71" s="145">
        <f>VLOOKUP($A71,'Data shares'!$C:$FA,26)*100</f>
        <v>0.13999999999999999</v>
      </c>
      <c r="F71" s="144">
        <f>VLOOKUP($A71,'Data shares'!$C:$FA,24)</f>
        <v>5.6</v>
      </c>
      <c r="G71" s="144">
        <f>VLOOKUP($A71,'Data shares'!$C:$FA,25)</f>
        <v>-2.8</v>
      </c>
    </row>
    <row r="72" spans="1:7" x14ac:dyDescent="0.25">
      <c r="A72" s="101" t="str">
        <f>'Data Vlaue (Cr)'!C68</f>
        <v>GMRAIRPORT</v>
      </c>
      <c r="B72" s="144">
        <f>VLOOKUP($A72,'Data shares'!$C:$FA,7)</f>
        <v>96.81</v>
      </c>
      <c r="C72" s="144">
        <f>VLOOKUP($A72,'Data shares'!$C:$FA,3)</f>
        <v>97.09</v>
      </c>
      <c r="D72" s="144">
        <f>VLOOKUP($A72,'Data shares'!$C:$FA,23)</f>
        <v>0.28000000000000003</v>
      </c>
      <c r="E72" s="145">
        <f>VLOOKUP($A72,'Data shares'!$C:$FA,26)*100</f>
        <v>0.28999999999999998</v>
      </c>
      <c r="F72" s="144">
        <f>VLOOKUP($A72,'Data shares'!$C:$FA,24)</f>
        <v>0.13</v>
      </c>
      <c r="G72" s="144">
        <f>VLOOKUP($A72,'Data shares'!$C:$FA,25)</f>
        <v>0.15</v>
      </c>
    </row>
    <row r="73" spans="1:7" x14ac:dyDescent="0.25">
      <c r="A73" s="101" t="str">
        <f>'Data Vlaue (Cr)'!C69</f>
        <v>GODREJCP</v>
      </c>
      <c r="B73" s="144">
        <f>VLOOKUP($A73,'Data shares'!$C:$FA,7)</f>
        <v>1208.5999999999999</v>
      </c>
      <c r="C73" s="144">
        <f>VLOOKUP($A73,'Data shares'!$C:$FA,3)</f>
        <v>1211.7</v>
      </c>
      <c r="D73" s="144">
        <f>VLOOKUP($A73,'Data shares'!$C:$FA,23)</f>
        <v>3.1</v>
      </c>
      <c r="E73" s="145">
        <f>VLOOKUP($A73,'Data shares'!$C:$FA,26)*100</f>
        <v>0.26</v>
      </c>
      <c r="F73" s="144">
        <f>VLOOKUP($A73,'Data shares'!$C:$FA,24)</f>
        <v>0.2</v>
      </c>
      <c r="G73" s="144">
        <f>VLOOKUP($A73,'Data shares'!$C:$FA,25)</f>
        <v>2.9</v>
      </c>
    </row>
    <row r="74" spans="1:7" x14ac:dyDescent="0.25">
      <c r="A74" s="101" t="str">
        <f>'Data Vlaue (Cr)'!C70</f>
        <v>GODREJPROP</v>
      </c>
      <c r="B74" s="144">
        <f>VLOOKUP($A74,'Data shares'!$C:$FA,7)</f>
        <v>1852.1</v>
      </c>
      <c r="C74" s="144">
        <f>VLOOKUP($A74,'Data shares'!$C:$FA,3)</f>
        <v>1853.4</v>
      </c>
      <c r="D74" s="144">
        <f>VLOOKUP($A74,'Data shares'!$C:$FA,23)</f>
        <v>1.3</v>
      </c>
      <c r="E74" s="145">
        <f>VLOOKUP($A74,'Data shares'!$C:$FA,26)*100</f>
        <v>6.9999999999999993E-2</v>
      </c>
      <c r="F74" s="144">
        <f>VLOOKUP($A74,'Data shares'!$C:$FA,24)</f>
        <v>3.3</v>
      </c>
      <c r="G74" s="144">
        <f>VLOOKUP($A74,'Data shares'!$C:$FA,25)</f>
        <v>-2</v>
      </c>
    </row>
    <row r="75" spans="1:7" x14ac:dyDescent="0.25">
      <c r="A75" s="101" t="str">
        <f>'Data Vlaue (Cr)'!C71</f>
        <v>GRASIM</v>
      </c>
      <c r="B75" s="144">
        <f>VLOOKUP($A75,'Data shares'!$C:$FA,7)</f>
        <v>2932.6</v>
      </c>
      <c r="C75" s="144">
        <f>VLOOKUP($A75,'Data shares'!$C:$FA,3)</f>
        <v>2935.8</v>
      </c>
      <c r="D75" s="144">
        <f>VLOOKUP($A75,'Data shares'!$C:$FA,23)</f>
        <v>3.2</v>
      </c>
      <c r="E75" s="145">
        <f>VLOOKUP($A75,'Data shares'!$C:$FA,26)*100</f>
        <v>0.11</v>
      </c>
      <c r="F75" s="144">
        <f>VLOOKUP($A75,'Data shares'!$C:$FA,24)</f>
        <v>4.2</v>
      </c>
      <c r="G75" s="144">
        <f>VLOOKUP($A75,'Data shares'!$C:$FA,25)</f>
        <v>-1</v>
      </c>
    </row>
    <row r="76" spans="1:7" x14ac:dyDescent="0.25">
      <c r="A76" s="101" t="str">
        <f>'Data Vlaue (Cr)'!C72</f>
        <v>HAL</v>
      </c>
      <c r="B76" s="144">
        <f>VLOOKUP($A76,'Data shares'!$C:$FA,7)</f>
        <v>4133</v>
      </c>
      <c r="C76" s="144">
        <f>VLOOKUP($A76,'Data shares'!$C:$FA,3)</f>
        <v>4117.6000000000004</v>
      </c>
      <c r="D76" s="144">
        <f>VLOOKUP($A76,'Data shares'!$C:$FA,23)</f>
        <v>-15.4</v>
      </c>
      <c r="E76" s="145">
        <f>VLOOKUP($A76,'Data shares'!$C:$FA,26)*100</f>
        <v>-0.37</v>
      </c>
      <c r="F76" s="144">
        <f>VLOOKUP($A76,'Data shares'!$C:$FA,24)</f>
        <v>-28.9</v>
      </c>
      <c r="G76" s="144">
        <f>VLOOKUP($A76,'Data shares'!$C:$FA,25)</f>
        <v>13.5</v>
      </c>
    </row>
    <row r="77" spans="1:7" x14ac:dyDescent="0.25">
      <c r="A77" s="101" t="str">
        <f>'Data Vlaue (Cr)'!C73</f>
        <v>HAVELLS</v>
      </c>
      <c r="B77" s="144">
        <f>VLOOKUP($A77,'Data shares'!$C:$FA,7)</f>
        <v>1383.8</v>
      </c>
      <c r="C77" s="144">
        <f>VLOOKUP($A77,'Data shares'!$C:$FA,3)</f>
        <v>1387.1</v>
      </c>
      <c r="D77" s="144">
        <f>VLOOKUP($A77,'Data shares'!$C:$FA,23)</f>
        <v>3.3</v>
      </c>
      <c r="E77" s="145">
        <f>VLOOKUP($A77,'Data shares'!$C:$FA,26)*100</f>
        <v>0.24</v>
      </c>
      <c r="F77" s="144">
        <f>VLOOKUP($A77,'Data shares'!$C:$FA,24)</f>
        <v>1.5</v>
      </c>
      <c r="G77" s="144">
        <f>VLOOKUP($A77,'Data shares'!$C:$FA,25)</f>
        <v>1.8</v>
      </c>
    </row>
    <row r="78" spans="1:7" x14ac:dyDescent="0.25">
      <c r="A78" s="101" t="str">
        <f>'Data Vlaue (Cr)'!C74</f>
        <v>HCLTECH</v>
      </c>
      <c r="B78" s="144">
        <f>VLOOKUP($A78,'Data shares'!$C:$FA,7)</f>
        <v>1551.6</v>
      </c>
      <c r="C78" s="144">
        <f>VLOOKUP($A78,'Data shares'!$C:$FA,3)</f>
        <v>1553.5</v>
      </c>
      <c r="D78" s="144">
        <f>VLOOKUP($A78,'Data shares'!$C:$FA,23)</f>
        <v>1.9</v>
      </c>
      <c r="E78" s="145">
        <f>VLOOKUP($A78,'Data shares'!$C:$FA,26)*100</f>
        <v>0.12</v>
      </c>
      <c r="F78" s="144">
        <f>VLOOKUP($A78,'Data shares'!$C:$FA,24)</f>
        <v>5.2</v>
      </c>
      <c r="G78" s="144">
        <f>VLOOKUP($A78,'Data shares'!$C:$FA,25)</f>
        <v>-3.3</v>
      </c>
    </row>
    <row r="79" spans="1:7" x14ac:dyDescent="0.25">
      <c r="A79" s="101" t="str">
        <f>'Data Vlaue (Cr)'!C75</f>
        <v>HDFCAMC</v>
      </c>
      <c r="B79" s="144">
        <f>VLOOKUP($A79,'Data shares'!$C:$FA,7)</f>
        <v>2826.9</v>
      </c>
      <c r="C79" s="144">
        <f>VLOOKUP($A79,'Data shares'!$C:$FA,3)</f>
        <v>2831.7</v>
      </c>
      <c r="D79" s="144">
        <f>VLOOKUP($A79,'Data shares'!$C:$FA,23)</f>
        <v>4.8</v>
      </c>
      <c r="E79" s="145">
        <f>VLOOKUP($A79,'Data shares'!$C:$FA,26)*100</f>
        <v>0.16999999999999998</v>
      </c>
      <c r="F79" s="144">
        <f>VLOOKUP($A79,'Data shares'!$C:$FA,24)</f>
        <v>2.7</v>
      </c>
      <c r="G79" s="144">
        <f>VLOOKUP($A79,'Data shares'!$C:$FA,25)</f>
        <v>2.1</v>
      </c>
    </row>
    <row r="80" spans="1:7" x14ac:dyDescent="0.25">
      <c r="A80" s="101" t="str">
        <f>'Data Vlaue (Cr)'!C76</f>
        <v>HDFCBANK</v>
      </c>
      <c r="B80" s="144">
        <f>VLOOKUP($A80,'Data shares'!$C:$FA,7)</f>
        <v>927.1</v>
      </c>
      <c r="C80" s="144">
        <f>VLOOKUP($A80,'Data shares'!$C:$FA,3)</f>
        <v>930.7</v>
      </c>
      <c r="D80" s="144">
        <f>VLOOKUP($A80,'Data shares'!$C:$FA,23)</f>
        <v>3.6</v>
      </c>
      <c r="E80" s="145">
        <f>VLOOKUP($A80,'Data shares'!$C:$FA,26)*100</f>
        <v>0.38999999999999996</v>
      </c>
      <c r="F80" s="144">
        <f>VLOOKUP($A80,'Data shares'!$C:$FA,24)</f>
        <v>3.4</v>
      </c>
      <c r="G80" s="144">
        <f>VLOOKUP($A80,'Data shares'!$C:$FA,25)</f>
        <v>0.2</v>
      </c>
    </row>
    <row r="81" spans="1:7" x14ac:dyDescent="0.25">
      <c r="A81" s="101" t="str">
        <f>'Data Vlaue (Cr)'!C77</f>
        <v>HDFCLIFE</v>
      </c>
      <c r="B81" s="144">
        <f>VLOOKUP($A81,'Data shares'!$C:$FA,7)</f>
        <v>701.1</v>
      </c>
      <c r="C81" s="144">
        <f>VLOOKUP($A81,'Data shares'!$C:$FA,3)</f>
        <v>702.95</v>
      </c>
      <c r="D81" s="144">
        <f>VLOOKUP($A81,'Data shares'!$C:$FA,23)</f>
        <v>1.85</v>
      </c>
      <c r="E81" s="145">
        <f>VLOOKUP($A81,'Data shares'!$C:$FA,26)*100</f>
        <v>0.26</v>
      </c>
      <c r="F81" s="144">
        <f>VLOOKUP($A81,'Data shares'!$C:$FA,24)</f>
        <v>2.4</v>
      </c>
      <c r="G81" s="144">
        <f>VLOOKUP($A81,'Data shares'!$C:$FA,25)</f>
        <v>-0.55000000000000004</v>
      </c>
    </row>
    <row r="82" spans="1:7" x14ac:dyDescent="0.25">
      <c r="A82" s="101" t="str">
        <f>'Data Vlaue (Cr)'!C78</f>
        <v>HEROMOTOCO</v>
      </c>
      <c r="B82" s="144">
        <f>VLOOKUP($A82,'Data shares'!$C:$FA,7)</f>
        <v>5682.5</v>
      </c>
      <c r="C82" s="144">
        <f>VLOOKUP($A82,'Data shares'!$C:$FA,3)</f>
        <v>5700.5</v>
      </c>
      <c r="D82" s="144">
        <f>VLOOKUP($A82,'Data shares'!$C:$FA,23)</f>
        <v>18</v>
      </c>
      <c r="E82" s="145">
        <f>VLOOKUP($A82,'Data shares'!$C:$FA,26)*100</f>
        <v>0.32</v>
      </c>
      <c r="F82" s="144">
        <f>VLOOKUP($A82,'Data shares'!$C:$FA,24)</f>
        <v>-89.5</v>
      </c>
      <c r="G82" s="144">
        <f>VLOOKUP($A82,'Data shares'!$C:$FA,25)</f>
        <v>107.5</v>
      </c>
    </row>
    <row r="83" spans="1:7" x14ac:dyDescent="0.25">
      <c r="A83" s="101" t="str">
        <f>'Data Vlaue (Cr)'!C79</f>
        <v>HINDALCO</v>
      </c>
      <c r="B83" s="144">
        <f>VLOOKUP($A83,'Data shares'!$C:$FA,7)</f>
        <v>965.95</v>
      </c>
      <c r="C83" s="144">
        <f>VLOOKUP($A83,'Data shares'!$C:$FA,3)</f>
        <v>964.85</v>
      </c>
      <c r="D83" s="144">
        <f>VLOOKUP($A83,'Data shares'!$C:$FA,23)</f>
        <v>-1.1000000000000001</v>
      </c>
      <c r="E83" s="145">
        <f>VLOOKUP($A83,'Data shares'!$C:$FA,26)*100</f>
        <v>-0.11</v>
      </c>
      <c r="F83" s="144">
        <f>VLOOKUP($A83,'Data shares'!$C:$FA,24)</f>
        <v>-0.7</v>
      </c>
      <c r="G83" s="144">
        <f>VLOOKUP($A83,'Data shares'!$C:$FA,25)</f>
        <v>-0.4</v>
      </c>
    </row>
    <row r="84" spans="1:7" x14ac:dyDescent="0.25">
      <c r="A84" s="101" t="str">
        <f>'Data Vlaue (Cr)'!C80</f>
        <v>HINDPETRO</v>
      </c>
      <c r="B84" s="144">
        <f>VLOOKUP($A84,'Data shares'!$C:$FA,7)</f>
        <v>461.75</v>
      </c>
      <c r="C84" s="144">
        <f>VLOOKUP($A84,'Data shares'!$C:$FA,3)</f>
        <v>462.1</v>
      </c>
      <c r="D84" s="144">
        <f>VLOOKUP($A84,'Data shares'!$C:$FA,23)</f>
        <v>0.35</v>
      </c>
      <c r="E84" s="145">
        <f>VLOOKUP($A84,'Data shares'!$C:$FA,26)*100</f>
        <v>0.08</v>
      </c>
      <c r="F84" s="144">
        <f>VLOOKUP($A84,'Data shares'!$C:$FA,24)</f>
        <v>1</v>
      </c>
      <c r="G84" s="144">
        <f>VLOOKUP($A84,'Data shares'!$C:$FA,25)</f>
        <v>-0.65</v>
      </c>
    </row>
    <row r="85" spans="1:7" x14ac:dyDescent="0.25">
      <c r="A85" s="101" t="str">
        <f>'Data Vlaue (Cr)'!C81</f>
        <v>HINDUNILVR</v>
      </c>
      <c r="B85" s="144">
        <f>VLOOKUP($A85,'Data shares'!$C:$FA,7)</f>
        <v>2462.9</v>
      </c>
      <c r="C85" s="144">
        <f>VLOOKUP($A85,'Data shares'!$C:$FA,3)</f>
        <v>2469.1999999999998</v>
      </c>
      <c r="D85" s="144">
        <f>VLOOKUP($A85,'Data shares'!$C:$FA,23)</f>
        <v>6.3</v>
      </c>
      <c r="E85" s="145">
        <f>VLOOKUP($A85,'Data shares'!$C:$FA,26)*100</f>
        <v>0.26</v>
      </c>
      <c r="F85" s="144">
        <f>VLOOKUP($A85,'Data shares'!$C:$FA,24)</f>
        <v>0.6</v>
      </c>
      <c r="G85" s="144">
        <f>VLOOKUP($A85,'Data shares'!$C:$FA,25)</f>
        <v>5.7</v>
      </c>
    </row>
    <row r="86" spans="1:7" x14ac:dyDescent="0.25">
      <c r="A86" s="101" t="str">
        <f>'Data Vlaue (Cr)'!C82</f>
        <v>HINDZINC</v>
      </c>
      <c r="B86" s="144">
        <f>VLOOKUP($A86,'Data shares'!$C:$FA,7)</f>
        <v>628.54999999999995</v>
      </c>
      <c r="C86" s="144">
        <f>VLOOKUP($A86,'Data shares'!$C:$FA,3)</f>
        <v>630.9</v>
      </c>
      <c r="D86" s="144">
        <f>VLOOKUP($A86,'Data shares'!$C:$FA,23)</f>
        <v>2.35</v>
      </c>
      <c r="E86" s="145">
        <f>VLOOKUP($A86,'Data shares'!$C:$FA,26)*100</f>
        <v>0.37</v>
      </c>
      <c r="F86" s="144">
        <f>VLOOKUP($A86,'Data shares'!$C:$FA,24)</f>
        <v>1.85</v>
      </c>
      <c r="G86" s="144">
        <f>VLOOKUP($A86,'Data shares'!$C:$FA,25)</f>
        <v>0.5</v>
      </c>
    </row>
    <row r="87" spans="1:7" x14ac:dyDescent="0.25">
      <c r="A87" s="101" t="str">
        <f>'Data Vlaue (Cr)'!C83</f>
        <v>HUDCO</v>
      </c>
      <c r="B87" s="144">
        <f>VLOOKUP($A87,'Data shares'!$C:$FA,7)</f>
        <v>193.24</v>
      </c>
      <c r="C87" s="144">
        <f>VLOOKUP($A87,'Data shares'!$C:$FA,3)</f>
        <v>193.89</v>
      </c>
      <c r="D87" s="144">
        <f>VLOOKUP($A87,'Data shares'!$C:$FA,23)</f>
        <v>0.65</v>
      </c>
      <c r="E87" s="145">
        <f>VLOOKUP($A87,'Data shares'!$C:$FA,26)*100</f>
        <v>0.33999999999999997</v>
      </c>
      <c r="F87" s="144">
        <f>VLOOKUP($A87,'Data shares'!$C:$FA,24)</f>
        <v>0.17</v>
      </c>
      <c r="G87" s="144">
        <f>VLOOKUP($A87,'Data shares'!$C:$FA,25)</f>
        <v>0.48</v>
      </c>
    </row>
    <row r="88" spans="1:7" x14ac:dyDescent="0.25">
      <c r="A88" s="101" t="str">
        <f>'Data Vlaue (Cr)'!C84</f>
        <v>ICICIBANK</v>
      </c>
      <c r="B88" s="144">
        <f>VLOOKUP($A88,'Data shares'!$C:$FA,7)</f>
        <v>1406.1</v>
      </c>
      <c r="C88" s="144">
        <f>VLOOKUP($A88,'Data shares'!$C:$FA,3)</f>
        <v>1409.6</v>
      </c>
      <c r="D88" s="144">
        <f>VLOOKUP($A88,'Data shares'!$C:$FA,23)</f>
        <v>3.5</v>
      </c>
      <c r="E88" s="145">
        <f>VLOOKUP($A88,'Data shares'!$C:$FA,26)*100</f>
        <v>0.25</v>
      </c>
      <c r="F88" s="144">
        <f>VLOOKUP($A88,'Data shares'!$C:$FA,24)</f>
        <v>1.8</v>
      </c>
      <c r="G88" s="144">
        <f>VLOOKUP($A88,'Data shares'!$C:$FA,25)</f>
        <v>1.7</v>
      </c>
    </row>
    <row r="89" spans="1:7" x14ac:dyDescent="0.25">
      <c r="A89" s="101" t="str">
        <f>'Data Vlaue (Cr)'!C85</f>
        <v>ICICIGI</v>
      </c>
      <c r="B89" s="144">
        <f>VLOOKUP($A89,'Data shares'!$C:$FA,7)</f>
        <v>1931.7</v>
      </c>
      <c r="C89" s="144">
        <f>VLOOKUP($A89,'Data shares'!$C:$FA,3)</f>
        <v>1922.3</v>
      </c>
      <c r="D89" s="144">
        <f>VLOOKUP($A89,'Data shares'!$C:$FA,23)</f>
        <v>-9.4</v>
      </c>
      <c r="E89" s="145">
        <f>VLOOKUP($A89,'Data shares'!$C:$FA,26)*100</f>
        <v>-0.49</v>
      </c>
      <c r="F89" s="144">
        <f>VLOOKUP($A89,'Data shares'!$C:$FA,24)</f>
        <v>5.9</v>
      </c>
      <c r="G89" s="144">
        <f>VLOOKUP($A89,'Data shares'!$C:$FA,25)</f>
        <v>-15.3</v>
      </c>
    </row>
    <row r="90" spans="1:7" x14ac:dyDescent="0.25">
      <c r="A90" s="101" t="str">
        <f>'Data Vlaue (Cr)'!C86</f>
        <v>ICICIPRULI</v>
      </c>
      <c r="B90" s="144">
        <f>VLOOKUP($A90,'Data shares'!$C:$FA,7)</f>
        <v>640.95000000000005</v>
      </c>
      <c r="C90" s="144">
        <f>VLOOKUP($A90,'Data shares'!$C:$FA,3)</f>
        <v>643.15</v>
      </c>
      <c r="D90" s="144">
        <f>VLOOKUP($A90,'Data shares'!$C:$FA,23)</f>
        <v>2.2000000000000002</v>
      </c>
      <c r="E90" s="145">
        <f>VLOOKUP($A90,'Data shares'!$C:$FA,26)*100</f>
        <v>0.33999999999999997</v>
      </c>
      <c r="F90" s="144">
        <f>VLOOKUP($A90,'Data shares'!$C:$FA,24)</f>
        <v>1.85</v>
      </c>
      <c r="G90" s="144">
        <f>VLOOKUP($A90,'Data shares'!$C:$FA,25)</f>
        <v>0.35</v>
      </c>
    </row>
    <row r="91" spans="1:7" x14ac:dyDescent="0.25">
      <c r="A91" s="101" t="str">
        <f>'Data Vlaue (Cr)'!C87</f>
        <v>IDEA</v>
      </c>
      <c r="B91" s="144">
        <f>VLOOKUP($A91,'Data shares'!$C:$FA,7)</f>
        <v>11.85</v>
      </c>
      <c r="C91" s="144">
        <f>VLOOKUP($A91,'Data shares'!$C:$FA,3)</f>
        <v>11.85</v>
      </c>
      <c r="D91" s="144">
        <f>VLOOKUP($A91,'Data shares'!$C:$FA,23)</f>
        <v>0</v>
      </c>
      <c r="E91" s="145">
        <f>VLOOKUP($A91,'Data shares'!$C:$FA,26)*100</f>
        <v>0</v>
      </c>
      <c r="F91" s="144">
        <f>VLOOKUP($A91,'Data shares'!$C:$FA,24)</f>
        <v>0.03</v>
      </c>
      <c r="G91" s="144">
        <f>VLOOKUP($A91,'Data shares'!$C:$FA,25)</f>
        <v>-0.03</v>
      </c>
    </row>
    <row r="92" spans="1:7" x14ac:dyDescent="0.25">
      <c r="A92" s="101" t="str">
        <f>'Data Vlaue (Cr)'!C88</f>
        <v>IDFCFIRSTB</v>
      </c>
      <c r="B92" s="144">
        <f>VLOOKUP($A92,'Data shares'!$C:$FA,7)</f>
        <v>82.56</v>
      </c>
      <c r="C92" s="144">
        <f>VLOOKUP($A92,'Data shares'!$C:$FA,3)</f>
        <v>82.73</v>
      </c>
      <c r="D92" s="144">
        <f>VLOOKUP($A92,'Data shares'!$C:$FA,23)</f>
        <v>0.17</v>
      </c>
      <c r="E92" s="145">
        <f>VLOOKUP($A92,'Data shares'!$C:$FA,26)*100</f>
        <v>0.21</v>
      </c>
      <c r="F92" s="144">
        <f>VLOOKUP($A92,'Data shares'!$C:$FA,24)</f>
        <v>0.31</v>
      </c>
      <c r="G92" s="144">
        <f>VLOOKUP($A92,'Data shares'!$C:$FA,25)</f>
        <v>-0.14000000000000001</v>
      </c>
    </row>
    <row r="93" spans="1:7" x14ac:dyDescent="0.25">
      <c r="A93" s="101" t="str">
        <f>'Data Vlaue (Cr)'!C89</f>
        <v>IEX</v>
      </c>
      <c r="B93" s="144">
        <f>VLOOKUP($A93,'Data shares'!$C:$FA,7)</f>
        <v>127.16</v>
      </c>
      <c r="C93" s="144">
        <f>VLOOKUP($A93,'Data shares'!$C:$FA,3)</f>
        <v>127.65</v>
      </c>
      <c r="D93" s="144">
        <f>VLOOKUP($A93,'Data shares'!$C:$FA,23)</f>
        <v>0.49</v>
      </c>
      <c r="E93" s="145">
        <f>VLOOKUP($A93,'Data shares'!$C:$FA,26)*100</f>
        <v>0.38999999999999996</v>
      </c>
      <c r="F93" s="144">
        <f>VLOOKUP($A93,'Data shares'!$C:$FA,24)</f>
        <v>0.09</v>
      </c>
      <c r="G93" s="144">
        <f>VLOOKUP($A93,'Data shares'!$C:$FA,25)</f>
        <v>0.4</v>
      </c>
    </row>
    <row r="94" spans="1:7" x14ac:dyDescent="0.25">
      <c r="A94" s="101" t="str">
        <f>'Data Vlaue (Cr)'!C90</f>
        <v>INDHOTEL</v>
      </c>
      <c r="B94" s="144">
        <f>VLOOKUP($A94,'Data shares'!$C:$FA,7)</f>
        <v>707.55</v>
      </c>
      <c r="C94" s="144">
        <f>VLOOKUP($A94,'Data shares'!$C:$FA,3)</f>
        <v>708.45</v>
      </c>
      <c r="D94" s="144">
        <f>VLOOKUP($A94,'Data shares'!$C:$FA,23)</f>
        <v>0.9</v>
      </c>
      <c r="E94" s="145">
        <f>VLOOKUP($A94,'Data shares'!$C:$FA,26)*100</f>
        <v>0.13</v>
      </c>
      <c r="F94" s="144">
        <f>VLOOKUP($A94,'Data shares'!$C:$FA,24)</f>
        <v>0.7</v>
      </c>
      <c r="G94" s="144">
        <f>VLOOKUP($A94,'Data shares'!$C:$FA,25)</f>
        <v>0.2</v>
      </c>
    </row>
    <row r="95" spans="1:7" x14ac:dyDescent="0.25">
      <c r="A95" s="101" t="str">
        <f>'Data Vlaue (Cr)'!C91</f>
        <v>INDIANB</v>
      </c>
      <c r="B95" s="144">
        <f>VLOOKUP($A95,'Data shares'!$C:$FA,7)</f>
        <v>897.3</v>
      </c>
      <c r="C95" s="144">
        <f>VLOOKUP($A95,'Data shares'!$C:$FA,3)</f>
        <v>900.45</v>
      </c>
      <c r="D95" s="144">
        <f>VLOOKUP($A95,'Data shares'!$C:$FA,23)</f>
        <v>3.15</v>
      </c>
      <c r="E95" s="145">
        <f>VLOOKUP($A95,'Data shares'!$C:$FA,26)*100</f>
        <v>0.35000000000000003</v>
      </c>
      <c r="F95" s="144">
        <f>VLOOKUP($A95,'Data shares'!$C:$FA,24)</f>
        <v>0.6</v>
      </c>
      <c r="G95" s="144">
        <f>VLOOKUP($A95,'Data shares'!$C:$FA,25)</f>
        <v>2.5499999999999998</v>
      </c>
    </row>
    <row r="96" spans="1:7" x14ac:dyDescent="0.25">
      <c r="A96" s="101" t="str">
        <f>'Data Vlaue (Cr)'!C92</f>
        <v>INDIAVIX</v>
      </c>
      <c r="B96" s="144">
        <f>VLOOKUP($A96,'Data shares'!$C:$FA,7)</f>
        <v>11.55</v>
      </c>
      <c r="C96" s="144">
        <f>VLOOKUP($A96,'Data shares'!$C:$FA,3)</f>
        <v>11.55</v>
      </c>
      <c r="D96" s="144">
        <f>VLOOKUP($A96,'Data shares'!$C:$FA,23)</f>
        <v>0</v>
      </c>
      <c r="E96" s="145">
        <f>VLOOKUP($A96,'Data shares'!$C:$FA,26)*100</f>
        <v>0</v>
      </c>
      <c r="F96" s="144">
        <f>VLOOKUP($A96,'Data shares'!$C:$FA,24)</f>
        <v>0</v>
      </c>
      <c r="G96" s="144">
        <f>VLOOKUP($A96,'Data shares'!$C:$FA,25)</f>
        <v>0</v>
      </c>
    </row>
    <row r="97" spans="1:7" x14ac:dyDescent="0.25">
      <c r="A97" s="101" t="str">
        <f>'Data Vlaue (Cr)'!C93</f>
        <v>INDIGO</v>
      </c>
      <c r="B97" s="144">
        <f>VLOOKUP($A97,'Data shares'!$C:$FA,7)</f>
        <v>5013.8</v>
      </c>
      <c r="C97" s="144">
        <f>VLOOKUP($A97,'Data shares'!$C:$FA,3)</f>
        <v>5017.6000000000004</v>
      </c>
      <c r="D97" s="144">
        <f>VLOOKUP($A97,'Data shares'!$C:$FA,23)</f>
        <v>3.8</v>
      </c>
      <c r="E97" s="145">
        <f>VLOOKUP($A97,'Data shares'!$C:$FA,26)*100</f>
        <v>0.08</v>
      </c>
      <c r="F97" s="144">
        <f>VLOOKUP($A97,'Data shares'!$C:$FA,24)</f>
        <v>17.7</v>
      </c>
      <c r="G97" s="144">
        <f>VLOOKUP($A97,'Data shares'!$C:$FA,25)</f>
        <v>-13.9</v>
      </c>
    </row>
    <row r="98" spans="1:7" x14ac:dyDescent="0.25">
      <c r="A98" s="101" t="str">
        <f>'Data Vlaue (Cr)'!C94</f>
        <v>INDUSINDBK</v>
      </c>
      <c r="B98" s="144">
        <f>VLOOKUP($A98,'Data shares'!$C:$FA,7)</f>
        <v>925</v>
      </c>
      <c r="C98" s="144">
        <f>VLOOKUP($A98,'Data shares'!$C:$FA,3)</f>
        <v>922.6</v>
      </c>
      <c r="D98" s="144">
        <f>VLOOKUP($A98,'Data shares'!$C:$FA,23)</f>
        <v>-2.4</v>
      </c>
      <c r="E98" s="145">
        <f>VLOOKUP($A98,'Data shares'!$C:$FA,26)*100</f>
        <v>-0.26</v>
      </c>
      <c r="F98" s="144">
        <f>VLOOKUP($A98,'Data shares'!$C:$FA,24)</f>
        <v>-1.1499999999999999</v>
      </c>
      <c r="G98" s="144">
        <f>VLOOKUP($A98,'Data shares'!$C:$FA,25)</f>
        <v>-1.25</v>
      </c>
    </row>
    <row r="99" spans="1:7" x14ac:dyDescent="0.25">
      <c r="A99" s="101" t="str">
        <f>'Data Vlaue (Cr)'!C95</f>
        <v>INDUSTOWER</v>
      </c>
      <c r="B99" s="144">
        <f>VLOOKUP($A99,'Data shares'!$C:$FA,7)</f>
        <v>467.05</v>
      </c>
      <c r="C99" s="144">
        <f>VLOOKUP($A99,'Data shares'!$C:$FA,3)</f>
        <v>468.15</v>
      </c>
      <c r="D99" s="144">
        <f>VLOOKUP($A99,'Data shares'!$C:$FA,23)</f>
        <v>1.1000000000000001</v>
      </c>
      <c r="E99" s="145">
        <f>VLOOKUP($A99,'Data shares'!$C:$FA,26)*100</f>
        <v>0.24</v>
      </c>
      <c r="F99" s="144">
        <f>VLOOKUP($A99,'Data shares'!$C:$FA,24)</f>
        <v>0.1</v>
      </c>
      <c r="G99" s="144">
        <f>VLOOKUP($A99,'Data shares'!$C:$FA,25)</f>
        <v>1</v>
      </c>
    </row>
    <row r="100" spans="1:7" x14ac:dyDescent="0.25">
      <c r="A100" s="101" t="str">
        <f>'Data Vlaue (Cr)'!C96</f>
        <v>INFY</v>
      </c>
      <c r="B100" s="144">
        <f>VLOOKUP($A100,'Data shares'!$C:$FA,7)</f>
        <v>1471.9</v>
      </c>
      <c r="C100" s="144">
        <f>VLOOKUP($A100,'Data shares'!$C:$FA,3)</f>
        <v>1472.4</v>
      </c>
      <c r="D100" s="144">
        <f>VLOOKUP($A100,'Data shares'!$C:$FA,23)</f>
        <v>0.5</v>
      </c>
      <c r="E100" s="145">
        <f>VLOOKUP($A100,'Data shares'!$C:$FA,26)*100</f>
        <v>0.03</v>
      </c>
      <c r="F100" s="144">
        <f>VLOOKUP($A100,'Data shares'!$C:$FA,24)</f>
        <v>3.9</v>
      </c>
      <c r="G100" s="144">
        <f>VLOOKUP($A100,'Data shares'!$C:$FA,25)</f>
        <v>-3.4</v>
      </c>
    </row>
    <row r="101" spans="1:7" x14ac:dyDescent="0.25">
      <c r="A101" s="101" t="str">
        <f>'Data Vlaue (Cr)'!C97</f>
        <v>INOXWIND</v>
      </c>
      <c r="B101" s="144">
        <f>VLOOKUP($A101,'Data shares'!$C:$FA,7)</f>
        <v>110.42</v>
      </c>
      <c r="C101" s="144">
        <f>VLOOKUP($A101,'Data shares'!$C:$FA,3)</f>
        <v>110.63</v>
      </c>
      <c r="D101" s="144">
        <f>VLOOKUP($A101,'Data shares'!$C:$FA,23)</f>
        <v>0.21</v>
      </c>
      <c r="E101" s="145">
        <f>VLOOKUP($A101,'Data shares'!$C:$FA,26)*100</f>
        <v>0.19</v>
      </c>
      <c r="F101" s="144">
        <f>VLOOKUP($A101,'Data shares'!$C:$FA,24)</f>
        <v>0.17</v>
      </c>
      <c r="G101" s="144">
        <f>VLOOKUP($A101,'Data shares'!$C:$FA,25)</f>
        <v>0.04</v>
      </c>
    </row>
    <row r="102" spans="1:7" x14ac:dyDescent="0.25">
      <c r="A102" s="101" t="str">
        <f>'Data Vlaue (Cr)'!C98</f>
        <v>IOC</v>
      </c>
      <c r="B102" s="144">
        <f>VLOOKUP($A102,'Data shares'!$C:$FA,7)</f>
        <v>181.31</v>
      </c>
      <c r="C102" s="144">
        <f>VLOOKUP($A102,'Data shares'!$C:$FA,3)</f>
        <v>181.39</v>
      </c>
      <c r="D102" s="144">
        <f>VLOOKUP($A102,'Data shares'!$C:$FA,23)</f>
        <v>0.08</v>
      </c>
      <c r="E102" s="145">
        <f>VLOOKUP($A102,'Data shares'!$C:$FA,26)*100</f>
        <v>0.04</v>
      </c>
      <c r="F102" s="144">
        <f>VLOOKUP($A102,'Data shares'!$C:$FA,24)</f>
        <v>0.05</v>
      </c>
      <c r="G102" s="144">
        <f>VLOOKUP($A102,'Data shares'!$C:$FA,25)</f>
        <v>0.03</v>
      </c>
    </row>
    <row r="103" spans="1:7" x14ac:dyDescent="0.25">
      <c r="A103" s="101" t="str">
        <f>'Data Vlaue (Cr)'!C99</f>
        <v>IRCTC</v>
      </c>
      <c r="B103" s="144">
        <f>VLOOKUP($A103,'Data shares'!$C:$FA,7)</f>
        <v>628.35</v>
      </c>
      <c r="C103" s="144">
        <f>VLOOKUP($A103,'Data shares'!$C:$FA,3)</f>
        <v>625</v>
      </c>
      <c r="D103" s="144">
        <f>VLOOKUP($A103,'Data shares'!$C:$FA,23)</f>
        <v>-3.35</v>
      </c>
      <c r="E103" s="145">
        <f>VLOOKUP($A103,'Data shares'!$C:$FA,26)*100</f>
        <v>-0.53</v>
      </c>
      <c r="F103" s="144">
        <f>VLOOKUP($A103,'Data shares'!$C:$FA,24)</f>
        <v>-4.4000000000000004</v>
      </c>
      <c r="G103" s="144">
        <f>VLOOKUP($A103,'Data shares'!$C:$FA,25)</f>
        <v>1.05</v>
      </c>
    </row>
    <row r="104" spans="1:7" x14ac:dyDescent="0.25">
      <c r="A104" s="101" t="str">
        <f>'Data Vlaue (Cr)'!C100</f>
        <v>IREDA</v>
      </c>
      <c r="B104" s="144">
        <f>VLOOKUP($A104,'Data shares'!$C:$FA,7)</f>
        <v>126.67</v>
      </c>
      <c r="C104" s="144">
        <f>VLOOKUP($A104,'Data shares'!$C:$FA,3)</f>
        <v>125.05</v>
      </c>
      <c r="D104" s="144">
        <f>VLOOKUP($A104,'Data shares'!$C:$FA,23)</f>
        <v>-1.62</v>
      </c>
      <c r="E104" s="145">
        <f>VLOOKUP($A104,'Data shares'!$C:$FA,26)*100</f>
        <v>-1.28</v>
      </c>
      <c r="F104" s="144">
        <f>VLOOKUP($A104,'Data shares'!$C:$FA,24)</f>
        <v>-0.66</v>
      </c>
      <c r="G104" s="144">
        <f>VLOOKUP($A104,'Data shares'!$C:$FA,25)</f>
        <v>-0.96</v>
      </c>
    </row>
    <row r="105" spans="1:7" x14ac:dyDescent="0.25">
      <c r="A105" s="101" t="str">
        <f>'Data Vlaue (Cr)'!C101</f>
        <v>IRFC</v>
      </c>
      <c r="B105" s="144">
        <f>VLOOKUP($A105,'Data shares'!$C:$FA,7)</f>
        <v>114.33</v>
      </c>
      <c r="C105" s="144">
        <f>VLOOKUP($A105,'Data shares'!$C:$FA,3)</f>
        <v>114.28</v>
      </c>
      <c r="D105" s="144">
        <f>VLOOKUP($A105,'Data shares'!$C:$FA,23)</f>
        <v>-0.05</v>
      </c>
      <c r="E105" s="145">
        <f>VLOOKUP($A105,'Data shares'!$C:$FA,26)*100</f>
        <v>-0.04</v>
      </c>
      <c r="F105" s="144">
        <f>VLOOKUP($A105,'Data shares'!$C:$FA,24)</f>
        <v>0.36</v>
      </c>
      <c r="G105" s="144">
        <f>VLOOKUP($A105,'Data shares'!$C:$FA,25)</f>
        <v>-0.41</v>
      </c>
    </row>
    <row r="106" spans="1:7" x14ac:dyDescent="0.25">
      <c r="A106" s="101" t="str">
        <f>'Data Vlaue (Cr)'!C102</f>
        <v>ITC</v>
      </c>
      <c r="B106" s="144">
        <f>VLOOKUP($A106,'Data shares'!$C:$FA,7)</f>
        <v>318.25</v>
      </c>
      <c r="C106" s="144">
        <f>VLOOKUP($A106,'Data shares'!$C:$FA,3)</f>
        <v>319.14999999999998</v>
      </c>
      <c r="D106" s="144">
        <f>VLOOKUP($A106,'Data shares'!$C:$FA,23)</f>
        <v>0.9</v>
      </c>
      <c r="E106" s="145">
        <f>VLOOKUP($A106,'Data shares'!$C:$FA,26)*100</f>
        <v>0.27999999999999997</v>
      </c>
      <c r="F106" s="144">
        <f>VLOOKUP($A106,'Data shares'!$C:$FA,24)</f>
        <v>0.5</v>
      </c>
      <c r="G106" s="144">
        <f>VLOOKUP($A106,'Data shares'!$C:$FA,25)</f>
        <v>0.4</v>
      </c>
    </row>
    <row r="107" spans="1:7" x14ac:dyDescent="0.25">
      <c r="A107" s="101" t="str">
        <f>'Data Vlaue (Cr)'!C103</f>
        <v>JINDALSTEL</v>
      </c>
      <c r="B107" s="144">
        <f>VLOOKUP($A107,'Data shares'!$C:$FA,7)</f>
        <v>1190.5</v>
      </c>
      <c r="C107" s="144">
        <f>VLOOKUP($A107,'Data shares'!$C:$FA,3)</f>
        <v>1194.5</v>
      </c>
      <c r="D107" s="144">
        <f>VLOOKUP($A107,'Data shares'!$C:$FA,23)</f>
        <v>4</v>
      </c>
      <c r="E107" s="145">
        <f>VLOOKUP($A107,'Data shares'!$C:$FA,26)*100</f>
        <v>0.33999999999999997</v>
      </c>
      <c r="F107" s="144">
        <f>VLOOKUP($A107,'Data shares'!$C:$FA,24)</f>
        <v>2.1</v>
      </c>
      <c r="G107" s="144">
        <f>VLOOKUP($A107,'Data shares'!$C:$FA,25)</f>
        <v>1.9</v>
      </c>
    </row>
    <row r="108" spans="1:7" x14ac:dyDescent="0.25">
      <c r="A108" s="101" t="str">
        <f>'Data Vlaue (Cr)'!C104</f>
        <v>JIOFIN</v>
      </c>
      <c r="B108" s="144">
        <f>VLOOKUP($A108,'Data shares'!$C:$FA,7)</f>
        <v>270.3</v>
      </c>
      <c r="C108" s="144">
        <f>VLOOKUP($A108,'Data shares'!$C:$FA,3)</f>
        <v>270.85000000000002</v>
      </c>
      <c r="D108" s="144">
        <f>VLOOKUP($A108,'Data shares'!$C:$FA,23)</f>
        <v>0.55000000000000004</v>
      </c>
      <c r="E108" s="145">
        <f>VLOOKUP($A108,'Data shares'!$C:$FA,26)*100</f>
        <v>0.2</v>
      </c>
      <c r="F108" s="144">
        <f>VLOOKUP($A108,'Data shares'!$C:$FA,24)</f>
        <v>0.65</v>
      </c>
      <c r="G108" s="144">
        <f>VLOOKUP($A108,'Data shares'!$C:$FA,25)</f>
        <v>-0.1</v>
      </c>
    </row>
    <row r="109" spans="1:7" x14ac:dyDescent="0.25">
      <c r="A109" s="101" t="str">
        <f>'Data Vlaue (Cr)'!C105</f>
        <v>JSWENERGY</v>
      </c>
      <c r="B109" s="144">
        <f>VLOOKUP($A109,'Data shares'!$C:$FA,7)</f>
        <v>482.35</v>
      </c>
      <c r="C109" s="144">
        <f>VLOOKUP($A109,'Data shares'!$C:$FA,3)</f>
        <v>482.9</v>
      </c>
      <c r="D109" s="144">
        <f>VLOOKUP($A109,'Data shares'!$C:$FA,23)</f>
        <v>0.55000000000000004</v>
      </c>
      <c r="E109" s="145">
        <f>VLOOKUP($A109,'Data shares'!$C:$FA,26)*100</f>
        <v>0.11</v>
      </c>
      <c r="F109" s="144">
        <f>VLOOKUP($A109,'Data shares'!$C:$FA,24)</f>
        <v>0.4</v>
      </c>
      <c r="G109" s="144">
        <f>VLOOKUP($A109,'Data shares'!$C:$FA,25)</f>
        <v>0.15</v>
      </c>
    </row>
    <row r="110" spans="1:7" x14ac:dyDescent="0.25">
      <c r="A110" s="101" t="str">
        <f>'Data Vlaue (Cr)'!C106</f>
        <v>JSWSTEEL</v>
      </c>
      <c r="B110" s="144">
        <f>VLOOKUP($A110,'Data shares'!$C:$FA,7)</f>
        <v>1249.2</v>
      </c>
      <c r="C110" s="144">
        <f>VLOOKUP($A110,'Data shares'!$C:$FA,3)</f>
        <v>1250.5</v>
      </c>
      <c r="D110" s="144">
        <f>VLOOKUP($A110,'Data shares'!$C:$FA,23)</f>
        <v>1.3</v>
      </c>
      <c r="E110" s="145">
        <f>VLOOKUP($A110,'Data shares'!$C:$FA,26)*100</f>
        <v>0.1</v>
      </c>
      <c r="F110" s="144">
        <f>VLOOKUP($A110,'Data shares'!$C:$FA,24)</f>
        <v>4.0999999999999996</v>
      </c>
      <c r="G110" s="144">
        <f>VLOOKUP($A110,'Data shares'!$C:$FA,25)</f>
        <v>-2.8</v>
      </c>
    </row>
    <row r="111" spans="1:7" x14ac:dyDescent="0.25">
      <c r="A111" s="101" t="str">
        <f>'Data Vlaue (Cr)'!C107</f>
        <v>JUBLFOOD</v>
      </c>
      <c r="B111" s="144">
        <f>VLOOKUP($A111,'Data shares'!$C:$FA,7)</f>
        <v>547</v>
      </c>
      <c r="C111" s="144">
        <f>VLOOKUP($A111,'Data shares'!$C:$FA,3)</f>
        <v>545</v>
      </c>
      <c r="D111" s="144">
        <f>VLOOKUP($A111,'Data shares'!$C:$FA,23)</f>
        <v>-2</v>
      </c>
      <c r="E111" s="145">
        <f>VLOOKUP($A111,'Data shares'!$C:$FA,26)*100</f>
        <v>-0.37</v>
      </c>
      <c r="F111" s="144">
        <f>VLOOKUP($A111,'Data shares'!$C:$FA,24)</f>
        <v>1.75</v>
      </c>
      <c r="G111" s="144">
        <f>VLOOKUP($A111,'Data shares'!$C:$FA,25)</f>
        <v>-3.75</v>
      </c>
    </row>
    <row r="112" spans="1:7" x14ac:dyDescent="0.25">
      <c r="A112" s="101" t="str">
        <f>'Data Vlaue (Cr)'!C108</f>
        <v>KALYANKJIL</v>
      </c>
      <c r="B112" s="144">
        <f>VLOOKUP($A112,'Data shares'!$C:$FA,7)</f>
        <v>426.95</v>
      </c>
      <c r="C112" s="144">
        <f>VLOOKUP($A112,'Data shares'!$C:$FA,3)</f>
        <v>427.45</v>
      </c>
      <c r="D112" s="144">
        <f>VLOOKUP($A112,'Data shares'!$C:$FA,23)</f>
        <v>0.5</v>
      </c>
      <c r="E112" s="145">
        <f>VLOOKUP($A112,'Data shares'!$C:$FA,26)*100</f>
        <v>0.12</v>
      </c>
      <c r="F112" s="144">
        <f>VLOOKUP($A112,'Data shares'!$C:$FA,24)</f>
        <v>0.9</v>
      </c>
      <c r="G112" s="144">
        <f>VLOOKUP($A112,'Data shares'!$C:$FA,25)</f>
        <v>-0.4</v>
      </c>
    </row>
    <row r="113" spans="1:7" x14ac:dyDescent="0.25">
      <c r="A113" s="101" t="str">
        <f>'Data Vlaue (Cr)'!C109</f>
        <v>KAYNES</v>
      </c>
      <c r="B113" s="144">
        <f>VLOOKUP($A113,'Data shares'!$C:$FA,7)</f>
        <v>4154.7</v>
      </c>
      <c r="C113" s="144">
        <f>VLOOKUP($A113,'Data shares'!$C:$FA,3)</f>
        <v>4169.1000000000004</v>
      </c>
      <c r="D113" s="144">
        <f>VLOOKUP($A113,'Data shares'!$C:$FA,23)</f>
        <v>14.4</v>
      </c>
      <c r="E113" s="145">
        <f>VLOOKUP($A113,'Data shares'!$C:$FA,26)*100</f>
        <v>0.35000000000000003</v>
      </c>
      <c r="F113" s="144">
        <f>VLOOKUP($A113,'Data shares'!$C:$FA,24)</f>
        <v>3.8</v>
      </c>
      <c r="G113" s="144">
        <f>VLOOKUP($A113,'Data shares'!$C:$FA,25)</f>
        <v>10.6</v>
      </c>
    </row>
    <row r="114" spans="1:7" x14ac:dyDescent="0.25">
      <c r="A114" s="101" t="str">
        <f>'Data Vlaue (Cr)'!C110</f>
        <v>KEI</v>
      </c>
      <c r="B114" s="144">
        <f>VLOOKUP($A114,'Data shares'!$C:$FA,7)</f>
        <v>4605.8999999999996</v>
      </c>
      <c r="C114" s="144">
        <f>VLOOKUP($A114,'Data shares'!$C:$FA,3)</f>
        <v>4619.5</v>
      </c>
      <c r="D114" s="144">
        <f>VLOOKUP($A114,'Data shares'!$C:$FA,23)</f>
        <v>13.6</v>
      </c>
      <c r="E114" s="145">
        <f>VLOOKUP($A114,'Data shares'!$C:$FA,26)*100</f>
        <v>0.3</v>
      </c>
      <c r="F114" s="144">
        <f>VLOOKUP($A114,'Data shares'!$C:$FA,24)</f>
        <v>16</v>
      </c>
      <c r="G114" s="144">
        <f>VLOOKUP($A114,'Data shares'!$C:$FA,25)</f>
        <v>-2.4</v>
      </c>
    </row>
    <row r="115" spans="1:7" x14ac:dyDescent="0.25">
      <c r="A115" s="101" t="str">
        <f>'Data Vlaue (Cr)'!C111</f>
        <v>KFINTECH</v>
      </c>
      <c r="B115" s="144">
        <f>VLOOKUP($A115,'Data shares'!$C:$FA,7)</f>
        <v>1022.5</v>
      </c>
      <c r="C115" s="144">
        <f>VLOOKUP($A115,'Data shares'!$C:$FA,3)</f>
        <v>1019.4</v>
      </c>
      <c r="D115" s="144">
        <f>VLOOKUP($A115,'Data shares'!$C:$FA,23)</f>
        <v>-3.1</v>
      </c>
      <c r="E115" s="145">
        <f>VLOOKUP($A115,'Data shares'!$C:$FA,26)*100</f>
        <v>-0.3</v>
      </c>
      <c r="F115" s="144">
        <f>VLOOKUP($A115,'Data shares'!$C:$FA,24)</f>
        <v>3.7</v>
      </c>
      <c r="G115" s="144">
        <f>VLOOKUP($A115,'Data shares'!$C:$FA,25)</f>
        <v>-6.8</v>
      </c>
    </row>
    <row r="116" spans="1:7" x14ac:dyDescent="0.25">
      <c r="A116" s="101" t="str">
        <f>'Data Vlaue (Cr)'!C112</f>
        <v>KOTAKBANK</v>
      </c>
      <c r="B116" s="144">
        <f>VLOOKUP($A116,'Data shares'!$C:$FA,7)</f>
        <v>429.55</v>
      </c>
      <c r="C116" s="144">
        <f>VLOOKUP($A116,'Data shares'!$C:$FA,3)</f>
        <v>429.9</v>
      </c>
      <c r="D116" s="144">
        <f>VLOOKUP($A116,'Data shares'!$C:$FA,23)</f>
        <v>0.35</v>
      </c>
      <c r="E116" s="145">
        <f>VLOOKUP($A116,'Data shares'!$C:$FA,26)*100</f>
        <v>0.08</v>
      </c>
      <c r="F116" s="144">
        <f>VLOOKUP($A116,'Data shares'!$C:$FA,24)</f>
        <v>0.5</v>
      </c>
      <c r="G116" s="144">
        <f>VLOOKUP($A116,'Data shares'!$C:$FA,25)</f>
        <v>-0.15</v>
      </c>
    </row>
    <row r="117" spans="1:7" x14ac:dyDescent="0.25">
      <c r="A117" s="101" t="str">
        <f>'Data Vlaue (Cr)'!C113</f>
        <v>KPITTECH</v>
      </c>
      <c r="B117" s="144">
        <f>VLOOKUP($A117,'Data shares'!$C:$FA,7)</f>
        <v>959.4</v>
      </c>
      <c r="C117" s="144">
        <f>VLOOKUP($A117,'Data shares'!$C:$FA,3)</f>
        <v>962</v>
      </c>
      <c r="D117" s="144">
        <f>VLOOKUP($A117,'Data shares'!$C:$FA,23)</f>
        <v>2.6</v>
      </c>
      <c r="E117" s="145">
        <f>VLOOKUP($A117,'Data shares'!$C:$FA,26)*100</f>
        <v>0.27</v>
      </c>
      <c r="F117" s="144">
        <f>VLOOKUP($A117,'Data shares'!$C:$FA,24)</f>
        <v>3.4</v>
      </c>
      <c r="G117" s="144">
        <f>VLOOKUP($A117,'Data shares'!$C:$FA,25)</f>
        <v>-0.8</v>
      </c>
    </row>
    <row r="118" spans="1:7" x14ac:dyDescent="0.25">
      <c r="A118" s="101" t="str">
        <f>'Data Vlaue (Cr)'!C114</f>
        <v>LAURUSLABS</v>
      </c>
      <c r="B118" s="144">
        <f>VLOOKUP($A118,'Data shares'!$C:$FA,7)</f>
        <v>1013.65</v>
      </c>
      <c r="C118" s="144">
        <f>VLOOKUP($A118,'Data shares'!$C:$FA,3)</f>
        <v>1015.6</v>
      </c>
      <c r="D118" s="144">
        <f>VLOOKUP($A118,'Data shares'!$C:$FA,23)</f>
        <v>1.95</v>
      </c>
      <c r="E118" s="145">
        <f>VLOOKUP($A118,'Data shares'!$C:$FA,26)*100</f>
        <v>0.19</v>
      </c>
      <c r="F118" s="144">
        <f>VLOOKUP($A118,'Data shares'!$C:$FA,24)</f>
        <v>3.3</v>
      </c>
      <c r="G118" s="144">
        <f>VLOOKUP($A118,'Data shares'!$C:$FA,25)</f>
        <v>-1.35</v>
      </c>
    </row>
    <row r="119" spans="1:7" x14ac:dyDescent="0.25">
      <c r="A119" s="101" t="str">
        <f>'Data Vlaue (Cr)'!C115</f>
        <v>LICHSGFIN</v>
      </c>
      <c r="B119" s="144">
        <f>VLOOKUP($A119,'Data shares'!$C:$FA,7)</f>
        <v>525.54999999999995</v>
      </c>
      <c r="C119" s="144">
        <f>VLOOKUP($A119,'Data shares'!$C:$FA,3)</f>
        <v>526</v>
      </c>
      <c r="D119" s="144">
        <f>VLOOKUP($A119,'Data shares'!$C:$FA,23)</f>
        <v>0.45</v>
      </c>
      <c r="E119" s="145">
        <f>VLOOKUP($A119,'Data shares'!$C:$FA,26)*100</f>
        <v>0.09</v>
      </c>
      <c r="F119" s="144">
        <f>VLOOKUP($A119,'Data shares'!$C:$FA,24)</f>
        <v>1.4</v>
      </c>
      <c r="G119" s="144">
        <f>VLOOKUP($A119,'Data shares'!$C:$FA,25)</f>
        <v>-0.95</v>
      </c>
    </row>
    <row r="120" spans="1:7" x14ac:dyDescent="0.25">
      <c r="A120" s="101" t="str">
        <f>'Data Vlaue (Cr)'!C116</f>
        <v>LICI</v>
      </c>
      <c r="B120" s="144">
        <f>VLOOKUP($A120,'Data shares'!$C:$FA,7)</f>
        <v>875.3</v>
      </c>
      <c r="C120" s="144">
        <f>VLOOKUP($A120,'Data shares'!$C:$FA,3)</f>
        <v>875.55</v>
      </c>
      <c r="D120" s="144">
        <f>VLOOKUP($A120,'Data shares'!$C:$FA,23)</f>
        <v>0.25</v>
      </c>
      <c r="E120" s="145">
        <f>VLOOKUP($A120,'Data shares'!$C:$FA,26)*100</f>
        <v>0.03</v>
      </c>
      <c r="F120" s="144">
        <f>VLOOKUP($A120,'Data shares'!$C:$FA,24)</f>
        <v>0.75</v>
      </c>
      <c r="G120" s="144">
        <f>VLOOKUP($A120,'Data shares'!$C:$FA,25)</f>
        <v>-0.5</v>
      </c>
    </row>
    <row r="121" spans="1:7" x14ac:dyDescent="0.25">
      <c r="A121" s="101" t="str">
        <f>'Data Vlaue (Cr)'!C117</f>
        <v>LODHA</v>
      </c>
      <c r="B121" s="144">
        <f>VLOOKUP($A121,'Data shares'!$C:$FA,7)</f>
        <v>1094.9000000000001</v>
      </c>
      <c r="C121" s="144">
        <f>VLOOKUP($A121,'Data shares'!$C:$FA,3)</f>
        <v>1095.5</v>
      </c>
      <c r="D121" s="144">
        <f>VLOOKUP($A121,'Data shares'!$C:$FA,23)</f>
        <v>0.6</v>
      </c>
      <c r="E121" s="145">
        <f>VLOOKUP($A121,'Data shares'!$C:$FA,26)*100</f>
        <v>0.05</v>
      </c>
      <c r="F121" s="144">
        <f>VLOOKUP($A121,'Data shares'!$C:$FA,24)</f>
        <v>0.35</v>
      </c>
      <c r="G121" s="144">
        <f>VLOOKUP($A121,'Data shares'!$C:$FA,25)</f>
        <v>0.25</v>
      </c>
    </row>
    <row r="122" spans="1:7" x14ac:dyDescent="0.25">
      <c r="A122" s="101" t="str">
        <f>'Data Vlaue (Cr)'!C118</f>
        <v>LT</v>
      </c>
      <c r="B122" s="144">
        <f>VLOOKUP($A122,'Data shares'!$C:$FA,7)</f>
        <v>4170.3999999999996</v>
      </c>
      <c r="C122" s="144">
        <f>VLOOKUP($A122,'Data shares'!$C:$FA,3)</f>
        <v>4170.8999999999996</v>
      </c>
      <c r="D122" s="144">
        <f>VLOOKUP($A122,'Data shares'!$C:$FA,23)</f>
        <v>0.5</v>
      </c>
      <c r="E122" s="145">
        <f>VLOOKUP($A122,'Data shares'!$C:$FA,26)*100</f>
        <v>0.01</v>
      </c>
      <c r="F122" s="144">
        <f>VLOOKUP($A122,'Data shares'!$C:$FA,24)</f>
        <v>0.9</v>
      </c>
      <c r="G122" s="144">
        <f>VLOOKUP($A122,'Data shares'!$C:$FA,25)</f>
        <v>-0.4</v>
      </c>
    </row>
    <row r="123" spans="1:7" x14ac:dyDescent="0.25">
      <c r="A123" s="101" t="str">
        <f>'Data Vlaue (Cr)'!C119</f>
        <v>LTF</v>
      </c>
      <c r="B123" s="144">
        <f>VLOOKUP($A123,'Data shares'!$C:$FA,7)</f>
        <v>288.3</v>
      </c>
      <c r="C123" s="144">
        <f>VLOOKUP($A123,'Data shares'!$C:$FA,3)</f>
        <v>288.05</v>
      </c>
      <c r="D123" s="144">
        <f>VLOOKUP($A123,'Data shares'!$C:$FA,23)</f>
        <v>-0.25</v>
      </c>
      <c r="E123" s="145">
        <f>VLOOKUP($A123,'Data shares'!$C:$FA,26)*100</f>
        <v>-0.09</v>
      </c>
      <c r="F123" s="144">
        <f>VLOOKUP($A123,'Data shares'!$C:$FA,24)</f>
        <v>-0.05</v>
      </c>
      <c r="G123" s="144">
        <f>VLOOKUP($A123,'Data shares'!$C:$FA,25)</f>
        <v>-0.2</v>
      </c>
    </row>
    <row r="124" spans="1:7" x14ac:dyDescent="0.25">
      <c r="A124" s="101" t="str">
        <f>'Data Vlaue (Cr)'!C120</f>
        <v>LTIM</v>
      </c>
      <c r="B124" s="144">
        <f>VLOOKUP($A124,'Data shares'!$C:$FA,7)</f>
        <v>5515.5</v>
      </c>
      <c r="C124" s="144">
        <f>VLOOKUP($A124,'Data shares'!$C:$FA,3)</f>
        <v>5532</v>
      </c>
      <c r="D124" s="144">
        <f>VLOOKUP($A124,'Data shares'!$C:$FA,23)</f>
        <v>16.5</v>
      </c>
      <c r="E124" s="145">
        <f>VLOOKUP($A124,'Data shares'!$C:$FA,26)*100</f>
        <v>0.3</v>
      </c>
      <c r="F124" s="144">
        <f>VLOOKUP($A124,'Data shares'!$C:$FA,24)</f>
        <v>-2.5</v>
      </c>
      <c r="G124" s="144">
        <f>VLOOKUP($A124,'Data shares'!$C:$FA,25)</f>
        <v>19</v>
      </c>
    </row>
    <row r="125" spans="1:7" x14ac:dyDescent="0.25">
      <c r="A125" s="101" t="str">
        <f>'Data Vlaue (Cr)'!C121</f>
        <v>LUPIN</v>
      </c>
      <c r="B125" s="144">
        <f>VLOOKUP($A125,'Data shares'!$C:$FA,7)</f>
        <v>2209.1</v>
      </c>
      <c r="C125" s="144">
        <f>VLOOKUP($A125,'Data shares'!$C:$FA,3)</f>
        <v>2214.4</v>
      </c>
      <c r="D125" s="144">
        <f>VLOOKUP($A125,'Data shares'!$C:$FA,23)</f>
        <v>5.3</v>
      </c>
      <c r="E125" s="145">
        <f>VLOOKUP($A125,'Data shares'!$C:$FA,26)*100</f>
        <v>0.24</v>
      </c>
      <c r="F125" s="144">
        <f>VLOOKUP($A125,'Data shares'!$C:$FA,24)</f>
        <v>7.6</v>
      </c>
      <c r="G125" s="144">
        <f>VLOOKUP($A125,'Data shares'!$C:$FA,25)</f>
        <v>-2.2999999999999998</v>
      </c>
    </row>
    <row r="126" spans="1:7" x14ac:dyDescent="0.25">
      <c r="A126" s="101" t="str">
        <f>'Data Vlaue (Cr)'!C122</f>
        <v>M&amp;M</v>
      </c>
      <c r="B126" s="144">
        <f>VLOOKUP($A126,'Data shares'!$C:$FA,7)</f>
        <v>3674.9</v>
      </c>
      <c r="C126" s="144">
        <f>VLOOKUP($A126,'Data shares'!$C:$FA,3)</f>
        <v>3680.7</v>
      </c>
      <c r="D126" s="144">
        <f>VLOOKUP($A126,'Data shares'!$C:$FA,23)</f>
        <v>5.8</v>
      </c>
      <c r="E126" s="145">
        <f>VLOOKUP($A126,'Data shares'!$C:$FA,26)*100</f>
        <v>0.16</v>
      </c>
      <c r="F126" s="144">
        <f>VLOOKUP($A126,'Data shares'!$C:$FA,24)</f>
        <v>4.8</v>
      </c>
      <c r="G126" s="144">
        <f>VLOOKUP($A126,'Data shares'!$C:$FA,25)</f>
        <v>1</v>
      </c>
    </row>
    <row r="127" spans="1:7" x14ac:dyDescent="0.25">
      <c r="A127" s="101" t="str">
        <f>'Data Vlaue (Cr)'!C123</f>
        <v>MANAPPURAM</v>
      </c>
      <c r="B127" s="144">
        <f>VLOOKUP($A127,'Data shares'!$C:$FA,7)</f>
        <v>302.55</v>
      </c>
      <c r="C127" s="144">
        <f>VLOOKUP($A127,'Data shares'!$C:$FA,3)</f>
        <v>302.95</v>
      </c>
      <c r="D127" s="144">
        <f>VLOOKUP($A127,'Data shares'!$C:$FA,23)</f>
        <v>0.4</v>
      </c>
      <c r="E127" s="145">
        <f>VLOOKUP($A127,'Data shares'!$C:$FA,26)*100</f>
        <v>0.13</v>
      </c>
      <c r="F127" s="144">
        <f>VLOOKUP($A127,'Data shares'!$C:$FA,24)</f>
        <v>0.25</v>
      </c>
      <c r="G127" s="144">
        <f>VLOOKUP($A127,'Data shares'!$C:$FA,25)</f>
        <v>0.15</v>
      </c>
    </row>
    <row r="128" spans="1:7" x14ac:dyDescent="0.25">
      <c r="A128" s="101" t="str">
        <f>'Data Vlaue (Cr)'!C124</f>
        <v>MANKIND</v>
      </c>
      <c r="B128" s="144">
        <f>VLOOKUP($A128,'Data shares'!$C:$FA,7)</f>
        <v>2087</v>
      </c>
      <c r="C128" s="144">
        <f>VLOOKUP($A128,'Data shares'!$C:$FA,3)</f>
        <v>2085.8000000000002</v>
      </c>
      <c r="D128" s="144">
        <f>VLOOKUP($A128,'Data shares'!$C:$FA,23)</f>
        <v>-1.2</v>
      </c>
      <c r="E128" s="145">
        <f>VLOOKUP($A128,'Data shares'!$C:$FA,26)*100</f>
        <v>-0.06</v>
      </c>
      <c r="F128" s="144">
        <f>VLOOKUP($A128,'Data shares'!$C:$FA,24)</f>
        <v>1.4</v>
      </c>
      <c r="G128" s="144">
        <f>VLOOKUP($A128,'Data shares'!$C:$FA,25)</f>
        <v>-2.6</v>
      </c>
    </row>
    <row r="129" spans="1:7" x14ac:dyDescent="0.25">
      <c r="A129" s="101" t="str">
        <f>'Data Vlaue (Cr)'!C125</f>
        <v>MARICO</v>
      </c>
      <c r="B129" s="144">
        <f>VLOOKUP($A129,'Data shares'!$C:$FA,7)</f>
        <v>770.4</v>
      </c>
      <c r="C129" s="144">
        <f>VLOOKUP($A129,'Data shares'!$C:$FA,3)</f>
        <v>770.9</v>
      </c>
      <c r="D129" s="144">
        <f>VLOOKUP($A129,'Data shares'!$C:$FA,23)</f>
        <v>0.5</v>
      </c>
      <c r="E129" s="145">
        <f>VLOOKUP($A129,'Data shares'!$C:$FA,26)*100</f>
        <v>0.06</v>
      </c>
      <c r="F129" s="144">
        <f>VLOOKUP($A129,'Data shares'!$C:$FA,24)</f>
        <v>0.4</v>
      </c>
      <c r="G129" s="144">
        <f>VLOOKUP($A129,'Data shares'!$C:$FA,25)</f>
        <v>0.1</v>
      </c>
    </row>
    <row r="130" spans="1:7" x14ac:dyDescent="0.25">
      <c r="A130" s="101" t="str">
        <f>'Data Vlaue (Cr)'!C126</f>
        <v>MARUTI</v>
      </c>
      <c r="B130" s="144">
        <f>VLOOKUP($A130,'Data shares'!$C:$FA,7)</f>
        <v>15412</v>
      </c>
      <c r="C130" s="144">
        <f>VLOOKUP($A130,'Data shares'!$C:$FA,3)</f>
        <v>15418</v>
      </c>
      <c r="D130" s="144">
        <f>VLOOKUP($A130,'Data shares'!$C:$FA,23)</f>
        <v>6</v>
      </c>
      <c r="E130" s="145">
        <f>VLOOKUP($A130,'Data shares'!$C:$FA,26)*100</f>
        <v>0.04</v>
      </c>
      <c r="F130" s="144">
        <f>VLOOKUP($A130,'Data shares'!$C:$FA,24)</f>
        <v>51</v>
      </c>
      <c r="G130" s="144">
        <f>VLOOKUP($A130,'Data shares'!$C:$FA,25)</f>
        <v>-45</v>
      </c>
    </row>
    <row r="131" spans="1:7" x14ac:dyDescent="0.25">
      <c r="A131" s="101" t="str">
        <f>'Data Vlaue (Cr)'!C127</f>
        <v>MAXHEALTH</v>
      </c>
      <c r="B131" s="144">
        <f>VLOOKUP($A131,'Data shares'!$C:$FA,7)</f>
        <v>1055.1500000000001</v>
      </c>
      <c r="C131" s="144">
        <f>VLOOKUP($A131,'Data shares'!$C:$FA,3)</f>
        <v>1055.7</v>
      </c>
      <c r="D131" s="144">
        <f>VLOOKUP($A131,'Data shares'!$C:$FA,23)</f>
        <v>0.55000000000000004</v>
      </c>
      <c r="E131" s="145">
        <f>VLOOKUP($A131,'Data shares'!$C:$FA,26)*100</f>
        <v>0.05</v>
      </c>
      <c r="F131" s="144">
        <f>VLOOKUP($A131,'Data shares'!$C:$FA,24)</f>
        <v>3.6</v>
      </c>
      <c r="G131" s="144">
        <f>VLOOKUP($A131,'Data shares'!$C:$FA,25)</f>
        <v>-3.05</v>
      </c>
    </row>
    <row r="132" spans="1:7" x14ac:dyDescent="0.25">
      <c r="A132" s="101" t="str">
        <f>'Data Vlaue (Cr)'!C128</f>
        <v>MAZDOCK</v>
      </c>
      <c r="B132" s="144">
        <f>VLOOKUP($A132,'Data shares'!$C:$FA,7)</f>
        <v>2430.6</v>
      </c>
      <c r="C132" s="144">
        <f>VLOOKUP($A132,'Data shares'!$C:$FA,3)</f>
        <v>2431.9</v>
      </c>
      <c r="D132" s="144">
        <f>VLOOKUP($A132,'Data shares'!$C:$FA,23)</f>
        <v>1.3</v>
      </c>
      <c r="E132" s="145">
        <f>VLOOKUP($A132,'Data shares'!$C:$FA,26)*100</f>
        <v>0.05</v>
      </c>
      <c r="F132" s="144">
        <f>VLOOKUP($A132,'Data shares'!$C:$FA,24)</f>
        <v>-6</v>
      </c>
      <c r="G132" s="144">
        <f>VLOOKUP($A132,'Data shares'!$C:$FA,25)</f>
        <v>7.3</v>
      </c>
    </row>
    <row r="133" spans="1:7" x14ac:dyDescent="0.25">
      <c r="A133" s="101" t="str">
        <f>'Data Vlaue (Cr)'!C129</f>
        <v>MCX</v>
      </c>
      <c r="B133" s="144">
        <f>VLOOKUP($A133,'Data shares'!$C:$FA,7)</f>
        <v>2372.8000000000002</v>
      </c>
      <c r="C133" s="144">
        <f>VLOOKUP($A133,'Data shares'!$C:$FA,3)</f>
        <v>2372</v>
      </c>
      <c r="D133" s="144">
        <f>VLOOKUP($A133,'Data shares'!$C:$FA,23)</f>
        <v>-0.8</v>
      </c>
      <c r="E133" s="145">
        <f>VLOOKUP($A133,'Data shares'!$C:$FA,26)*100</f>
        <v>-0.03</v>
      </c>
      <c r="F133" s="144">
        <f>VLOOKUP($A133,'Data shares'!$C:$FA,24)</f>
        <v>1.5</v>
      </c>
      <c r="G133" s="144">
        <f>VLOOKUP($A133,'Data shares'!$C:$FA,25)</f>
        <v>-2.2999999999999998</v>
      </c>
    </row>
    <row r="134" spans="1:7" x14ac:dyDescent="0.25">
      <c r="A134" s="101" t="str">
        <f>'Data Vlaue (Cr)'!C130</f>
        <v>MFSL</v>
      </c>
      <c r="B134" s="144">
        <f>VLOOKUP($A134,'Data shares'!$C:$FA,7)</f>
        <v>1734.1</v>
      </c>
      <c r="C134" s="144">
        <f>VLOOKUP($A134,'Data shares'!$C:$FA,3)</f>
        <v>1738.4</v>
      </c>
      <c r="D134" s="144">
        <f>VLOOKUP($A134,'Data shares'!$C:$FA,23)</f>
        <v>4.3</v>
      </c>
      <c r="E134" s="145">
        <f>VLOOKUP($A134,'Data shares'!$C:$FA,26)*100</f>
        <v>0.25</v>
      </c>
      <c r="F134" s="144">
        <f>VLOOKUP($A134,'Data shares'!$C:$FA,24)</f>
        <v>5.4</v>
      </c>
      <c r="G134" s="144">
        <f>VLOOKUP($A134,'Data shares'!$C:$FA,25)</f>
        <v>-1.1000000000000001</v>
      </c>
    </row>
    <row r="135" spans="1:7" x14ac:dyDescent="0.25">
      <c r="A135" s="101" t="str">
        <f>'Data Vlaue (Cr)'!C131</f>
        <v>MIDCPNIFTY</v>
      </c>
      <c r="B135" s="144">
        <f>VLOOKUP($A135,'Data shares'!$C:$FA,7)</f>
        <v>13952.8</v>
      </c>
      <c r="C135" s="144">
        <f>VLOOKUP($A135,'Data shares'!$C:$FA,3)</f>
        <v>13950.2</v>
      </c>
      <c r="D135" s="144">
        <f>VLOOKUP($A135,'Data shares'!$C:$FA,23)</f>
        <v>-2.6</v>
      </c>
      <c r="E135" s="145">
        <f>VLOOKUP($A135,'Data shares'!$C:$FA,26)*100</f>
        <v>-0.02</v>
      </c>
      <c r="F135" s="144">
        <f>VLOOKUP($A135,'Data shares'!$C:$FA,24)</f>
        <v>-8.5</v>
      </c>
      <c r="G135" s="144">
        <f>VLOOKUP($A135,'Data shares'!$C:$FA,25)</f>
        <v>5.9</v>
      </c>
    </row>
    <row r="136" spans="1:7" x14ac:dyDescent="0.25">
      <c r="A136" s="101" t="str">
        <f>'Data Vlaue (Cr)'!C132</f>
        <v>MOTHERSON</v>
      </c>
      <c r="B136" s="144">
        <f>VLOOKUP($A136,'Data shares'!$C:$FA,7)</f>
        <v>130.16999999999999</v>
      </c>
      <c r="C136" s="144">
        <f>VLOOKUP($A136,'Data shares'!$C:$FA,3)</f>
        <v>130.34</v>
      </c>
      <c r="D136" s="144">
        <f>VLOOKUP($A136,'Data shares'!$C:$FA,23)</f>
        <v>0.17</v>
      </c>
      <c r="E136" s="145">
        <f>VLOOKUP($A136,'Data shares'!$C:$FA,26)*100</f>
        <v>0.13</v>
      </c>
      <c r="F136" s="144">
        <f>VLOOKUP($A136,'Data shares'!$C:$FA,24)</f>
        <v>0.5</v>
      </c>
      <c r="G136" s="144">
        <f>VLOOKUP($A136,'Data shares'!$C:$FA,25)</f>
        <v>-0.33</v>
      </c>
    </row>
    <row r="137" spans="1:7" x14ac:dyDescent="0.25">
      <c r="A137" s="101" t="str">
        <f>'Data Vlaue (Cr)'!C133</f>
        <v>MPHASIS</v>
      </c>
      <c r="B137" s="144">
        <f>VLOOKUP($A137,'Data shares'!$C:$FA,7)</f>
        <v>2588.1999999999998</v>
      </c>
      <c r="C137" s="144">
        <f>VLOOKUP($A137,'Data shares'!$C:$FA,3)</f>
        <v>2593.8000000000002</v>
      </c>
      <c r="D137" s="144">
        <f>VLOOKUP($A137,'Data shares'!$C:$FA,23)</f>
        <v>5.6</v>
      </c>
      <c r="E137" s="145">
        <f>VLOOKUP($A137,'Data shares'!$C:$FA,26)*100</f>
        <v>0.22</v>
      </c>
      <c r="F137" s="144">
        <f>VLOOKUP($A137,'Data shares'!$C:$FA,24)</f>
        <v>8.1</v>
      </c>
      <c r="G137" s="144">
        <f>VLOOKUP($A137,'Data shares'!$C:$FA,25)</f>
        <v>-2.5</v>
      </c>
    </row>
    <row r="138" spans="1:7" x14ac:dyDescent="0.25">
      <c r="A138" s="101" t="str">
        <f>'Data Vlaue (Cr)'!C134</f>
        <v>MUTHOOTFIN</v>
      </c>
      <c r="B138" s="144">
        <f>VLOOKUP($A138,'Data shares'!$C:$FA,7)</f>
        <v>3933.2</v>
      </c>
      <c r="C138" s="144">
        <f>VLOOKUP($A138,'Data shares'!$C:$FA,3)</f>
        <v>3936</v>
      </c>
      <c r="D138" s="144">
        <f>VLOOKUP($A138,'Data shares'!$C:$FA,23)</f>
        <v>2.8</v>
      </c>
      <c r="E138" s="145">
        <f>VLOOKUP($A138,'Data shares'!$C:$FA,26)*100</f>
        <v>6.9999999999999993E-2</v>
      </c>
      <c r="F138" s="144">
        <f>VLOOKUP($A138,'Data shares'!$C:$FA,24)</f>
        <v>7.1</v>
      </c>
      <c r="G138" s="144">
        <f>VLOOKUP($A138,'Data shares'!$C:$FA,25)</f>
        <v>-4.3</v>
      </c>
    </row>
    <row r="139" spans="1:7" x14ac:dyDescent="0.25">
      <c r="A139" s="101" t="str">
        <f>'Data Vlaue (Cr)'!C135</f>
        <v>NATIONALUM</v>
      </c>
      <c r="B139" s="144">
        <f>VLOOKUP($A139,'Data shares'!$C:$FA,7)</f>
        <v>367.7</v>
      </c>
      <c r="C139" s="144">
        <f>VLOOKUP($A139,'Data shares'!$C:$FA,3)</f>
        <v>369.15</v>
      </c>
      <c r="D139" s="144">
        <f>VLOOKUP($A139,'Data shares'!$C:$FA,23)</f>
        <v>1.45</v>
      </c>
      <c r="E139" s="145">
        <f>VLOOKUP($A139,'Data shares'!$C:$FA,26)*100</f>
        <v>0.38999999999999996</v>
      </c>
      <c r="F139" s="144">
        <f>VLOOKUP($A139,'Data shares'!$C:$FA,24)</f>
        <v>0.9</v>
      </c>
      <c r="G139" s="144">
        <f>VLOOKUP($A139,'Data shares'!$C:$FA,25)</f>
        <v>0.55000000000000004</v>
      </c>
    </row>
    <row r="140" spans="1:7" x14ac:dyDescent="0.25">
      <c r="A140" s="101" t="str">
        <f>'Data Vlaue (Cr)'!C136</f>
        <v>NAUKRI</v>
      </c>
      <c r="B140" s="144">
        <f>VLOOKUP($A140,'Data shares'!$C:$FA,7)</f>
        <v>1171.7</v>
      </c>
      <c r="C140" s="144">
        <f>VLOOKUP($A140,'Data shares'!$C:$FA,3)</f>
        <v>1172.4000000000001</v>
      </c>
      <c r="D140" s="144">
        <f>VLOOKUP($A140,'Data shares'!$C:$FA,23)</f>
        <v>0.7</v>
      </c>
      <c r="E140" s="145">
        <f>VLOOKUP($A140,'Data shares'!$C:$FA,26)*100</f>
        <v>0.06</v>
      </c>
      <c r="F140" s="144">
        <f>VLOOKUP($A140,'Data shares'!$C:$FA,24)</f>
        <v>0</v>
      </c>
      <c r="G140" s="144">
        <f>VLOOKUP($A140,'Data shares'!$C:$FA,25)</f>
        <v>0.7</v>
      </c>
    </row>
    <row r="141" spans="1:7" x14ac:dyDescent="0.25">
      <c r="A141" s="101" t="str">
        <f>'Data Vlaue (Cr)'!C137</f>
        <v>NBCC</v>
      </c>
      <c r="B141" s="144">
        <f>VLOOKUP($A141,'Data shares'!$C:$FA,7)</f>
        <v>101.68</v>
      </c>
      <c r="C141" s="144">
        <f>VLOOKUP($A141,'Data shares'!$C:$FA,3)</f>
        <v>102</v>
      </c>
      <c r="D141" s="144">
        <f>VLOOKUP($A141,'Data shares'!$C:$FA,23)</f>
        <v>0.32</v>
      </c>
      <c r="E141" s="145">
        <f>VLOOKUP($A141,'Data shares'!$C:$FA,26)*100</f>
        <v>0.31</v>
      </c>
      <c r="F141" s="144">
        <f>VLOOKUP($A141,'Data shares'!$C:$FA,24)</f>
        <v>-0.09</v>
      </c>
      <c r="G141" s="144">
        <f>VLOOKUP($A141,'Data shares'!$C:$FA,25)</f>
        <v>0.41</v>
      </c>
    </row>
    <row r="142" spans="1:7" x14ac:dyDescent="0.25">
      <c r="A142" s="101" t="str">
        <f>'Data Vlaue (Cr)'!C138</f>
        <v>NESTLEIND</v>
      </c>
      <c r="B142" s="144">
        <f>VLOOKUP($A142,'Data shares'!$C:$FA,7)</f>
        <v>1305.3</v>
      </c>
      <c r="C142" s="144">
        <f>VLOOKUP($A142,'Data shares'!$C:$FA,3)</f>
        <v>1305.9000000000001</v>
      </c>
      <c r="D142" s="144">
        <f>VLOOKUP($A142,'Data shares'!$C:$FA,23)</f>
        <v>0.6</v>
      </c>
      <c r="E142" s="145">
        <f>VLOOKUP($A142,'Data shares'!$C:$FA,26)*100</f>
        <v>0.05</v>
      </c>
      <c r="F142" s="144">
        <f>VLOOKUP($A142,'Data shares'!$C:$FA,24)</f>
        <v>0.8</v>
      </c>
      <c r="G142" s="144">
        <f>VLOOKUP($A142,'Data shares'!$C:$FA,25)</f>
        <v>-0.2</v>
      </c>
    </row>
    <row r="143" spans="1:7" x14ac:dyDescent="0.25">
      <c r="A143" s="101" t="str">
        <f>'Data Vlaue (Cr)'!C139</f>
        <v>NHPC</v>
      </c>
      <c r="B143" s="144">
        <f>VLOOKUP($A143,'Data shares'!$C:$FA,7)</f>
        <v>77.58</v>
      </c>
      <c r="C143" s="144">
        <f>VLOOKUP($A143,'Data shares'!$C:$FA,3)</f>
        <v>77.84</v>
      </c>
      <c r="D143" s="144">
        <f>VLOOKUP($A143,'Data shares'!$C:$FA,23)</f>
        <v>0.26</v>
      </c>
      <c r="E143" s="145">
        <f>VLOOKUP($A143,'Data shares'!$C:$FA,26)*100</f>
        <v>0.33999999999999997</v>
      </c>
      <c r="F143" s="144">
        <f>VLOOKUP($A143,'Data shares'!$C:$FA,24)</f>
        <v>0.25</v>
      </c>
      <c r="G143" s="144">
        <f>VLOOKUP($A143,'Data shares'!$C:$FA,25)</f>
        <v>0.01</v>
      </c>
    </row>
    <row r="144" spans="1:7" x14ac:dyDescent="0.25">
      <c r="A144" s="101" t="str">
        <f>'Data Vlaue (Cr)'!C140</f>
        <v>NIFTY</v>
      </c>
      <c r="B144" s="144">
        <f>VLOOKUP($A144,'Data shares'!$C:$FA,7)</f>
        <v>25953.85</v>
      </c>
      <c r="C144" s="144">
        <f>VLOOKUP($A144,'Data shares'!$C:$FA,3)</f>
        <v>25994.2</v>
      </c>
      <c r="D144" s="144">
        <f>VLOOKUP($A144,'Data shares'!$C:$FA,23)</f>
        <v>40.35</v>
      </c>
      <c r="E144" s="145">
        <f>VLOOKUP($A144,'Data shares'!$C:$FA,26)*100</f>
        <v>0.16</v>
      </c>
      <c r="F144" s="144">
        <f>VLOOKUP($A144,'Data shares'!$C:$FA,24)</f>
        <v>50.45</v>
      </c>
      <c r="G144" s="144">
        <f>VLOOKUP($A144,'Data shares'!$C:$FA,25)</f>
        <v>-10.1</v>
      </c>
    </row>
    <row r="145" spans="1:7" x14ac:dyDescent="0.25">
      <c r="A145" s="101" t="str">
        <f>'Data Vlaue (Cr)'!C141</f>
        <v>NIFTYNXT50</v>
      </c>
      <c r="B145" s="144">
        <f>VLOOKUP($A145,'Data shares'!$C:$FA,7)</f>
        <v>70216.55</v>
      </c>
      <c r="C145" s="144">
        <f>VLOOKUP($A145,'Data shares'!$C:$FA,3)</f>
        <v>70184.2</v>
      </c>
      <c r="D145" s="144">
        <f>VLOOKUP($A145,'Data shares'!$C:$FA,23)</f>
        <v>-32.35</v>
      </c>
      <c r="E145" s="145">
        <f>VLOOKUP($A145,'Data shares'!$C:$FA,26)*100</f>
        <v>-0.05</v>
      </c>
      <c r="F145" s="144">
        <f>VLOOKUP($A145,'Data shares'!$C:$FA,24)</f>
        <v>42.6</v>
      </c>
      <c r="G145" s="144">
        <f>VLOOKUP($A145,'Data shares'!$C:$FA,25)</f>
        <v>-74.95</v>
      </c>
    </row>
    <row r="146" spans="1:7" x14ac:dyDescent="0.25">
      <c r="A146" s="101" t="str">
        <f>'Data Vlaue (Cr)'!C142</f>
        <v>NMDC</v>
      </c>
      <c r="B146" s="144">
        <f>VLOOKUP($A146,'Data shares'!$C:$FA,7)</f>
        <v>85.46</v>
      </c>
      <c r="C146" s="144">
        <f>VLOOKUP($A146,'Data shares'!$C:$FA,3)</f>
        <v>85.69</v>
      </c>
      <c r="D146" s="144">
        <f>VLOOKUP($A146,'Data shares'!$C:$FA,23)</f>
        <v>0.23</v>
      </c>
      <c r="E146" s="145">
        <f>VLOOKUP($A146,'Data shares'!$C:$FA,26)*100</f>
        <v>0.27</v>
      </c>
      <c r="F146" s="144">
        <f>VLOOKUP($A146,'Data shares'!$C:$FA,24)</f>
        <v>0.28000000000000003</v>
      </c>
      <c r="G146" s="144">
        <f>VLOOKUP($A146,'Data shares'!$C:$FA,25)</f>
        <v>-0.05</v>
      </c>
    </row>
    <row r="147" spans="1:7" x14ac:dyDescent="0.25">
      <c r="A147" s="101" t="str">
        <f>'Data Vlaue (Cr)'!C143</f>
        <v>NTPC</v>
      </c>
      <c r="B147" s="144">
        <f>VLOOKUP($A147,'Data shares'!$C:$FA,7)</f>
        <v>368.45</v>
      </c>
      <c r="C147" s="144">
        <f>VLOOKUP($A147,'Data shares'!$C:$FA,3)</f>
        <v>368.4</v>
      </c>
      <c r="D147" s="144">
        <f>VLOOKUP($A147,'Data shares'!$C:$FA,23)</f>
        <v>-0.05</v>
      </c>
      <c r="E147" s="145">
        <f>VLOOKUP($A147,'Data shares'!$C:$FA,26)*100</f>
        <v>-0.01</v>
      </c>
      <c r="F147" s="144">
        <f>VLOOKUP($A147,'Data shares'!$C:$FA,24)</f>
        <v>0.25</v>
      </c>
      <c r="G147" s="144">
        <f>VLOOKUP($A147,'Data shares'!$C:$FA,25)</f>
        <v>-0.3</v>
      </c>
    </row>
    <row r="148" spans="1:7" x14ac:dyDescent="0.25">
      <c r="A148" s="101" t="str">
        <f>'Data Vlaue (Cr)'!C144</f>
        <v>NUVAMA</v>
      </c>
      <c r="B148" s="144">
        <f>VLOOKUP($A148,'Data shares'!$C:$FA,7)</f>
        <v>1324.2</v>
      </c>
      <c r="C148" s="144">
        <f>VLOOKUP($A148,'Data shares'!$C:$FA,3)</f>
        <v>1323.5</v>
      </c>
      <c r="D148" s="144">
        <f>VLOOKUP($A148,'Data shares'!$C:$FA,23)</f>
        <v>-0.7</v>
      </c>
      <c r="E148" s="145">
        <f>VLOOKUP($A148,'Data shares'!$C:$FA,26)*100</f>
        <v>-0.05</v>
      </c>
      <c r="F148" s="144">
        <f>VLOOKUP($A148,'Data shares'!$C:$FA,24)</f>
        <v>1.3</v>
      </c>
      <c r="G148" s="144">
        <f>VLOOKUP($A148,'Data shares'!$C:$FA,25)</f>
        <v>-2</v>
      </c>
    </row>
    <row r="149" spans="1:7" x14ac:dyDescent="0.25">
      <c r="A149" s="101" t="str">
        <f>'Data Vlaue (Cr)'!C145</f>
        <v>NYKAA</v>
      </c>
      <c r="B149" s="144">
        <f>VLOOKUP($A149,'Data shares'!$C:$FA,7)</f>
        <v>277.54000000000002</v>
      </c>
      <c r="C149" s="144">
        <f>VLOOKUP($A149,'Data shares'!$C:$FA,3)</f>
        <v>278.36</v>
      </c>
      <c r="D149" s="144">
        <f>VLOOKUP($A149,'Data shares'!$C:$FA,23)</f>
        <v>0.82</v>
      </c>
      <c r="E149" s="145">
        <f>VLOOKUP($A149,'Data shares'!$C:$FA,26)*100</f>
        <v>0.3</v>
      </c>
      <c r="F149" s="144">
        <f>VLOOKUP($A149,'Data shares'!$C:$FA,24)</f>
        <v>1.04</v>
      </c>
      <c r="G149" s="144">
        <f>VLOOKUP($A149,'Data shares'!$C:$FA,25)</f>
        <v>-0.22</v>
      </c>
    </row>
    <row r="150" spans="1:7" x14ac:dyDescent="0.25">
      <c r="A150" s="101" t="str">
        <f>'Data Vlaue (Cr)'!C146</f>
        <v>OBEROIRLTY</v>
      </c>
      <c r="B150" s="144">
        <f>VLOOKUP($A150,'Data shares'!$C:$FA,7)</f>
        <v>1577.3</v>
      </c>
      <c r="C150" s="144">
        <f>VLOOKUP($A150,'Data shares'!$C:$FA,3)</f>
        <v>1578.9</v>
      </c>
      <c r="D150" s="144">
        <f>VLOOKUP($A150,'Data shares'!$C:$FA,23)</f>
        <v>1.6</v>
      </c>
      <c r="E150" s="145">
        <f>VLOOKUP($A150,'Data shares'!$C:$FA,26)*100</f>
        <v>0.1</v>
      </c>
      <c r="F150" s="144">
        <f>VLOOKUP($A150,'Data shares'!$C:$FA,24)</f>
        <v>2.6</v>
      </c>
      <c r="G150" s="144">
        <f>VLOOKUP($A150,'Data shares'!$C:$FA,25)</f>
        <v>-1</v>
      </c>
    </row>
    <row r="151" spans="1:7" x14ac:dyDescent="0.25">
      <c r="A151" s="101" t="str">
        <f>'Data Vlaue (Cr)'!C147</f>
        <v>OFSS</v>
      </c>
      <c r="B151" s="144">
        <f>VLOOKUP($A151,'Data shares'!$C:$FA,7)</f>
        <v>7217.5</v>
      </c>
      <c r="C151" s="144">
        <f>VLOOKUP($A151,'Data shares'!$C:$FA,3)</f>
        <v>7210.5</v>
      </c>
      <c r="D151" s="144">
        <f>VLOOKUP($A151,'Data shares'!$C:$FA,23)</f>
        <v>-7</v>
      </c>
      <c r="E151" s="145">
        <f>VLOOKUP($A151,'Data shares'!$C:$FA,26)*100</f>
        <v>-0.1</v>
      </c>
      <c r="F151" s="144">
        <f>VLOOKUP($A151,'Data shares'!$C:$FA,24)</f>
        <v>24</v>
      </c>
      <c r="G151" s="144">
        <f>VLOOKUP($A151,'Data shares'!$C:$FA,25)</f>
        <v>-31</v>
      </c>
    </row>
    <row r="152" spans="1:7" x14ac:dyDescent="0.25">
      <c r="A152" s="101" t="str">
        <f>'Data Vlaue (Cr)'!C148</f>
        <v>OIL</v>
      </c>
      <c r="B152" s="144">
        <f>VLOOKUP($A152,'Data shares'!$C:$FA,7)</f>
        <v>479.25</v>
      </c>
      <c r="C152" s="144">
        <f>VLOOKUP($A152,'Data shares'!$C:$FA,3)</f>
        <v>473.8</v>
      </c>
      <c r="D152" s="144">
        <f>VLOOKUP($A152,'Data shares'!$C:$FA,23)</f>
        <v>-5.45</v>
      </c>
      <c r="E152" s="145">
        <f>VLOOKUP($A152,'Data shares'!$C:$FA,26)*100</f>
        <v>-1.1400000000000001</v>
      </c>
      <c r="F152" s="144">
        <f>VLOOKUP($A152,'Data shares'!$C:$FA,24)</f>
        <v>-5.05</v>
      </c>
      <c r="G152" s="144">
        <f>VLOOKUP($A152,'Data shares'!$C:$FA,25)</f>
        <v>-0.4</v>
      </c>
    </row>
    <row r="153" spans="1:7" x14ac:dyDescent="0.25">
      <c r="A153" s="101" t="str">
        <f>'Data Vlaue (Cr)'!C149</f>
        <v>ONGC</v>
      </c>
      <c r="B153" s="144">
        <f>VLOOKUP($A153,'Data shares'!$C:$FA,7)</f>
        <v>274.60000000000002</v>
      </c>
      <c r="C153" s="144">
        <f>VLOOKUP($A153,'Data shares'!$C:$FA,3)</f>
        <v>272</v>
      </c>
      <c r="D153" s="144">
        <f>VLOOKUP($A153,'Data shares'!$C:$FA,23)</f>
        <v>-2.6</v>
      </c>
      <c r="E153" s="145">
        <f>VLOOKUP($A153,'Data shares'!$C:$FA,26)*100</f>
        <v>-0.95</v>
      </c>
      <c r="F153" s="144">
        <f>VLOOKUP($A153,'Data shares'!$C:$FA,24)</f>
        <v>-2.2999999999999998</v>
      </c>
      <c r="G153" s="144">
        <f>VLOOKUP($A153,'Data shares'!$C:$FA,25)</f>
        <v>-0.3</v>
      </c>
    </row>
    <row r="154" spans="1:7" x14ac:dyDescent="0.25">
      <c r="A154" s="101" t="str">
        <f>'Data Vlaue (Cr)'!C150</f>
        <v>PAGEIND</v>
      </c>
      <c r="B154" s="144">
        <f>VLOOKUP($A154,'Data shares'!$C:$FA,7)</f>
        <v>34360</v>
      </c>
      <c r="C154" s="144">
        <f>VLOOKUP($A154,'Data shares'!$C:$FA,3)</f>
        <v>34485</v>
      </c>
      <c r="D154" s="144">
        <f>VLOOKUP($A154,'Data shares'!$C:$FA,23)</f>
        <v>125</v>
      </c>
      <c r="E154" s="145">
        <f>VLOOKUP($A154,'Data shares'!$C:$FA,26)*100</f>
        <v>0.36</v>
      </c>
      <c r="F154" s="144">
        <f>VLOOKUP($A154,'Data shares'!$C:$FA,24)</f>
        <v>-5</v>
      </c>
      <c r="G154" s="144">
        <f>VLOOKUP($A154,'Data shares'!$C:$FA,25)</f>
        <v>130</v>
      </c>
    </row>
    <row r="155" spans="1:7" x14ac:dyDescent="0.25">
      <c r="A155" s="101" t="str">
        <f>'Data Vlaue (Cr)'!C151</f>
        <v>PATANJALI</v>
      </c>
      <c r="B155" s="144">
        <f>VLOOKUP($A155,'Data shares'!$C:$FA,7)</f>
        <v>521.75</v>
      </c>
      <c r="C155" s="144">
        <f>VLOOKUP($A155,'Data shares'!$C:$FA,3)</f>
        <v>521.95000000000005</v>
      </c>
      <c r="D155" s="144">
        <f>VLOOKUP($A155,'Data shares'!$C:$FA,23)</f>
        <v>0.2</v>
      </c>
      <c r="E155" s="145">
        <f>VLOOKUP($A155,'Data shares'!$C:$FA,26)*100</f>
        <v>0.04</v>
      </c>
      <c r="F155" s="144">
        <f>VLOOKUP($A155,'Data shares'!$C:$FA,24)</f>
        <v>-0.1</v>
      </c>
      <c r="G155" s="144">
        <f>VLOOKUP($A155,'Data shares'!$C:$FA,25)</f>
        <v>0.3</v>
      </c>
    </row>
    <row r="156" spans="1:7" x14ac:dyDescent="0.25">
      <c r="A156" s="101" t="str">
        <f>'Data Vlaue (Cr)'!C152</f>
        <v>PAYTM</v>
      </c>
      <c r="B156" s="144">
        <f>VLOOKUP($A156,'Data shares'!$C:$FA,7)</f>
        <v>1160</v>
      </c>
      <c r="C156" s="144">
        <f>VLOOKUP($A156,'Data shares'!$C:$FA,3)</f>
        <v>1163.2</v>
      </c>
      <c r="D156" s="144">
        <f>VLOOKUP($A156,'Data shares'!$C:$FA,23)</f>
        <v>3.2</v>
      </c>
      <c r="E156" s="145">
        <f>VLOOKUP($A156,'Data shares'!$C:$FA,26)*100</f>
        <v>0.27999999999999997</v>
      </c>
      <c r="F156" s="144">
        <f>VLOOKUP($A156,'Data shares'!$C:$FA,24)</f>
        <v>3</v>
      </c>
      <c r="G156" s="144">
        <f>VLOOKUP($A156,'Data shares'!$C:$FA,25)</f>
        <v>0.2</v>
      </c>
    </row>
    <row r="157" spans="1:7" x14ac:dyDescent="0.25">
      <c r="A157" s="101" t="str">
        <f>'Data Vlaue (Cr)'!C153</f>
        <v>PERSISTENT</v>
      </c>
      <c r="B157" s="144">
        <f>VLOOKUP($A157,'Data shares'!$C:$FA,7)</f>
        <v>5724</v>
      </c>
      <c r="C157" s="144">
        <f>VLOOKUP($A157,'Data shares'!$C:$FA,3)</f>
        <v>5714</v>
      </c>
      <c r="D157" s="144">
        <f>VLOOKUP($A157,'Data shares'!$C:$FA,23)</f>
        <v>-10</v>
      </c>
      <c r="E157" s="145">
        <f>VLOOKUP($A157,'Data shares'!$C:$FA,26)*100</f>
        <v>-0.16999999999999998</v>
      </c>
      <c r="F157" s="144">
        <f>VLOOKUP($A157,'Data shares'!$C:$FA,24)</f>
        <v>-2.5</v>
      </c>
      <c r="G157" s="144">
        <f>VLOOKUP($A157,'Data shares'!$C:$FA,25)</f>
        <v>-7.5</v>
      </c>
    </row>
    <row r="158" spans="1:7" x14ac:dyDescent="0.25">
      <c r="A158" s="101" t="str">
        <f>'Data Vlaue (Cr)'!C154</f>
        <v>PETRONET</v>
      </c>
      <c r="B158" s="144">
        <f>VLOOKUP($A158,'Data shares'!$C:$FA,7)</f>
        <v>303.89999999999998</v>
      </c>
      <c r="C158" s="144">
        <f>VLOOKUP($A158,'Data shares'!$C:$FA,3)</f>
        <v>304.05</v>
      </c>
      <c r="D158" s="144">
        <f>VLOOKUP($A158,'Data shares'!$C:$FA,23)</f>
        <v>0.15</v>
      </c>
      <c r="E158" s="145">
        <f>VLOOKUP($A158,'Data shares'!$C:$FA,26)*100</f>
        <v>0.05</v>
      </c>
      <c r="F158" s="144">
        <f>VLOOKUP($A158,'Data shares'!$C:$FA,24)</f>
        <v>0.8</v>
      </c>
      <c r="G158" s="144">
        <f>VLOOKUP($A158,'Data shares'!$C:$FA,25)</f>
        <v>-0.65</v>
      </c>
    </row>
    <row r="159" spans="1:7" x14ac:dyDescent="0.25">
      <c r="A159" s="101" t="str">
        <f>'Data Vlaue (Cr)'!C155</f>
        <v>PFC</v>
      </c>
      <c r="B159" s="144">
        <f>VLOOKUP($A159,'Data shares'!$C:$FA,7)</f>
        <v>415.85</v>
      </c>
      <c r="C159" s="144">
        <f>VLOOKUP($A159,'Data shares'!$C:$FA,3)</f>
        <v>413.45</v>
      </c>
      <c r="D159" s="144">
        <f>VLOOKUP($A159,'Data shares'!$C:$FA,23)</f>
        <v>-2.4</v>
      </c>
      <c r="E159" s="145">
        <f>VLOOKUP($A159,'Data shares'!$C:$FA,26)*100</f>
        <v>-0.57999999999999996</v>
      </c>
      <c r="F159" s="144">
        <f>VLOOKUP($A159,'Data shares'!$C:$FA,24)</f>
        <v>-2.6</v>
      </c>
      <c r="G159" s="144">
        <f>VLOOKUP($A159,'Data shares'!$C:$FA,25)</f>
        <v>0.2</v>
      </c>
    </row>
    <row r="160" spans="1:7" x14ac:dyDescent="0.25">
      <c r="A160" s="101" t="str">
        <f>'Data Vlaue (Cr)'!C156</f>
        <v>PGEL</v>
      </c>
      <c r="B160" s="144">
        <f>VLOOKUP($A160,'Data shares'!$C:$FA,7)</f>
        <v>617.75</v>
      </c>
      <c r="C160" s="144">
        <f>VLOOKUP($A160,'Data shares'!$C:$FA,3)</f>
        <v>618.15</v>
      </c>
      <c r="D160" s="144">
        <f>VLOOKUP($A160,'Data shares'!$C:$FA,23)</f>
        <v>0.4</v>
      </c>
      <c r="E160" s="145">
        <f>VLOOKUP($A160,'Data shares'!$C:$FA,26)*100</f>
        <v>0.06</v>
      </c>
      <c r="F160" s="144">
        <f>VLOOKUP($A160,'Data shares'!$C:$FA,24)</f>
        <v>2.4500000000000002</v>
      </c>
      <c r="G160" s="144">
        <f>VLOOKUP($A160,'Data shares'!$C:$FA,25)</f>
        <v>-2.0499999999999998</v>
      </c>
    </row>
    <row r="161" spans="1:7" x14ac:dyDescent="0.25">
      <c r="A161" s="101" t="str">
        <f>'Data Vlaue (Cr)'!C157</f>
        <v>PHOENIXLTD</v>
      </c>
      <c r="B161" s="144">
        <f>VLOOKUP($A161,'Data shares'!$C:$FA,7)</f>
        <v>1784</v>
      </c>
      <c r="C161" s="144">
        <f>VLOOKUP($A161,'Data shares'!$C:$FA,3)</f>
        <v>1787.6</v>
      </c>
      <c r="D161" s="144">
        <f>VLOOKUP($A161,'Data shares'!$C:$FA,23)</f>
        <v>3.6</v>
      </c>
      <c r="E161" s="145">
        <f>VLOOKUP($A161,'Data shares'!$C:$FA,26)*100</f>
        <v>0.2</v>
      </c>
      <c r="F161" s="144">
        <f>VLOOKUP($A161,'Data shares'!$C:$FA,24)</f>
        <v>5.9</v>
      </c>
      <c r="G161" s="144">
        <f>VLOOKUP($A161,'Data shares'!$C:$FA,25)</f>
        <v>-2.2999999999999998</v>
      </c>
    </row>
    <row r="162" spans="1:7" x14ac:dyDescent="0.25">
      <c r="A162" s="101" t="str">
        <f>'Data Vlaue (Cr)'!C158</f>
        <v>PIDILITIND</v>
      </c>
      <c r="B162" s="144">
        <f>VLOOKUP($A162,'Data shares'!$C:$FA,7)</f>
        <v>1480.1</v>
      </c>
      <c r="C162" s="144">
        <f>VLOOKUP($A162,'Data shares'!$C:$FA,3)</f>
        <v>1480.5</v>
      </c>
      <c r="D162" s="144">
        <f>VLOOKUP($A162,'Data shares'!$C:$FA,23)</f>
        <v>0.4</v>
      </c>
      <c r="E162" s="145">
        <f>VLOOKUP($A162,'Data shares'!$C:$FA,26)*100</f>
        <v>0.03</v>
      </c>
      <c r="F162" s="144">
        <f>VLOOKUP($A162,'Data shares'!$C:$FA,24)</f>
        <v>0.9</v>
      </c>
      <c r="G162" s="144">
        <f>VLOOKUP($A162,'Data shares'!$C:$FA,25)</f>
        <v>-0.5</v>
      </c>
    </row>
    <row r="163" spans="1:7" x14ac:dyDescent="0.25">
      <c r="A163" s="101" t="str">
        <f>'Data Vlaue (Cr)'!C159</f>
        <v>PIIND</v>
      </c>
      <c r="B163" s="144">
        <f>VLOOKUP($A163,'Data shares'!$C:$FA,7)</f>
        <v>3281.1</v>
      </c>
      <c r="C163" s="144">
        <f>VLOOKUP($A163,'Data shares'!$C:$FA,3)</f>
        <v>3276.4</v>
      </c>
      <c r="D163" s="144">
        <f>VLOOKUP($A163,'Data shares'!$C:$FA,23)</f>
        <v>-4.7</v>
      </c>
      <c r="E163" s="145">
        <f>VLOOKUP($A163,'Data shares'!$C:$FA,26)*100</f>
        <v>-0.13999999999999999</v>
      </c>
      <c r="F163" s="144">
        <f>VLOOKUP($A163,'Data shares'!$C:$FA,24)</f>
        <v>-31.7</v>
      </c>
      <c r="G163" s="144">
        <f>VLOOKUP($A163,'Data shares'!$C:$FA,25)</f>
        <v>27</v>
      </c>
    </row>
    <row r="164" spans="1:7" x14ac:dyDescent="0.25">
      <c r="A164" s="101" t="str">
        <f>'Data Vlaue (Cr)'!C160</f>
        <v>PNB</v>
      </c>
      <c r="B164" s="144">
        <f>VLOOKUP($A164,'Data shares'!$C:$FA,7)</f>
        <v>122.91</v>
      </c>
      <c r="C164" s="144">
        <f>VLOOKUP($A164,'Data shares'!$C:$FA,3)</f>
        <v>123.27</v>
      </c>
      <c r="D164" s="144">
        <f>VLOOKUP($A164,'Data shares'!$C:$FA,23)</f>
        <v>0.36</v>
      </c>
      <c r="E164" s="145">
        <f>VLOOKUP($A164,'Data shares'!$C:$FA,26)*100</f>
        <v>0.28999999999999998</v>
      </c>
      <c r="F164" s="144">
        <f>VLOOKUP($A164,'Data shares'!$C:$FA,24)</f>
        <v>0.41</v>
      </c>
      <c r="G164" s="144">
        <f>VLOOKUP($A164,'Data shares'!$C:$FA,25)</f>
        <v>-0.05</v>
      </c>
    </row>
    <row r="165" spans="1:7" x14ac:dyDescent="0.25">
      <c r="A165" s="101" t="str">
        <f>'Data Vlaue (Cr)'!C161</f>
        <v>PNBHOUSING</v>
      </c>
      <c r="B165" s="144">
        <f>VLOOKUP($A165,'Data shares'!$C:$FA,7)</f>
        <v>854.9</v>
      </c>
      <c r="C165" s="144">
        <f>VLOOKUP($A165,'Data shares'!$C:$FA,3)</f>
        <v>855.1</v>
      </c>
      <c r="D165" s="144">
        <f>VLOOKUP($A165,'Data shares'!$C:$FA,23)</f>
        <v>0.2</v>
      </c>
      <c r="E165" s="145">
        <f>VLOOKUP($A165,'Data shares'!$C:$FA,26)*100</f>
        <v>0.02</v>
      </c>
      <c r="F165" s="144">
        <f>VLOOKUP($A165,'Data shares'!$C:$FA,24)</f>
        <v>0.75</v>
      </c>
      <c r="G165" s="144">
        <f>VLOOKUP($A165,'Data shares'!$C:$FA,25)</f>
        <v>-0.55000000000000004</v>
      </c>
    </row>
    <row r="166" spans="1:7" x14ac:dyDescent="0.25">
      <c r="A166" s="101" t="str">
        <f>'Data Vlaue (Cr)'!C162</f>
        <v>POLICYBZR</v>
      </c>
      <c r="B166" s="144">
        <f>VLOOKUP($A166,'Data shares'!$C:$FA,7)</f>
        <v>1554.6</v>
      </c>
      <c r="C166" s="144">
        <f>VLOOKUP($A166,'Data shares'!$C:$FA,3)</f>
        <v>1556.1</v>
      </c>
      <c r="D166" s="144">
        <f>VLOOKUP($A166,'Data shares'!$C:$FA,23)</f>
        <v>1.5</v>
      </c>
      <c r="E166" s="145">
        <f>VLOOKUP($A166,'Data shares'!$C:$FA,26)*100</f>
        <v>0.1</v>
      </c>
      <c r="F166" s="144">
        <f>VLOOKUP($A166,'Data shares'!$C:$FA,24)</f>
        <v>8.6</v>
      </c>
      <c r="G166" s="144">
        <f>VLOOKUP($A166,'Data shares'!$C:$FA,25)</f>
        <v>-7.1</v>
      </c>
    </row>
    <row r="167" spans="1:7" x14ac:dyDescent="0.25">
      <c r="A167" s="101" t="str">
        <f>'Data Vlaue (Cr)'!C163</f>
        <v>POLYCAB</v>
      </c>
      <c r="B167" s="144">
        <f>VLOOKUP($A167,'Data shares'!$C:$FA,7)</f>
        <v>7814</v>
      </c>
      <c r="C167" s="144">
        <f>VLOOKUP($A167,'Data shares'!$C:$FA,3)</f>
        <v>7820</v>
      </c>
      <c r="D167" s="144">
        <f>VLOOKUP($A167,'Data shares'!$C:$FA,23)</f>
        <v>6</v>
      </c>
      <c r="E167" s="145">
        <f>VLOOKUP($A167,'Data shares'!$C:$FA,26)*100</f>
        <v>0.08</v>
      </c>
      <c r="F167" s="144">
        <f>VLOOKUP($A167,'Data shares'!$C:$FA,24)</f>
        <v>27</v>
      </c>
      <c r="G167" s="144">
        <f>VLOOKUP($A167,'Data shares'!$C:$FA,25)</f>
        <v>-21</v>
      </c>
    </row>
    <row r="168" spans="1:7" s="175" customFormat="1" x14ac:dyDescent="0.25">
      <c r="A168" s="101" t="str">
        <f>'Data Vlaue (Cr)'!C164</f>
        <v>POWERGRID</v>
      </c>
      <c r="B168" s="144">
        <f>VLOOKUP($A168,'Data shares'!$C:$FA,7)</f>
        <v>294.45</v>
      </c>
      <c r="C168" s="144">
        <f>VLOOKUP($A168,'Data shares'!$C:$FA,3)</f>
        <v>294.55</v>
      </c>
      <c r="D168" s="144">
        <f>VLOOKUP($A168,'Data shares'!$C:$FA,23)</f>
        <v>0.1</v>
      </c>
      <c r="E168" s="145">
        <f>VLOOKUP($A168,'Data shares'!$C:$FA,26)*100</f>
        <v>0.03</v>
      </c>
      <c r="F168" s="144">
        <f>VLOOKUP($A168,'Data shares'!$C:$FA,24)</f>
        <v>0.05</v>
      </c>
      <c r="G168" s="144">
        <f>VLOOKUP($A168,'Data shares'!$C:$FA,25)</f>
        <v>0.05</v>
      </c>
    </row>
    <row r="169" spans="1:7" x14ac:dyDescent="0.25">
      <c r="A169" s="101" t="str">
        <f>'Data Vlaue (Cr)'!C165</f>
        <v>POWERINDIA</v>
      </c>
      <c r="B169" s="144">
        <f>VLOOKUP($A169,'Data shares'!$C:$FA,7)</f>
        <v>22731</v>
      </c>
      <c r="C169" s="144">
        <f>VLOOKUP($A169,'Data shares'!$C:$FA,3)</f>
        <v>22762</v>
      </c>
      <c r="D169" s="144">
        <f>VLOOKUP($A169,'Data shares'!$C:$FA,23)</f>
        <v>31</v>
      </c>
      <c r="E169" s="145">
        <f>VLOOKUP($A169,'Data shares'!$C:$FA,26)*100</f>
        <v>0.13999999999999999</v>
      </c>
      <c r="F169" s="144">
        <f>VLOOKUP($A169,'Data shares'!$C:$FA,24)</f>
        <v>82</v>
      </c>
      <c r="G169" s="144">
        <f>VLOOKUP($A169,'Data shares'!$C:$FA,25)</f>
        <v>-51</v>
      </c>
    </row>
    <row r="170" spans="1:7" x14ac:dyDescent="0.25">
      <c r="A170" s="101" t="str">
        <f>'Data Vlaue (Cr)'!C166</f>
        <v>PPLPHARMA</v>
      </c>
      <c r="B170" s="144">
        <f>VLOOKUP($A170,'Data shares'!$C:$FA,7)</f>
        <v>164.36</v>
      </c>
      <c r="C170" s="144">
        <f>VLOOKUP($A170,'Data shares'!$C:$FA,3)</f>
        <v>163.9</v>
      </c>
      <c r="D170" s="144">
        <f>VLOOKUP($A170,'Data shares'!$C:$FA,23)</f>
        <v>-0.46</v>
      </c>
      <c r="E170" s="145">
        <f>VLOOKUP($A170,'Data shares'!$C:$FA,26)*100</f>
        <v>-0.27999999999999997</v>
      </c>
      <c r="F170" s="144">
        <f>VLOOKUP($A170,'Data shares'!$C:$FA,24)</f>
        <v>-0.21</v>
      </c>
      <c r="G170" s="144">
        <f>VLOOKUP($A170,'Data shares'!$C:$FA,25)</f>
        <v>-0.25</v>
      </c>
    </row>
    <row r="171" spans="1:7" x14ac:dyDescent="0.25">
      <c r="A171" s="101" t="str">
        <f>'Data Vlaue (Cr)'!C167</f>
        <v>PREMIERENE</v>
      </c>
      <c r="B171" s="144">
        <f>VLOOKUP($A171,'Data shares'!$C:$FA,7)</f>
        <v>780.65</v>
      </c>
      <c r="C171" s="144">
        <f>VLOOKUP($A171,'Data shares'!$C:$FA,3)</f>
        <v>780.3</v>
      </c>
      <c r="D171" s="144">
        <f>VLOOKUP($A171,'Data shares'!$C:$FA,23)</f>
        <v>-0.35</v>
      </c>
      <c r="E171" s="145">
        <f>VLOOKUP($A171,'Data shares'!$C:$FA,26)*100</f>
        <v>-0.04</v>
      </c>
      <c r="F171" s="144">
        <f>VLOOKUP($A171,'Data shares'!$C:$FA,24)</f>
        <v>1.55</v>
      </c>
      <c r="G171" s="144">
        <f>VLOOKUP($A171,'Data shares'!$C:$FA,25)</f>
        <v>-1.9</v>
      </c>
    </row>
    <row r="172" spans="1:7" x14ac:dyDescent="0.25">
      <c r="A172" s="101" t="str">
        <f>'Data Vlaue (Cr)'!C168</f>
        <v>PRESTIGE</v>
      </c>
      <c r="B172" s="144">
        <f>VLOOKUP($A172,'Data shares'!$C:$FA,7)</f>
        <v>1597.5</v>
      </c>
      <c r="C172" s="144">
        <f>VLOOKUP($A172,'Data shares'!$C:$FA,3)</f>
        <v>1598.1</v>
      </c>
      <c r="D172" s="144">
        <f>VLOOKUP($A172,'Data shares'!$C:$FA,23)</f>
        <v>0.6</v>
      </c>
      <c r="E172" s="145">
        <f>VLOOKUP($A172,'Data shares'!$C:$FA,26)*100</f>
        <v>0.04</v>
      </c>
      <c r="F172" s="144">
        <f>VLOOKUP($A172,'Data shares'!$C:$FA,24)</f>
        <v>0.2</v>
      </c>
      <c r="G172" s="144">
        <f>VLOOKUP($A172,'Data shares'!$C:$FA,25)</f>
        <v>0.4</v>
      </c>
    </row>
    <row r="173" spans="1:7" x14ac:dyDescent="0.25">
      <c r="A173" s="101" t="str">
        <f>'Data Vlaue (Cr)'!C169</f>
        <v>RBLBANK</v>
      </c>
      <c r="B173" s="144">
        <f>VLOOKUP($A173,'Data shares'!$C:$FA,7)</f>
        <v>308.8</v>
      </c>
      <c r="C173" s="144">
        <f>VLOOKUP($A173,'Data shares'!$C:$FA,3)</f>
        <v>308.89999999999998</v>
      </c>
      <c r="D173" s="144">
        <f>VLOOKUP($A173,'Data shares'!$C:$FA,23)</f>
        <v>0.1</v>
      </c>
      <c r="E173" s="145">
        <f>VLOOKUP($A173,'Data shares'!$C:$FA,26)*100</f>
        <v>0.03</v>
      </c>
      <c r="F173" s="144">
        <f>VLOOKUP($A173,'Data shares'!$C:$FA,24)</f>
        <v>0.1</v>
      </c>
      <c r="G173" s="144">
        <f>VLOOKUP($A173,'Data shares'!$C:$FA,25)</f>
        <v>0</v>
      </c>
    </row>
    <row r="174" spans="1:7" x14ac:dyDescent="0.25">
      <c r="A174" s="101" t="str">
        <f>'Data Vlaue (Cr)'!C170</f>
        <v>RECLTD</v>
      </c>
      <c r="B174" s="144">
        <f>VLOOKUP($A174,'Data shares'!$C:$FA,7)</f>
        <v>353.95</v>
      </c>
      <c r="C174" s="144">
        <f>VLOOKUP($A174,'Data shares'!$C:$FA,3)</f>
        <v>355.3</v>
      </c>
      <c r="D174" s="144">
        <f>VLOOKUP($A174,'Data shares'!$C:$FA,23)</f>
        <v>1.35</v>
      </c>
      <c r="E174" s="145">
        <f>VLOOKUP($A174,'Data shares'!$C:$FA,26)*100</f>
        <v>0.38</v>
      </c>
      <c r="F174" s="144">
        <f>VLOOKUP($A174,'Data shares'!$C:$FA,24)</f>
        <v>0.5</v>
      </c>
      <c r="G174" s="144">
        <f>VLOOKUP($A174,'Data shares'!$C:$FA,25)</f>
        <v>0.85</v>
      </c>
    </row>
    <row r="175" spans="1:7" x14ac:dyDescent="0.25">
      <c r="A175" s="101" t="str">
        <f>'Data Vlaue (Cr)'!C171</f>
        <v>RELIANCE</v>
      </c>
      <c r="B175" s="144">
        <f>VLOOKUP($A175,'Data shares'!$C:$FA,7)</f>
        <v>1468.7</v>
      </c>
      <c r="C175" s="144">
        <f>VLOOKUP($A175,'Data shares'!$C:$FA,3)</f>
        <v>1470.2</v>
      </c>
      <c r="D175" s="144">
        <f>VLOOKUP($A175,'Data shares'!$C:$FA,23)</f>
        <v>1.5</v>
      </c>
      <c r="E175" s="145">
        <f>VLOOKUP($A175,'Data shares'!$C:$FA,26)*100</f>
        <v>0.1</v>
      </c>
      <c r="F175" s="144">
        <f>VLOOKUP($A175,'Data shares'!$C:$FA,24)</f>
        <v>2.2000000000000002</v>
      </c>
      <c r="G175" s="144">
        <f>VLOOKUP($A175,'Data shares'!$C:$FA,25)</f>
        <v>-0.7</v>
      </c>
    </row>
    <row r="176" spans="1:7" x14ac:dyDescent="0.25">
      <c r="A176" s="101" t="str">
        <f>'Data Vlaue (Cr)'!C172</f>
        <v>RVNL</v>
      </c>
      <c r="B176" s="144">
        <f>VLOOKUP($A176,'Data shares'!$C:$FA,7)</f>
        <v>316.55</v>
      </c>
      <c r="C176" s="144">
        <f>VLOOKUP($A176,'Data shares'!$C:$FA,3)</f>
        <v>297.64999999999998</v>
      </c>
      <c r="D176" s="144">
        <f>VLOOKUP($A176,'Data shares'!$C:$FA,23)</f>
        <v>-18.899999999999999</v>
      </c>
      <c r="E176" s="145">
        <f>VLOOKUP($A176,'Data shares'!$C:$FA,26)*100</f>
        <v>-5.9700000000000006</v>
      </c>
      <c r="F176" s="144">
        <f>VLOOKUP($A176,'Data shares'!$C:$FA,24)</f>
        <v>-21.45</v>
      </c>
      <c r="G176" s="144">
        <f>VLOOKUP($A176,'Data shares'!$C:$FA,25)</f>
        <v>2.5499999999999998</v>
      </c>
    </row>
    <row r="177" spans="1:7" x14ac:dyDescent="0.25">
      <c r="A177" s="101" t="str">
        <f>'Data Vlaue (Cr)'!C173</f>
        <v>SAIL</v>
      </c>
      <c r="B177" s="144">
        <f>VLOOKUP($A177,'Data shares'!$C:$FA,7)</f>
        <v>162.12</v>
      </c>
      <c r="C177" s="144">
        <f>VLOOKUP($A177,'Data shares'!$C:$FA,3)</f>
        <v>162.22999999999999</v>
      </c>
      <c r="D177" s="144">
        <f>VLOOKUP($A177,'Data shares'!$C:$FA,23)</f>
        <v>0.11</v>
      </c>
      <c r="E177" s="145">
        <f>VLOOKUP($A177,'Data shares'!$C:$FA,26)*100</f>
        <v>6.9999999999999993E-2</v>
      </c>
      <c r="F177" s="144">
        <f>VLOOKUP($A177,'Data shares'!$C:$FA,24)</f>
        <v>0.26</v>
      </c>
      <c r="G177" s="144">
        <f>VLOOKUP($A177,'Data shares'!$C:$FA,25)</f>
        <v>-0.15</v>
      </c>
    </row>
    <row r="178" spans="1:7" x14ac:dyDescent="0.25">
      <c r="A178" s="101" t="str">
        <f>'Data Vlaue (Cr)'!C174</f>
        <v>SAMMAANCAP</v>
      </c>
      <c r="B178" s="144">
        <f>VLOOKUP($A178,'Data shares'!$C:$FA,7)</f>
        <v>148.35</v>
      </c>
      <c r="C178" s="144">
        <f>VLOOKUP($A178,'Data shares'!$C:$FA,3)</f>
        <v>148.6</v>
      </c>
      <c r="D178" s="144">
        <f>VLOOKUP($A178,'Data shares'!$C:$FA,23)</f>
        <v>0.25</v>
      </c>
      <c r="E178" s="145">
        <f>VLOOKUP($A178,'Data shares'!$C:$FA,26)*100</f>
        <v>0.16999999999999998</v>
      </c>
      <c r="F178" s="144">
        <f>VLOOKUP($A178,'Data shares'!$C:$FA,24)</f>
        <v>0.15</v>
      </c>
      <c r="G178" s="144">
        <f>VLOOKUP($A178,'Data shares'!$C:$FA,25)</f>
        <v>0.1</v>
      </c>
    </row>
    <row r="179" spans="1:7" x14ac:dyDescent="0.25">
      <c r="A179" s="101" t="str">
        <f>'Data Vlaue (Cr)'!C175</f>
        <v>SBICARD</v>
      </c>
      <c r="B179" s="144">
        <f>VLOOKUP($A179,'Data shares'!$C:$FA,7)</f>
        <v>768.85</v>
      </c>
      <c r="C179" s="144">
        <f>VLOOKUP($A179,'Data shares'!$C:$FA,3)</f>
        <v>765.7</v>
      </c>
      <c r="D179" s="144">
        <f>VLOOKUP($A179,'Data shares'!$C:$FA,23)</f>
        <v>-3.15</v>
      </c>
      <c r="E179" s="145">
        <f>VLOOKUP($A179,'Data shares'!$C:$FA,26)*100</f>
        <v>-0.41000000000000003</v>
      </c>
      <c r="F179" s="144">
        <f>VLOOKUP($A179,'Data shares'!$C:$FA,24)</f>
        <v>-5.15</v>
      </c>
      <c r="G179" s="144">
        <f>VLOOKUP($A179,'Data shares'!$C:$FA,25)</f>
        <v>2</v>
      </c>
    </row>
    <row r="180" spans="1:7" x14ac:dyDescent="0.25">
      <c r="A180" s="101" t="str">
        <f>'Data Vlaue (Cr)'!C176</f>
        <v>SBILIFE</v>
      </c>
      <c r="B180" s="144">
        <f>VLOOKUP($A180,'Data shares'!$C:$FA,7)</f>
        <v>2026.3</v>
      </c>
      <c r="C180" s="144">
        <f>VLOOKUP($A180,'Data shares'!$C:$FA,3)</f>
        <v>2028.8</v>
      </c>
      <c r="D180" s="144">
        <f>VLOOKUP($A180,'Data shares'!$C:$FA,23)</f>
        <v>2.5</v>
      </c>
      <c r="E180" s="145">
        <f>VLOOKUP($A180,'Data shares'!$C:$FA,26)*100</f>
        <v>0.12</v>
      </c>
      <c r="F180" s="144">
        <f>VLOOKUP($A180,'Data shares'!$C:$FA,24)</f>
        <v>5.0999999999999996</v>
      </c>
      <c r="G180" s="144">
        <f>VLOOKUP($A180,'Data shares'!$C:$FA,25)</f>
        <v>-2.6</v>
      </c>
    </row>
    <row r="181" spans="1:7" x14ac:dyDescent="0.25">
      <c r="A181" s="101" t="str">
        <f>'Data Vlaue (Cr)'!C177</f>
        <v>SBIN</v>
      </c>
      <c r="B181" s="144">
        <f>VLOOKUP($A181,'Data shares'!$C:$FA,7)</f>
        <v>1182.9000000000001</v>
      </c>
      <c r="C181" s="144">
        <f>VLOOKUP($A181,'Data shares'!$C:$FA,3)</f>
        <v>1180.0999999999999</v>
      </c>
      <c r="D181" s="144">
        <f>VLOOKUP($A181,'Data shares'!$C:$FA,23)</f>
        <v>-2.8</v>
      </c>
      <c r="E181" s="145">
        <f>VLOOKUP($A181,'Data shares'!$C:$FA,26)*100</f>
        <v>-0.24</v>
      </c>
      <c r="F181" s="144">
        <f>VLOOKUP($A181,'Data shares'!$C:$FA,24)</f>
        <v>-1.7</v>
      </c>
      <c r="G181" s="144">
        <f>VLOOKUP($A181,'Data shares'!$C:$FA,25)</f>
        <v>-1.1000000000000001</v>
      </c>
    </row>
    <row r="182" spans="1:7" x14ac:dyDescent="0.25">
      <c r="A182" s="101" t="str">
        <f>'Data Vlaue (Cr)'!C178</f>
        <v>SHREECEM</v>
      </c>
      <c r="B182" s="144">
        <f>VLOOKUP($A182,'Data shares'!$C:$FA,7)</f>
        <v>26805</v>
      </c>
      <c r="C182" s="144">
        <f>VLOOKUP($A182,'Data shares'!$C:$FA,3)</f>
        <v>26670</v>
      </c>
      <c r="D182" s="144">
        <f>VLOOKUP($A182,'Data shares'!$C:$FA,23)</f>
        <v>-135</v>
      </c>
      <c r="E182" s="145">
        <f>VLOOKUP($A182,'Data shares'!$C:$FA,26)*100</f>
        <v>-0.5</v>
      </c>
      <c r="F182" s="144">
        <f>VLOOKUP($A182,'Data shares'!$C:$FA,24)</f>
        <v>10</v>
      </c>
      <c r="G182" s="144">
        <f>VLOOKUP($A182,'Data shares'!$C:$FA,25)</f>
        <v>-145</v>
      </c>
    </row>
    <row r="183" spans="1:7" x14ac:dyDescent="0.25">
      <c r="A183" s="101" t="str">
        <f>'Data Vlaue (Cr)'!C179</f>
        <v>SHRIRAMFIN</v>
      </c>
      <c r="B183" s="144">
        <f>VLOOKUP($A183,'Data shares'!$C:$FA,7)</f>
        <v>1056.8</v>
      </c>
      <c r="C183" s="144">
        <f>VLOOKUP($A183,'Data shares'!$C:$FA,3)</f>
        <v>1057.5</v>
      </c>
      <c r="D183" s="144">
        <f>VLOOKUP($A183,'Data shares'!$C:$FA,23)</f>
        <v>0.7</v>
      </c>
      <c r="E183" s="145">
        <f>VLOOKUP($A183,'Data shares'!$C:$FA,26)*100</f>
        <v>6.9999999999999993E-2</v>
      </c>
      <c r="F183" s="144">
        <f>VLOOKUP($A183,'Data shares'!$C:$FA,24)</f>
        <v>0.3</v>
      </c>
      <c r="G183" s="144">
        <f>VLOOKUP($A183,'Data shares'!$C:$FA,25)</f>
        <v>0.4</v>
      </c>
    </row>
    <row r="184" spans="1:7" x14ac:dyDescent="0.25">
      <c r="A184" s="101" t="str">
        <f>'Data Vlaue (Cr)'!C180</f>
        <v>SIEMENS</v>
      </c>
      <c r="B184" s="144">
        <f>VLOOKUP($A184,'Data shares'!$C:$FA,7)</f>
        <v>3151.6</v>
      </c>
      <c r="C184" s="144">
        <f>VLOOKUP($A184,'Data shares'!$C:$FA,3)</f>
        <v>3156.2</v>
      </c>
      <c r="D184" s="144">
        <f>VLOOKUP($A184,'Data shares'!$C:$FA,23)</f>
        <v>4.5999999999999996</v>
      </c>
      <c r="E184" s="145">
        <f>VLOOKUP($A184,'Data shares'!$C:$FA,26)*100</f>
        <v>0.15</v>
      </c>
      <c r="F184" s="144">
        <f>VLOOKUP($A184,'Data shares'!$C:$FA,24)</f>
        <v>5.9</v>
      </c>
      <c r="G184" s="144">
        <f>VLOOKUP($A184,'Data shares'!$C:$FA,25)</f>
        <v>-1.3</v>
      </c>
    </row>
    <row r="185" spans="1:7" x14ac:dyDescent="0.25">
      <c r="A185" s="101" t="str">
        <f>'Data Vlaue (Cr)'!C181</f>
        <v>SOLARINDS</v>
      </c>
      <c r="B185" s="144">
        <f>VLOOKUP($A185,'Data shares'!$C:$FA,7)</f>
        <v>13445</v>
      </c>
      <c r="C185" s="144">
        <f>VLOOKUP($A185,'Data shares'!$C:$FA,3)</f>
        <v>13448</v>
      </c>
      <c r="D185" s="144">
        <f>VLOOKUP($A185,'Data shares'!$C:$FA,23)</f>
        <v>3</v>
      </c>
      <c r="E185" s="145">
        <f>VLOOKUP($A185,'Data shares'!$C:$FA,26)*100</f>
        <v>0.02</v>
      </c>
      <c r="F185" s="144">
        <f>VLOOKUP($A185,'Data shares'!$C:$FA,24)</f>
        <v>25</v>
      </c>
      <c r="G185" s="144">
        <f>VLOOKUP($A185,'Data shares'!$C:$FA,25)</f>
        <v>-22</v>
      </c>
    </row>
    <row r="186" spans="1:7" x14ac:dyDescent="0.25">
      <c r="A186" s="101" t="str">
        <f>'Data Vlaue (Cr)'!C182</f>
        <v>SONACOMS</v>
      </c>
      <c r="B186" s="144">
        <f>VLOOKUP($A186,'Data shares'!$C:$FA,7)</f>
        <v>538</v>
      </c>
      <c r="C186" s="144">
        <f>VLOOKUP($A186,'Data shares'!$C:$FA,3)</f>
        <v>539.85</v>
      </c>
      <c r="D186" s="144">
        <f>VLOOKUP($A186,'Data shares'!$C:$FA,23)</f>
        <v>1.85</v>
      </c>
      <c r="E186" s="145">
        <f>VLOOKUP($A186,'Data shares'!$C:$FA,26)*100</f>
        <v>0.33999999999999997</v>
      </c>
      <c r="F186" s="144">
        <f>VLOOKUP($A186,'Data shares'!$C:$FA,24)</f>
        <v>0.95</v>
      </c>
      <c r="G186" s="144">
        <f>VLOOKUP($A186,'Data shares'!$C:$FA,25)</f>
        <v>0.9</v>
      </c>
    </row>
    <row r="187" spans="1:7" x14ac:dyDescent="0.25">
      <c r="A187" s="101" t="str">
        <f>'Data Vlaue (Cr)'!C183</f>
        <v>SRF</v>
      </c>
      <c r="B187" s="144">
        <f>VLOOKUP($A187,'Data shares'!$C:$FA,7)</f>
        <v>2949.1</v>
      </c>
      <c r="C187" s="144">
        <f>VLOOKUP($A187,'Data shares'!$C:$FA,3)</f>
        <v>2950.7</v>
      </c>
      <c r="D187" s="144">
        <f>VLOOKUP($A187,'Data shares'!$C:$FA,23)</f>
        <v>1.6</v>
      </c>
      <c r="E187" s="145">
        <f>VLOOKUP($A187,'Data shares'!$C:$FA,26)*100</f>
        <v>0.05</v>
      </c>
      <c r="F187" s="144">
        <f>VLOOKUP($A187,'Data shares'!$C:$FA,24)</f>
        <v>4</v>
      </c>
      <c r="G187" s="144">
        <f>VLOOKUP($A187,'Data shares'!$C:$FA,25)</f>
        <v>-2.4</v>
      </c>
    </row>
    <row r="188" spans="1:7" x14ac:dyDescent="0.25">
      <c r="A188" s="101" t="str">
        <f>'Data Vlaue (Cr)'!C184</f>
        <v>SUNPHARMA</v>
      </c>
      <c r="B188" s="144">
        <f>VLOOKUP($A188,'Data shares'!$C:$FA,7)</f>
        <v>1711.1</v>
      </c>
      <c r="C188" s="144">
        <f>VLOOKUP($A188,'Data shares'!$C:$FA,3)</f>
        <v>1712</v>
      </c>
      <c r="D188" s="144">
        <f>VLOOKUP($A188,'Data shares'!$C:$FA,23)</f>
        <v>0.9</v>
      </c>
      <c r="E188" s="145">
        <f>VLOOKUP($A188,'Data shares'!$C:$FA,26)*100</f>
        <v>0.05</v>
      </c>
      <c r="F188" s="144">
        <f>VLOOKUP($A188,'Data shares'!$C:$FA,24)</f>
        <v>1.1000000000000001</v>
      </c>
      <c r="G188" s="144">
        <f>VLOOKUP($A188,'Data shares'!$C:$FA,25)</f>
        <v>-0.2</v>
      </c>
    </row>
    <row r="189" spans="1:7" x14ac:dyDescent="0.25">
      <c r="A189" s="101" t="str">
        <f>'Data Vlaue (Cr)'!C185</f>
        <v>SUPREMEIND</v>
      </c>
      <c r="B189" s="144">
        <f>VLOOKUP($A189,'Data shares'!$C:$FA,7)</f>
        <v>3849.4</v>
      </c>
      <c r="C189" s="144">
        <f>VLOOKUP($A189,'Data shares'!$C:$FA,3)</f>
        <v>3850.8</v>
      </c>
      <c r="D189" s="144">
        <f>VLOOKUP($A189,'Data shares'!$C:$FA,23)</f>
        <v>1.4</v>
      </c>
      <c r="E189" s="145">
        <f>VLOOKUP($A189,'Data shares'!$C:$FA,26)*100</f>
        <v>0.04</v>
      </c>
      <c r="F189" s="144">
        <f>VLOOKUP($A189,'Data shares'!$C:$FA,24)</f>
        <v>7.6</v>
      </c>
      <c r="G189" s="144">
        <f>VLOOKUP($A189,'Data shares'!$C:$FA,25)</f>
        <v>-6.2</v>
      </c>
    </row>
    <row r="190" spans="1:7" x14ac:dyDescent="0.25">
      <c r="A190" s="101" t="str">
        <f>'Data Vlaue (Cr)'!C186</f>
        <v>SUZLON</v>
      </c>
      <c r="B190" s="144">
        <f>VLOOKUP($A190,'Data shares'!$C:$FA,7)</f>
        <v>47.38</v>
      </c>
      <c r="C190" s="144">
        <f>VLOOKUP($A190,'Data shares'!$C:$FA,3)</f>
        <v>47.44</v>
      </c>
      <c r="D190" s="144">
        <f>VLOOKUP($A190,'Data shares'!$C:$FA,23)</f>
        <v>0.06</v>
      </c>
      <c r="E190" s="145">
        <f>VLOOKUP($A190,'Data shares'!$C:$FA,26)*100</f>
        <v>0.13</v>
      </c>
      <c r="F190" s="144">
        <f>VLOOKUP($A190,'Data shares'!$C:$FA,24)</f>
        <v>0.12</v>
      </c>
      <c r="G190" s="144">
        <f>VLOOKUP($A190,'Data shares'!$C:$FA,25)</f>
        <v>-0.06</v>
      </c>
    </row>
    <row r="191" spans="1:7" x14ac:dyDescent="0.25">
      <c r="A191" s="101" t="str">
        <f>'Data Vlaue (Cr)'!C187</f>
        <v>SWIGGY</v>
      </c>
      <c r="B191" s="144">
        <f>VLOOKUP($A191,'Data shares'!$C:$FA,7)</f>
        <v>342.3</v>
      </c>
      <c r="C191" s="144">
        <f>VLOOKUP($A191,'Data shares'!$C:$FA,3)</f>
        <v>341.6</v>
      </c>
      <c r="D191" s="144">
        <f>VLOOKUP($A191,'Data shares'!$C:$FA,23)</f>
        <v>-0.7</v>
      </c>
      <c r="E191" s="145">
        <f>VLOOKUP($A191,'Data shares'!$C:$FA,26)*100</f>
        <v>-0.2</v>
      </c>
      <c r="F191" s="144">
        <f>VLOOKUP($A191,'Data shares'!$C:$FA,24)</f>
        <v>-1.75</v>
      </c>
      <c r="G191" s="144">
        <f>VLOOKUP($A191,'Data shares'!$C:$FA,25)</f>
        <v>1.05</v>
      </c>
    </row>
    <row r="192" spans="1:7" x14ac:dyDescent="0.25">
      <c r="A192" s="101" t="str">
        <f>'Data Vlaue (Cr)'!C188</f>
        <v>SYNGENE</v>
      </c>
      <c r="B192" s="144">
        <f>VLOOKUP($A192,'Data shares'!$C:$FA,7)</f>
        <v>455.1</v>
      </c>
      <c r="C192" s="144">
        <f>VLOOKUP($A192,'Data shares'!$C:$FA,3)</f>
        <v>456.75</v>
      </c>
      <c r="D192" s="144">
        <f>VLOOKUP($A192,'Data shares'!$C:$FA,23)</f>
        <v>1.65</v>
      </c>
      <c r="E192" s="145">
        <f>VLOOKUP($A192,'Data shares'!$C:$FA,26)*100</f>
        <v>0.36</v>
      </c>
      <c r="F192" s="144">
        <f>VLOOKUP($A192,'Data shares'!$C:$FA,24)</f>
        <v>1.85</v>
      </c>
      <c r="G192" s="144">
        <f>VLOOKUP($A192,'Data shares'!$C:$FA,25)</f>
        <v>-0.2</v>
      </c>
    </row>
    <row r="193" spans="1:7" x14ac:dyDescent="0.25">
      <c r="A193" s="101" t="str">
        <f>'Data Vlaue (Cr)'!C189</f>
        <v>TATACONSUM</v>
      </c>
      <c r="B193" s="144">
        <f>VLOOKUP($A193,'Data shares'!$C:$FA,7)</f>
        <v>1152.5999999999999</v>
      </c>
      <c r="C193" s="144">
        <f>VLOOKUP($A193,'Data shares'!$C:$FA,3)</f>
        <v>1155.7</v>
      </c>
      <c r="D193" s="144">
        <f>VLOOKUP($A193,'Data shares'!$C:$FA,23)</f>
        <v>3.1</v>
      </c>
      <c r="E193" s="145">
        <f>VLOOKUP($A193,'Data shares'!$C:$FA,26)*100</f>
        <v>0.27</v>
      </c>
      <c r="F193" s="144">
        <f>VLOOKUP($A193,'Data shares'!$C:$FA,24)</f>
        <v>4</v>
      </c>
      <c r="G193" s="144">
        <f>VLOOKUP($A193,'Data shares'!$C:$FA,25)</f>
        <v>-0.9</v>
      </c>
    </row>
    <row r="194" spans="1:7" x14ac:dyDescent="0.25">
      <c r="A194" s="101" t="str">
        <f>'Data Vlaue (Cr)'!C190</f>
        <v>TATAELXSI</v>
      </c>
      <c r="B194" s="144">
        <f>VLOOKUP($A194,'Data shares'!$C:$FA,7)</f>
        <v>5250.5</v>
      </c>
      <c r="C194" s="144">
        <f>VLOOKUP($A194,'Data shares'!$C:$FA,3)</f>
        <v>5240</v>
      </c>
      <c r="D194" s="144">
        <f>VLOOKUP($A194,'Data shares'!$C:$FA,23)</f>
        <v>-10.5</v>
      </c>
      <c r="E194" s="145">
        <f>VLOOKUP($A194,'Data shares'!$C:$FA,26)*100</f>
        <v>-0.2</v>
      </c>
      <c r="F194" s="144">
        <f>VLOOKUP($A194,'Data shares'!$C:$FA,24)</f>
        <v>4.5</v>
      </c>
      <c r="G194" s="144">
        <f>VLOOKUP($A194,'Data shares'!$C:$FA,25)</f>
        <v>-15</v>
      </c>
    </row>
    <row r="195" spans="1:7" x14ac:dyDescent="0.25">
      <c r="A195" s="101" t="str">
        <f>'Data Vlaue (Cr)'!C191</f>
        <v>TATAPOWER</v>
      </c>
      <c r="B195" s="144">
        <f>VLOOKUP($A195,'Data shares'!$C:$FA,7)</f>
        <v>375.65</v>
      </c>
      <c r="C195" s="144">
        <f>VLOOKUP($A195,'Data shares'!$C:$FA,3)</f>
        <v>376.8</v>
      </c>
      <c r="D195" s="144">
        <f>VLOOKUP($A195,'Data shares'!$C:$FA,23)</f>
        <v>1.1499999999999999</v>
      </c>
      <c r="E195" s="145">
        <f>VLOOKUP($A195,'Data shares'!$C:$FA,26)*100</f>
        <v>0.31</v>
      </c>
      <c r="F195" s="144">
        <f>VLOOKUP($A195,'Data shares'!$C:$FA,24)</f>
        <v>0.85</v>
      </c>
      <c r="G195" s="144">
        <f>VLOOKUP($A195,'Data shares'!$C:$FA,25)</f>
        <v>0.3</v>
      </c>
    </row>
    <row r="196" spans="1:7" x14ac:dyDescent="0.25">
      <c r="A196" s="101" t="str">
        <f>'Data Vlaue (Cr)'!C192</f>
        <v>TATASTEEL</v>
      </c>
      <c r="B196" s="144">
        <f>VLOOKUP($A196,'Data shares'!$C:$FA,7)</f>
        <v>207.59</v>
      </c>
      <c r="C196" s="144">
        <f>VLOOKUP($A196,'Data shares'!$C:$FA,3)</f>
        <v>208.13</v>
      </c>
      <c r="D196" s="144">
        <f>VLOOKUP($A196,'Data shares'!$C:$FA,23)</f>
        <v>0.54</v>
      </c>
      <c r="E196" s="145">
        <f>VLOOKUP($A196,'Data shares'!$C:$FA,26)*100</f>
        <v>0.26</v>
      </c>
      <c r="F196" s="144">
        <f>VLOOKUP($A196,'Data shares'!$C:$FA,24)</f>
        <v>0.08</v>
      </c>
      <c r="G196" s="144">
        <f>VLOOKUP($A196,'Data shares'!$C:$FA,25)</f>
        <v>0.46</v>
      </c>
    </row>
    <row r="197" spans="1:7" x14ac:dyDescent="0.25">
      <c r="A197" s="101" t="str">
        <f>'Data Vlaue (Cr)'!C193</f>
        <v>TATATECH</v>
      </c>
      <c r="B197" s="144">
        <f>VLOOKUP($A197,'Data shares'!$C:$FA,7)</f>
        <v>627.95000000000005</v>
      </c>
      <c r="C197" s="144">
        <f>VLOOKUP($A197,'Data shares'!$C:$FA,3)</f>
        <v>628.65</v>
      </c>
      <c r="D197" s="144">
        <f>VLOOKUP($A197,'Data shares'!$C:$FA,23)</f>
        <v>0.7</v>
      </c>
      <c r="E197" s="145">
        <f>VLOOKUP($A197,'Data shares'!$C:$FA,26)*100</f>
        <v>0.11</v>
      </c>
      <c r="F197" s="144">
        <f>VLOOKUP($A197,'Data shares'!$C:$FA,24)</f>
        <v>2.1</v>
      </c>
      <c r="G197" s="144">
        <f>VLOOKUP($A197,'Data shares'!$C:$FA,25)</f>
        <v>-1.4</v>
      </c>
    </row>
    <row r="198" spans="1:7" x14ac:dyDescent="0.25">
      <c r="A198" s="101" t="str">
        <f>'Data Vlaue (Cr)'!C194</f>
        <v>TCS</v>
      </c>
      <c r="B198" s="144">
        <f>VLOOKUP($A198,'Data shares'!$C:$FA,7)</f>
        <v>2909.8</v>
      </c>
      <c r="C198" s="144">
        <f>VLOOKUP($A198,'Data shares'!$C:$FA,3)</f>
        <v>2918.3</v>
      </c>
      <c r="D198" s="144">
        <f>VLOOKUP($A198,'Data shares'!$C:$FA,23)</f>
        <v>8.5</v>
      </c>
      <c r="E198" s="145">
        <f>VLOOKUP($A198,'Data shares'!$C:$FA,26)*100</f>
        <v>0.28999999999999998</v>
      </c>
      <c r="F198" s="144">
        <f>VLOOKUP($A198,'Data shares'!$C:$FA,24)</f>
        <v>7.1</v>
      </c>
      <c r="G198" s="144">
        <f>VLOOKUP($A198,'Data shares'!$C:$FA,25)</f>
        <v>1.4</v>
      </c>
    </row>
    <row r="199" spans="1:7" x14ac:dyDescent="0.25">
      <c r="A199" s="101" t="str">
        <f>'Data Vlaue (Cr)'!C195</f>
        <v>TECHM</v>
      </c>
      <c r="B199" s="144">
        <f>VLOOKUP($A199,'Data shares'!$C:$FA,7)</f>
        <v>1634.4</v>
      </c>
      <c r="C199" s="144">
        <f>VLOOKUP($A199,'Data shares'!$C:$FA,3)</f>
        <v>1633.9</v>
      </c>
      <c r="D199" s="144">
        <f>VLOOKUP($A199,'Data shares'!$C:$FA,23)</f>
        <v>-0.5</v>
      </c>
      <c r="E199" s="145">
        <f>VLOOKUP($A199,'Data shares'!$C:$FA,26)*100</f>
        <v>-0.03</v>
      </c>
      <c r="F199" s="144">
        <f>VLOOKUP($A199,'Data shares'!$C:$FA,24)</f>
        <v>0.8</v>
      </c>
      <c r="G199" s="144">
        <f>VLOOKUP($A199,'Data shares'!$C:$FA,25)</f>
        <v>-1.3</v>
      </c>
    </row>
    <row r="200" spans="1:7" x14ac:dyDescent="0.25">
      <c r="A200" s="101" t="str">
        <f>'Data Vlaue (Cr)'!C196</f>
        <v>TIINDIA</v>
      </c>
      <c r="B200" s="144">
        <f>VLOOKUP($A200,'Data shares'!$C:$FA,7)</f>
        <v>2450.1999999999998</v>
      </c>
      <c r="C200" s="144">
        <f>VLOOKUP($A200,'Data shares'!$C:$FA,3)</f>
        <v>2451.8000000000002</v>
      </c>
      <c r="D200" s="144">
        <f>VLOOKUP($A200,'Data shares'!$C:$FA,23)</f>
        <v>1.6</v>
      </c>
      <c r="E200" s="145">
        <f>VLOOKUP($A200,'Data shares'!$C:$FA,26)*100</f>
        <v>6.9999999999999993E-2</v>
      </c>
      <c r="F200" s="144">
        <f>VLOOKUP($A200,'Data shares'!$C:$FA,24)</f>
        <v>10.199999999999999</v>
      </c>
      <c r="G200" s="144">
        <f>VLOOKUP($A200,'Data shares'!$C:$FA,25)</f>
        <v>-8.6</v>
      </c>
    </row>
    <row r="201" spans="1:7" x14ac:dyDescent="0.25">
      <c r="A201" s="101" t="str">
        <f>'Data Vlaue (Cr)'!C197</f>
        <v>TITAN</v>
      </c>
      <c r="B201" s="144">
        <f>VLOOKUP($A201,'Data shares'!$C:$FA,7)</f>
        <v>4249.1000000000004</v>
      </c>
      <c r="C201" s="144">
        <f>VLOOKUP($A201,'Data shares'!$C:$FA,3)</f>
        <v>4252.5</v>
      </c>
      <c r="D201" s="144">
        <f>VLOOKUP($A201,'Data shares'!$C:$FA,23)</f>
        <v>3.4</v>
      </c>
      <c r="E201" s="145">
        <f>VLOOKUP($A201,'Data shares'!$C:$FA,26)*100</f>
        <v>0.08</v>
      </c>
      <c r="F201" s="144">
        <f>VLOOKUP($A201,'Data shares'!$C:$FA,24)</f>
        <v>14</v>
      </c>
      <c r="G201" s="144">
        <f>VLOOKUP($A201,'Data shares'!$C:$FA,25)</f>
        <v>-10.6</v>
      </c>
    </row>
    <row r="202" spans="1:7" x14ac:dyDescent="0.25">
      <c r="A202" s="101" t="str">
        <f>'Data Vlaue (Cr)'!C198</f>
        <v>TMPV</v>
      </c>
      <c r="B202" s="144">
        <f>VLOOKUP($A202,'Data shares'!$C:$FA,7)</f>
        <v>384.7</v>
      </c>
      <c r="C202" s="144">
        <f>VLOOKUP($A202,'Data shares'!$C:$FA,3)</f>
        <v>385.75</v>
      </c>
      <c r="D202" s="144">
        <f>VLOOKUP($A202,'Data shares'!$C:$FA,23)</f>
        <v>1.05</v>
      </c>
      <c r="E202" s="145">
        <f>VLOOKUP($A202,'Data shares'!$C:$FA,26)*100</f>
        <v>0.27</v>
      </c>
      <c r="F202" s="144">
        <f>VLOOKUP($A202,'Data shares'!$C:$FA,24)</f>
        <v>1.2</v>
      </c>
      <c r="G202" s="144">
        <f>VLOOKUP($A202,'Data shares'!$C:$FA,25)</f>
        <v>-0.15</v>
      </c>
    </row>
    <row r="203" spans="1:7" x14ac:dyDescent="0.25">
      <c r="A203" s="101" t="str">
        <f>'Data Vlaue (Cr)'!C199</f>
        <v>TORNTPHARM</v>
      </c>
      <c r="B203" s="144">
        <f>VLOOKUP($A203,'Data shares'!$C:$FA,7)</f>
        <v>4056.7</v>
      </c>
      <c r="C203" s="144">
        <f>VLOOKUP($A203,'Data shares'!$C:$FA,3)</f>
        <v>4026.5</v>
      </c>
      <c r="D203" s="144">
        <f>VLOOKUP($A203,'Data shares'!$C:$FA,23)</f>
        <v>-30.2</v>
      </c>
      <c r="E203" s="145">
        <f>VLOOKUP($A203,'Data shares'!$C:$FA,26)*100</f>
        <v>-0.74</v>
      </c>
      <c r="F203" s="144">
        <f>VLOOKUP($A203,'Data shares'!$C:$FA,24)</f>
        <v>-30.6</v>
      </c>
      <c r="G203" s="144">
        <f>VLOOKUP($A203,'Data shares'!$C:$FA,25)</f>
        <v>0.4</v>
      </c>
    </row>
    <row r="204" spans="1:7" x14ac:dyDescent="0.25">
      <c r="A204" s="101" t="str">
        <f>'Data Vlaue (Cr)'!C200</f>
        <v>TORNTPOWER</v>
      </c>
      <c r="B204" s="144">
        <f>VLOOKUP($A204,'Data shares'!$C:$FA,7)</f>
        <v>1428.6</v>
      </c>
      <c r="C204" s="144">
        <f>VLOOKUP($A204,'Data shares'!$C:$FA,3)</f>
        <v>1414.8</v>
      </c>
      <c r="D204" s="144">
        <f>VLOOKUP($A204,'Data shares'!$C:$FA,23)</f>
        <v>-13.8</v>
      </c>
      <c r="E204" s="145">
        <f>VLOOKUP($A204,'Data shares'!$C:$FA,26)*100</f>
        <v>-0.97</v>
      </c>
      <c r="F204" s="144">
        <f>VLOOKUP($A204,'Data shares'!$C:$FA,24)</f>
        <v>-7.8</v>
      </c>
      <c r="G204" s="144">
        <f>VLOOKUP($A204,'Data shares'!$C:$FA,25)</f>
        <v>-6</v>
      </c>
    </row>
    <row r="205" spans="1:7" x14ac:dyDescent="0.25">
      <c r="A205" s="101" t="str">
        <f>'Data Vlaue (Cr)'!C201</f>
        <v>TRENT</v>
      </c>
      <c r="B205" s="144">
        <f>VLOOKUP($A205,'Data shares'!$C:$FA,7)</f>
        <v>4218.8999999999996</v>
      </c>
      <c r="C205" s="144">
        <f>VLOOKUP($A205,'Data shares'!$C:$FA,3)</f>
        <v>4224</v>
      </c>
      <c r="D205" s="144">
        <f>VLOOKUP($A205,'Data shares'!$C:$FA,23)</f>
        <v>5.0999999999999996</v>
      </c>
      <c r="E205" s="145">
        <f>VLOOKUP($A205,'Data shares'!$C:$FA,26)*100</f>
        <v>0.12</v>
      </c>
      <c r="F205" s="144">
        <f>VLOOKUP($A205,'Data shares'!$C:$FA,24)</f>
        <v>1.9</v>
      </c>
      <c r="G205" s="144">
        <f>VLOOKUP($A205,'Data shares'!$C:$FA,25)</f>
        <v>3.2</v>
      </c>
    </row>
    <row r="206" spans="1:7" x14ac:dyDescent="0.25">
      <c r="A206" s="101" t="str">
        <f>'Data Vlaue (Cr)'!C202</f>
        <v>TVSMOTOR</v>
      </c>
      <c r="B206" s="144">
        <f>VLOOKUP($A206,'Data shares'!$C:$FA,7)</f>
        <v>3865.1</v>
      </c>
      <c r="C206" s="144">
        <f>VLOOKUP($A206,'Data shares'!$C:$FA,3)</f>
        <v>3868.5</v>
      </c>
      <c r="D206" s="144">
        <f>VLOOKUP($A206,'Data shares'!$C:$FA,23)</f>
        <v>3.4</v>
      </c>
      <c r="E206" s="145">
        <f>VLOOKUP($A206,'Data shares'!$C:$FA,26)*100</f>
        <v>0.09</v>
      </c>
      <c r="F206" s="144">
        <f>VLOOKUP($A206,'Data shares'!$C:$FA,24)</f>
        <v>12.8</v>
      </c>
      <c r="G206" s="144">
        <f>VLOOKUP($A206,'Data shares'!$C:$FA,25)</f>
        <v>-9.4</v>
      </c>
    </row>
    <row r="207" spans="1:7" x14ac:dyDescent="0.25">
      <c r="A207" s="101" t="str">
        <f>'Data Vlaue (Cr)'!C203</f>
        <v>ULTRACEMCO</v>
      </c>
      <c r="B207" s="144">
        <f>VLOOKUP($A207,'Data shares'!$C:$FA,7)</f>
        <v>12969</v>
      </c>
      <c r="C207" s="144">
        <f>VLOOKUP($A207,'Data shares'!$C:$FA,3)</f>
        <v>12976</v>
      </c>
      <c r="D207" s="144">
        <f>VLOOKUP($A207,'Data shares'!$C:$FA,23)</f>
        <v>7</v>
      </c>
      <c r="E207" s="145">
        <f>VLOOKUP($A207,'Data shares'!$C:$FA,26)*100</f>
        <v>0.05</v>
      </c>
      <c r="F207" s="144">
        <f>VLOOKUP($A207,'Data shares'!$C:$FA,24)</f>
        <v>6</v>
      </c>
      <c r="G207" s="144">
        <f>VLOOKUP($A207,'Data shares'!$C:$FA,25)</f>
        <v>1</v>
      </c>
    </row>
    <row r="208" spans="1:7" x14ac:dyDescent="0.25">
      <c r="A208" s="101" t="str">
        <f>'Data Vlaue (Cr)'!C204</f>
        <v>UNIONBANK</v>
      </c>
      <c r="B208" s="144">
        <f>VLOOKUP($A208,'Data shares'!$C:$FA,7)</f>
        <v>180.33</v>
      </c>
      <c r="C208" s="144">
        <f>VLOOKUP($A208,'Data shares'!$C:$FA,3)</f>
        <v>180.43</v>
      </c>
      <c r="D208" s="144">
        <f>VLOOKUP($A208,'Data shares'!$C:$FA,23)</f>
        <v>0.1</v>
      </c>
      <c r="E208" s="145">
        <f>VLOOKUP($A208,'Data shares'!$C:$FA,26)*100</f>
        <v>0.06</v>
      </c>
      <c r="F208" s="144">
        <f>VLOOKUP($A208,'Data shares'!$C:$FA,24)</f>
        <v>0.15</v>
      </c>
      <c r="G208" s="144">
        <f>VLOOKUP($A208,'Data shares'!$C:$FA,25)</f>
        <v>-0.05</v>
      </c>
    </row>
    <row r="209" spans="1:7" x14ac:dyDescent="0.25">
      <c r="A209" s="101" t="str">
        <f>'Data Vlaue (Cr)'!C205</f>
        <v>UNITDSPR</v>
      </c>
      <c r="B209" s="144">
        <f>VLOOKUP($A209,'Data shares'!$C:$FA,7)</f>
        <v>1412.9</v>
      </c>
      <c r="C209" s="144">
        <f>VLOOKUP($A209,'Data shares'!$C:$FA,3)</f>
        <v>1413.6</v>
      </c>
      <c r="D209" s="144">
        <f>VLOOKUP($A209,'Data shares'!$C:$FA,23)</f>
        <v>0.7</v>
      </c>
      <c r="E209" s="145">
        <f>VLOOKUP($A209,'Data shares'!$C:$FA,26)*100</f>
        <v>0.05</v>
      </c>
      <c r="F209" s="144">
        <f>VLOOKUP($A209,'Data shares'!$C:$FA,24)</f>
        <v>2.8</v>
      </c>
      <c r="G209" s="144">
        <f>VLOOKUP($A209,'Data shares'!$C:$FA,25)</f>
        <v>-2.1</v>
      </c>
    </row>
    <row r="210" spans="1:7" x14ac:dyDescent="0.25">
      <c r="A210" s="101" t="str">
        <f>'Data Vlaue (Cr)'!C206</f>
        <v>UNOMINDA</v>
      </c>
      <c r="B210" s="144">
        <f>VLOOKUP($A210,'Data shares'!$C:$FA,7)</f>
        <v>1245.8</v>
      </c>
      <c r="C210" s="144">
        <f>VLOOKUP($A210,'Data shares'!$C:$FA,3)</f>
        <v>1249.9000000000001</v>
      </c>
      <c r="D210" s="144">
        <f>VLOOKUP($A210,'Data shares'!$C:$FA,23)</f>
        <v>4.0999999999999996</v>
      </c>
      <c r="E210" s="145">
        <f>VLOOKUP($A210,'Data shares'!$C:$FA,26)*100</f>
        <v>0.33</v>
      </c>
      <c r="F210" s="144">
        <f>VLOOKUP($A210,'Data shares'!$C:$FA,24)</f>
        <v>3.1</v>
      </c>
      <c r="G210" s="144">
        <f>VLOOKUP($A210,'Data shares'!$C:$FA,25)</f>
        <v>1</v>
      </c>
    </row>
    <row r="211" spans="1:7" x14ac:dyDescent="0.25">
      <c r="A211" s="101" t="str">
        <f>'Data Vlaue (Cr)'!C207</f>
        <v>UPL</v>
      </c>
      <c r="B211" s="144">
        <f>VLOOKUP($A211,'Data shares'!$C:$FA,7)</f>
        <v>749</v>
      </c>
      <c r="C211" s="144">
        <f>VLOOKUP($A211,'Data shares'!$C:$FA,3)</f>
        <v>750</v>
      </c>
      <c r="D211" s="144">
        <f>VLOOKUP($A211,'Data shares'!$C:$FA,23)</f>
        <v>1</v>
      </c>
      <c r="E211" s="145">
        <f>VLOOKUP($A211,'Data shares'!$C:$FA,26)*100</f>
        <v>0.13</v>
      </c>
      <c r="F211" s="144">
        <f>VLOOKUP($A211,'Data shares'!$C:$FA,24)</f>
        <v>1.9</v>
      </c>
      <c r="G211" s="144">
        <f>VLOOKUP($A211,'Data shares'!$C:$FA,25)</f>
        <v>-0.9</v>
      </c>
    </row>
    <row r="212" spans="1:7" x14ac:dyDescent="0.25">
      <c r="A212" s="101" t="str">
        <f>'Data Vlaue (Cr)'!C208</f>
        <v>VBL</v>
      </c>
      <c r="B212" s="144">
        <f>VLOOKUP($A212,'Data shares'!$C:$FA,7)</f>
        <v>456.9</v>
      </c>
      <c r="C212" s="144">
        <f>VLOOKUP($A212,'Data shares'!$C:$FA,3)</f>
        <v>458.4</v>
      </c>
      <c r="D212" s="144">
        <f>VLOOKUP($A212,'Data shares'!$C:$FA,23)</f>
        <v>1.5</v>
      </c>
      <c r="E212" s="145">
        <f>VLOOKUP($A212,'Data shares'!$C:$FA,26)*100</f>
        <v>0.33</v>
      </c>
      <c r="F212" s="144">
        <f>VLOOKUP($A212,'Data shares'!$C:$FA,24)</f>
        <v>0.3</v>
      </c>
      <c r="G212" s="144">
        <f>VLOOKUP($A212,'Data shares'!$C:$FA,25)</f>
        <v>1.2</v>
      </c>
    </row>
    <row r="213" spans="1:7" x14ac:dyDescent="0.25">
      <c r="A213" s="101" t="str">
        <f>'Data Vlaue (Cr)'!C209</f>
        <v>VEDL</v>
      </c>
      <c r="B213" s="144">
        <f>VLOOKUP($A213,'Data shares'!$C:$FA,7)</f>
        <v>701.15</v>
      </c>
      <c r="C213" s="144">
        <f>VLOOKUP($A213,'Data shares'!$C:$FA,3)</f>
        <v>703.7</v>
      </c>
      <c r="D213" s="144">
        <f>VLOOKUP($A213,'Data shares'!$C:$FA,23)</f>
        <v>2.5499999999999998</v>
      </c>
      <c r="E213" s="145">
        <f>VLOOKUP($A213,'Data shares'!$C:$FA,26)*100</f>
        <v>0.36</v>
      </c>
      <c r="F213" s="144">
        <f>VLOOKUP($A213,'Data shares'!$C:$FA,24)</f>
        <v>0.5</v>
      </c>
      <c r="G213" s="144">
        <f>VLOOKUP($A213,'Data shares'!$C:$FA,25)</f>
        <v>2.0499999999999998</v>
      </c>
    </row>
    <row r="214" spans="1:7" x14ac:dyDescent="0.25">
      <c r="A214" s="101" t="str">
        <f>'Data Vlaue (Cr)'!C210</f>
        <v>VOLTAS</v>
      </c>
      <c r="B214" s="144">
        <f>VLOOKUP($A214,'Data shares'!$C:$FA,7)</f>
        <v>1506.5</v>
      </c>
      <c r="C214" s="144">
        <f>VLOOKUP($A214,'Data shares'!$C:$FA,3)</f>
        <v>1507.2</v>
      </c>
      <c r="D214" s="144">
        <f>VLOOKUP($A214,'Data shares'!$C:$FA,23)</f>
        <v>0.7</v>
      </c>
      <c r="E214" s="145">
        <f>VLOOKUP($A214,'Data shares'!$C:$FA,26)*100</f>
        <v>0.05</v>
      </c>
      <c r="F214" s="144">
        <f>VLOOKUP($A214,'Data shares'!$C:$FA,24)</f>
        <v>4.8</v>
      </c>
      <c r="G214" s="144">
        <f>VLOOKUP($A214,'Data shares'!$C:$FA,25)</f>
        <v>-4.0999999999999996</v>
      </c>
    </row>
    <row r="215" spans="1:7" x14ac:dyDescent="0.25">
      <c r="A215" s="101" t="str">
        <f>'Data Vlaue (Cr)'!C211</f>
        <v>WAAREEENER</v>
      </c>
      <c r="B215" s="144">
        <f>VLOOKUP($A215,'Data shares'!$C:$FA,7)</f>
        <v>3177.6</v>
      </c>
      <c r="C215" s="144">
        <f>VLOOKUP($A215,'Data shares'!$C:$FA,3)</f>
        <v>3183.3</v>
      </c>
      <c r="D215" s="144">
        <f>VLOOKUP($A215,'Data shares'!$C:$FA,23)</f>
        <v>5.7</v>
      </c>
      <c r="E215" s="145">
        <f>VLOOKUP($A215,'Data shares'!$C:$FA,26)*100</f>
        <v>0.18</v>
      </c>
      <c r="F215" s="144">
        <f>VLOOKUP($A215,'Data shares'!$C:$FA,24)</f>
        <v>5.5</v>
      </c>
      <c r="G215" s="144">
        <f>VLOOKUP($A215,'Data shares'!$C:$FA,25)</f>
        <v>0.2</v>
      </c>
    </row>
    <row r="216" spans="1:7" x14ac:dyDescent="0.25">
      <c r="A216" s="101" t="str">
        <f>'Data Vlaue (Cr)'!C212</f>
        <v>WIPRO</v>
      </c>
      <c r="B216" s="144">
        <f>VLOOKUP($A216,'Data shares'!$C:$FA,7)</f>
        <v>229.81</v>
      </c>
      <c r="C216" s="144">
        <f>VLOOKUP($A216,'Data shares'!$C:$FA,3)</f>
        <v>229.9</v>
      </c>
      <c r="D216" s="144">
        <f>VLOOKUP($A216,'Data shares'!$C:$FA,23)</f>
        <v>0.09</v>
      </c>
      <c r="E216" s="145">
        <f>VLOOKUP($A216,'Data shares'!$C:$FA,26)*100</f>
        <v>0.04</v>
      </c>
      <c r="F216" s="144">
        <f>VLOOKUP($A216,'Data shares'!$C:$FA,24)</f>
        <v>0.03</v>
      </c>
      <c r="G216" s="144">
        <f>VLOOKUP($A216,'Data shares'!$C:$FA,25)</f>
        <v>0.06</v>
      </c>
    </row>
    <row r="217" spans="1:7" x14ac:dyDescent="0.25">
      <c r="A217" s="101" t="str">
        <f>'Data Vlaue (Cr)'!C213</f>
        <v>YESBANK</v>
      </c>
      <c r="B217" s="144">
        <f>VLOOKUP($A217,'Data shares'!$C:$FA,7)</f>
        <v>21.32</v>
      </c>
      <c r="C217" s="144">
        <f>VLOOKUP($A217,'Data shares'!$C:$FA,3)</f>
        <v>21.34</v>
      </c>
      <c r="D217" s="144">
        <f>VLOOKUP($A217,'Data shares'!$C:$FA,23)</f>
        <v>0.02</v>
      </c>
      <c r="E217" s="145">
        <f>VLOOKUP($A217,'Data shares'!$C:$FA,26)*100</f>
        <v>0.09</v>
      </c>
      <c r="F217" s="144">
        <f>VLOOKUP($A217,'Data shares'!$C:$FA,24)</f>
        <v>0.02</v>
      </c>
      <c r="G217" s="144">
        <f>VLOOKUP($A217,'Data shares'!$C:$FA,25)</f>
        <v>0</v>
      </c>
    </row>
    <row r="218" spans="1:7" x14ac:dyDescent="0.25">
      <c r="A218" s="101"/>
      <c r="B218" s="144"/>
      <c r="C218" s="144"/>
      <c r="D218" s="144"/>
      <c r="E218" s="145"/>
      <c r="F218" s="144"/>
      <c r="G218" s="144"/>
    </row>
    <row r="219" spans="1:7" x14ac:dyDescent="0.25">
      <c r="A219" s="101" t="str">
        <f>'Data Vlaue (Cr)'!C214</f>
        <v>ZYDUSLIFE</v>
      </c>
      <c r="B219" s="144">
        <f>VLOOKUP($A219,'Data shares'!$C:$FA,7)</f>
        <v>898.3</v>
      </c>
      <c r="C219" s="144">
        <f>VLOOKUP($A219,'Data shares'!$C:$FA,3)</f>
        <v>899.3</v>
      </c>
      <c r="D219" s="144">
        <f>VLOOKUP($A219,'Data shares'!$C:$FA,23)</f>
        <v>1</v>
      </c>
      <c r="E219" s="145">
        <f>VLOOKUP($A219,'Data shares'!$C:$FA,26)*100</f>
        <v>0.11</v>
      </c>
      <c r="F219" s="144">
        <f>VLOOKUP($A219,'Data shares'!$C:$FA,24)</f>
        <v>0.55000000000000004</v>
      </c>
      <c r="G219" s="144">
        <f>VLOOKUP($A219,'Data shares'!$C:$FA,25)</f>
        <v>0.45</v>
      </c>
    </row>
    <row r="220" spans="1:7" x14ac:dyDescent="0.25">
      <c r="A220">
        <f>'Data Vlaue (Cr)'!C215</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0"/>
  <sheetViews>
    <sheetView workbookViewId="0">
      <pane ySplit="6" topLeftCell="A140" activePane="bottomLeft" state="frozen"/>
      <selection pane="bottomLeft" activeCell="A145" sqref="A145"/>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4" t="s">
        <v>370</v>
      </c>
      <c r="B3" s="315"/>
      <c r="C3" s="315"/>
      <c r="D3" s="315"/>
      <c r="E3" s="315"/>
      <c r="F3" s="315"/>
      <c r="G3" s="316"/>
    </row>
    <row r="4" spans="1:7" x14ac:dyDescent="0.25">
      <c r="A4" s="318" t="s">
        <v>318</v>
      </c>
      <c r="B4" s="242" t="s">
        <v>371</v>
      </c>
      <c r="C4" s="242"/>
      <c r="D4" s="242"/>
      <c r="E4" s="242"/>
      <c r="F4" s="242"/>
      <c r="G4" s="242"/>
    </row>
    <row r="5" spans="1:7" x14ac:dyDescent="0.25">
      <c r="A5" s="319"/>
      <c r="B5" s="317" t="s">
        <v>372</v>
      </c>
      <c r="C5" s="317"/>
      <c r="D5" s="317"/>
      <c r="E5" s="317" t="s">
        <v>373</v>
      </c>
      <c r="F5" s="317"/>
      <c r="G5" s="317"/>
    </row>
    <row r="6" spans="1:7" x14ac:dyDescent="0.25">
      <c r="A6" s="242"/>
      <c r="B6" s="2" t="s">
        <v>374</v>
      </c>
      <c r="C6" s="2" t="s">
        <v>375</v>
      </c>
      <c r="D6" s="2" t="s">
        <v>376</v>
      </c>
      <c r="E6" s="2" t="s">
        <v>377</v>
      </c>
      <c r="F6" s="2" t="s">
        <v>378</v>
      </c>
      <c r="G6" s="2" t="s">
        <v>379</v>
      </c>
    </row>
    <row r="7" spans="1:7" x14ac:dyDescent="0.25">
      <c r="A7" s="49" t="str">
        <f>'Data Vlaue (Cr)'!C2</f>
        <v>360ONE</v>
      </c>
      <c r="B7" s="50">
        <f>VLOOKUP($A7,'Data shares'!$C:$FM,102)</f>
        <v>29.59</v>
      </c>
      <c r="C7" s="50">
        <f>VLOOKUP($A7,'Data shares'!$C:$FM,110)</f>
        <v>28.93</v>
      </c>
      <c r="D7" s="50">
        <f>VLOOKUP($A7,'Data shares'!$C:$FM,114)</f>
        <v>30.96</v>
      </c>
      <c r="E7" s="50">
        <f>VLOOKUP($A7,'Data shares'!$C:$FM,106)</f>
        <v>42.52</v>
      </c>
      <c r="F7" s="50">
        <f>VLOOKUP($A7,'Data shares'!$C:$FM,108)</f>
        <v>-12.93</v>
      </c>
      <c r="G7" s="50">
        <f t="shared" ref="G7:G38" si="0">B7/E7</f>
        <v>0.69590780809031039</v>
      </c>
    </row>
    <row r="8" spans="1:7" x14ac:dyDescent="0.25">
      <c r="A8" s="49" t="str">
        <f>'Data Vlaue (Cr)'!C3</f>
        <v>ABB</v>
      </c>
      <c r="B8" s="50">
        <f>VLOOKUP($A8,'Data shares'!$C:$FM,102)</f>
        <v>35.81</v>
      </c>
      <c r="C8" s="50">
        <f>VLOOKUP($A8,'Data shares'!$C:$FM,110)</f>
        <v>34.72</v>
      </c>
      <c r="D8" s="50">
        <f>VLOOKUP($A8,'Data shares'!$C:$FM,114)</f>
        <v>36.89</v>
      </c>
      <c r="E8" s="50">
        <f>VLOOKUP($A8,'Data shares'!$C:$FM,106)</f>
        <v>36.479999999999997</v>
      </c>
      <c r="F8" s="50">
        <f>VLOOKUP($A8,'Data shares'!$C:$FM,108)</f>
        <v>-0.67</v>
      </c>
      <c r="G8" s="50">
        <f t="shared" si="0"/>
        <v>0.98163377192982471</v>
      </c>
    </row>
    <row r="9" spans="1:7" x14ac:dyDescent="0.25">
      <c r="A9" s="49" t="str">
        <f>'Data Vlaue (Cr)'!C4</f>
        <v>ABCAPITAL</v>
      </c>
      <c r="B9" s="50">
        <f>VLOOKUP($A9,'Data shares'!$C:$FM,102)</f>
        <v>37.72</v>
      </c>
      <c r="C9" s="50">
        <f>VLOOKUP($A9,'Data shares'!$C:$FM,110)</f>
        <v>37.86</v>
      </c>
      <c r="D9" s="50">
        <f>VLOOKUP($A9,'Data shares'!$C:$FM,114)</f>
        <v>37.409999999999997</v>
      </c>
      <c r="E9" s="50">
        <f>VLOOKUP($A9,'Data shares'!$C:$FM,106)</f>
        <v>37.35</v>
      </c>
      <c r="F9" s="50">
        <f>VLOOKUP($A9,'Data shares'!$C:$FM,108)</f>
        <v>0.37</v>
      </c>
      <c r="G9" s="50">
        <f t="shared" si="0"/>
        <v>1.0099062918340027</v>
      </c>
    </row>
    <row r="10" spans="1:7" x14ac:dyDescent="0.25">
      <c r="A10" s="49" t="str">
        <f>'Data Vlaue (Cr)'!C5</f>
        <v>ADANIENSOL</v>
      </c>
      <c r="B10" s="50">
        <f>VLOOKUP($A10,'Data shares'!$C:$FM,102)</f>
        <v>40.659999999999997</v>
      </c>
      <c r="C10" s="50">
        <f>VLOOKUP($A10,'Data shares'!$C:$FM,110)</f>
        <v>37.86</v>
      </c>
      <c r="D10" s="50">
        <f>VLOOKUP($A10,'Data shares'!$C:$FM,114)</f>
        <v>44.54</v>
      </c>
      <c r="E10" s="50">
        <f>VLOOKUP($A10,'Data shares'!$C:$FM,106)</f>
        <v>55.08</v>
      </c>
      <c r="F10" s="50">
        <f>VLOOKUP($A10,'Data shares'!$C:$FM,108)</f>
        <v>-14.42</v>
      </c>
      <c r="G10" s="50">
        <f t="shared" si="0"/>
        <v>0.73819898329702249</v>
      </c>
    </row>
    <row r="11" spans="1:7" x14ac:dyDescent="0.25">
      <c r="A11" s="49" t="str">
        <f>'Data Vlaue (Cr)'!C6</f>
        <v>ADANIENT</v>
      </c>
      <c r="B11" s="50">
        <f>VLOOKUP($A11,'Data shares'!$C:$FM,102)</f>
        <v>38.020000000000003</v>
      </c>
      <c r="C11" s="50">
        <f>VLOOKUP($A11,'Data shares'!$C:$FM,110)</f>
        <v>36.29</v>
      </c>
      <c r="D11" s="50">
        <f>VLOOKUP($A11,'Data shares'!$C:$FM,114)</f>
        <v>40.33</v>
      </c>
      <c r="E11" s="50">
        <f>VLOOKUP($A11,'Data shares'!$C:$FM,106)</f>
        <v>49.29</v>
      </c>
      <c r="F11" s="50">
        <f>VLOOKUP($A11,'Data shares'!$C:$FM,108)</f>
        <v>-11.27</v>
      </c>
      <c r="G11" s="50">
        <f t="shared" si="0"/>
        <v>0.77135321566240622</v>
      </c>
    </row>
    <row r="12" spans="1:7" x14ac:dyDescent="0.25">
      <c r="A12" s="49" t="str">
        <f>'Data Vlaue (Cr)'!C7</f>
        <v>ADANIGREEN</v>
      </c>
      <c r="B12" s="50">
        <f>VLOOKUP($A12,'Data shares'!$C:$FM,102)</f>
        <v>38.049999999999997</v>
      </c>
      <c r="C12" s="50">
        <f>VLOOKUP($A12,'Data shares'!$C:$FM,110)</f>
        <v>36.25</v>
      </c>
      <c r="D12" s="50">
        <f>VLOOKUP($A12,'Data shares'!$C:$FM,114)</f>
        <v>41.84</v>
      </c>
      <c r="E12" s="50">
        <f>VLOOKUP($A12,'Data shares'!$C:$FM,106)</f>
        <v>58.82</v>
      </c>
      <c r="F12" s="50">
        <f>VLOOKUP($A12,'Data shares'!$C:$FM,108)</f>
        <v>-20.77</v>
      </c>
      <c r="G12" s="50">
        <f t="shared" si="0"/>
        <v>0.64688881332879966</v>
      </c>
    </row>
    <row r="13" spans="1:7" x14ac:dyDescent="0.25">
      <c r="A13" s="49" t="str">
        <f>'Data Vlaue (Cr)'!C8</f>
        <v>ADANIPORTS</v>
      </c>
      <c r="B13" s="50">
        <f>VLOOKUP($A13,'Data shares'!$C:$FM,102)</f>
        <v>28.83</v>
      </c>
      <c r="C13" s="50">
        <f>VLOOKUP($A13,'Data shares'!$C:$FM,110)</f>
        <v>27.47</v>
      </c>
      <c r="D13" s="50">
        <f>VLOOKUP($A13,'Data shares'!$C:$FM,114)</f>
        <v>30.31</v>
      </c>
      <c r="E13" s="50">
        <f>VLOOKUP($A13,'Data shares'!$C:$FM,106)</f>
        <v>38.869999999999997</v>
      </c>
      <c r="F13" s="50">
        <f>VLOOKUP($A13,'Data shares'!$C:$FM,108)</f>
        <v>-10.039999999999999</v>
      </c>
      <c r="G13" s="50">
        <f t="shared" si="0"/>
        <v>0.74170311294057112</v>
      </c>
    </row>
    <row r="14" spans="1:7" x14ac:dyDescent="0.25">
      <c r="A14" s="49" t="str">
        <f>'Data Vlaue (Cr)'!C9</f>
        <v>ALKEM</v>
      </c>
      <c r="B14" s="50">
        <f>VLOOKUP($A14,'Data shares'!$C:$FM,102)</f>
        <v>37.299999999999997</v>
      </c>
      <c r="C14" s="50">
        <f>VLOOKUP($A14,'Data shares'!$C:$FM,110)</f>
        <v>35.58</v>
      </c>
      <c r="D14" s="50">
        <f>VLOOKUP($A14,'Data shares'!$C:$FM,114)</f>
        <v>41.03</v>
      </c>
      <c r="E14" s="50">
        <f>VLOOKUP($A14,'Data shares'!$C:$FM,106)</f>
        <v>25.53</v>
      </c>
      <c r="F14" s="50">
        <f>VLOOKUP($A14,'Data shares'!$C:$FM,108)</f>
        <v>11.77</v>
      </c>
      <c r="G14" s="50">
        <f t="shared" si="0"/>
        <v>1.461026243634939</v>
      </c>
    </row>
    <row r="15" spans="1:7" x14ac:dyDescent="0.25">
      <c r="A15" s="49" t="str">
        <f>'Data Vlaue (Cr)'!C10</f>
        <v>AMBER</v>
      </c>
      <c r="B15" s="50">
        <f>VLOOKUP($A15,'Data shares'!$C:$FM,102)</f>
        <v>43.25</v>
      </c>
      <c r="C15" s="50">
        <f>VLOOKUP($A15,'Data shares'!$C:$FM,110)</f>
        <v>38.79</v>
      </c>
      <c r="D15" s="50">
        <f>VLOOKUP($A15,'Data shares'!$C:$FM,114)</f>
        <v>49.96</v>
      </c>
      <c r="E15" s="50">
        <f>VLOOKUP($A15,'Data shares'!$C:$FM,106)</f>
        <v>51.91</v>
      </c>
      <c r="F15" s="50">
        <f>VLOOKUP($A15,'Data shares'!$C:$FM,108)</f>
        <v>-8.66</v>
      </c>
      <c r="G15" s="50">
        <f t="shared" si="0"/>
        <v>0.83317279907532271</v>
      </c>
    </row>
    <row r="16" spans="1:7" x14ac:dyDescent="0.25">
      <c r="A16" s="49" t="str">
        <f>'Data Vlaue (Cr)'!C11</f>
        <v>AMBUJACEM</v>
      </c>
      <c r="B16" s="50">
        <f>VLOOKUP($A16,'Data shares'!$C:$FM,102)</f>
        <v>24.35</v>
      </c>
      <c r="C16" s="50">
        <f>VLOOKUP($A16,'Data shares'!$C:$FM,110)</f>
        <v>23.87</v>
      </c>
      <c r="D16" s="50">
        <f>VLOOKUP($A16,'Data shares'!$C:$FM,114)</f>
        <v>25.58</v>
      </c>
      <c r="E16" s="50">
        <f>VLOOKUP($A16,'Data shares'!$C:$FM,106)</f>
        <v>32.74</v>
      </c>
      <c r="F16" s="50">
        <f>VLOOKUP($A16,'Data shares'!$C:$FM,108)</f>
        <v>-8.39</v>
      </c>
      <c r="G16" s="50">
        <f t="shared" si="0"/>
        <v>0.74373854612095291</v>
      </c>
    </row>
    <row r="17" spans="1:7" x14ac:dyDescent="0.25">
      <c r="A17" s="49" t="str">
        <f>'Data Vlaue (Cr)'!C12</f>
        <v>ANGELONE</v>
      </c>
      <c r="B17" s="50">
        <f>VLOOKUP($A17,'Data shares'!$C:$FM,102)</f>
        <v>41.1</v>
      </c>
      <c r="C17" s="50">
        <f>VLOOKUP($A17,'Data shares'!$C:$FM,110)</f>
        <v>39.35</v>
      </c>
      <c r="D17" s="50">
        <f>VLOOKUP($A17,'Data shares'!$C:$FM,114)</f>
        <v>44.09</v>
      </c>
      <c r="E17" s="50">
        <f>VLOOKUP($A17,'Data shares'!$C:$FM,106)</f>
        <v>54.51</v>
      </c>
      <c r="F17" s="50">
        <f>VLOOKUP($A17,'Data shares'!$C:$FM,108)</f>
        <v>-13.41</v>
      </c>
      <c r="G17" s="50">
        <f t="shared" si="0"/>
        <v>0.75399009356081459</v>
      </c>
    </row>
    <row r="18" spans="1:7" x14ac:dyDescent="0.25">
      <c r="A18" s="49" t="str">
        <f>'Data Vlaue (Cr)'!C13</f>
        <v>APLAPOLLO</v>
      </c>
      <c r="B18" s="50">
        <f>VLOOKUP($A18,'Data shares'!$C:$FM,102)</f>
        <v>27.36</v>
      </c>
      <c r="C18" s="50">
        <f>VLOOKUP($A18,'Data shares'!$C:$FM,110)</f>
        <v>24.41</v>
      </c>
      <c r="D18" s="50">
        <f>VLOOKUP($A18,'Data shares'!$C:$FM,114)</f>
        <v>31.5</v>
      </c>
      <c r="E18" s="50">
        <f>VLOOKUP($A18,'Data shares'!$C:$FM,106)</f>
        <v>32.17</v>
      </c>
      <c r="F18" s="50">
        <f>VLOOKUP($A18,'Data shares'!$C:$FM,108)</f>
        <v>-4.8099999999999996</v>
      </c>
      <c r="G18" s="50">
        <f t="shared" si="0"/>
        <v>0.8504818153559216</v>
      </c>
    </row>
    <row r="19" spans="1:7" x14ac:dyDescent="0.25">
      <c r="A19" s="49" t="str">
        <f>'Data Vlaue (Cr)'!C14</f>
        <v>APOLLOHOSP</v>
      </c>
      <c r="B19" s="50">
        <f>VLOOKUP($A19,'Data shares'!$C:$FM,102)</f>
        <v>23.19</v>
      </c>
      <c r="C19" s="50">
        <f>VLOOKUP($A19,'Data shares'!$C:$FM,110)</f>
        <v>23.26</v>
      </c>
      <c r="D19" s="50">
        <f>VLOOKUP($A19,'Data shares'!$C:$FM,114)</f>
        <v>23.03</v>
      </c>
      <c r="E19" s="50">
        <f>VLOOKUP($A19,'Data shares'!$C:$FM,106)</f>
        <v>25.23</v>
      </c>
      <c r="F19" s="50">
        <f>VLOOKUP($A19,'Data shares'!$C:$FM,108)</f>
        <v>-2.04</v>
      </c>
      <c r="G19" s="50">
        <f t="shared" si="0"/>
        <v>0.91914387633769323</v>
      </c>
    </row>
    <row r="20" spans="1:7" x14ac:dyDescent="0.25">
      <c r="A20" s="49" t="str">
        <f>'Data Vlaue (Cr)'!C15</f>
        <v>ASHOKLEY</v>
      </c>
      <c r="B20" s="50">
        <f>VLOOKUP($A20,'Data shares'!$C:$FM,102)</f>
        <v>38.35</v>
      </c>
      <c r="C20" s="50">
        <f>VLOOKUP($A20,'Data shares'!$C:$FM,110)</f>
        <v>38.39</v>
      </c>
      <c r="D20" s="50">
        <f>VLOOKUP($A20,'Data shares'!$C:$FM,114)</f>
        <v>38.28</v>
      </c>
      <c r="E20" s="50">
        <f>VLOOKUP($A20,'Data shares'!$C:$FM,106)</f>
        <v>35.29</v>
      </c>
      <c r="F20" s="50">
        <f>VLOOKUP($A20,'Data shares'!$C:$FM,108)</f>
        <v>3.06</v>
      </c>
      <c r="G20" s="50">
        <f t="shared" si="0"/>
        <v>1.0867101161802211</v>
      </c>
    </row>
    <row r="21" spans="1:7" x14ac:dyDescent="0.25">
      <c r="A21" s="49" t="str">
        <f>'Data Vlaue (Cr)'!C16</f>
        <v>ASIANPAINT</v>
      </c>
      <c r="B21" s="50">
        <f>VLOOKUP($A21,'Data shares'!$C:$FM,102)</f>
        <v>23.83</v>
      </c>
      <c r="C21" s="50">
        <f>VLOOKUP($A21,'Data shares'!$C:$FM,110)</f>
        <v>24.24</v>
      </c>
      <c r="D21" s="50">
        <f>VLOOKUP($A21,'Data shares'!$C:$FM,114)</f>
        <v>22.82</v>
      </c>
      <c r="E21" s="50">
        <f>VLOOKUP($A21,'Data shares'!$C:$FM,106)</f>
        <v>26.54</v>
      </c>
      <c r="F21" s="50">
        <f>VLOOKUP($A21,'Data shares'!$C:$FM,108)</f>
        <v>-2.71</v>
      </c>
      <c r="G21" s="50">
        <f t="shared" si="0"/>
        <v>0.89788997739261489</v>
      </c>
    </row>
    <row r="22" spans="1:7" x14ac:dyDescent="0.25">
      <c r="A22" s="49" t="str">
        <f>'Data Vlaue (Cr)'!C17</f>
        <v>ASTRAL</v>
      </c>
      <c r="B22" s="50">
        <f>VLOOKUP($A22,'Data shares'!$C:$FM,102)</f>
        <v>33.81</v>
      </c>
      <c r="C22" s="50">
        <f>VLOOKUP($A22,'Data shares'!$C:$FM,110)</f>
        <v>33.21</v>
      </c>
      <c r="D22" s="50">
        <f>VLOOKUP($A22,'Data shares'!$C:$FM,114)</f>
        <v>35.94</v>
      </c>
      <c r="E22" s="50">
        <f>VLOOKUP($A22,'Data shares'!$C:$FM,106)</f>
        <v>34.909999999999997</v>
      </c>
      <c r="F22" s="50">
        <f>VLOOKUP($A22,'Data shares'!$C:$FM,108)</f>
        <v>-1.1000000000000001</v>
      </c>
      <c r="G22" s="50">
        <f t="shared" si="0"/>
        <v>0.96849040389573204</v>
      </c>
    </row>
    <row r="23" spans="1:7" x14ac:dyDescent="0.25">
      <c r="A23" s="49" t="str">
        <f>'Data Vlaue (Cr)'!C18</f>
        <v>AUBANK</v>
      </c>
      <c r="B23" s="50">
        <f>VLOOKUP($A23,'Data shares'!$C:$FM,102)</f>
        <v>27.03</v>
      </c>
      <c r="C23" s="50">
        <f>VLOOKUP($A23,'Data shares'!$C:$FM,110)</f>
        <v>26.87</v>
      </c>
      <c r="D23" s="50">
        <f>VLOOKUP($A23,'Data shares'!$C:$FM,114)</f>
        <v>27.32</v>
      </c>
      <c r="E23" s="50">
        <f>VLOOKUP($A23,'Data shares'!$C:$FM,106)</f>
        <v>34.47</v>
      </c>
      <c r="F23" s="50">
        <f>VLOOKUP($A23,'Data shares'!$C:$FM,108)</f>
        <v>-7.44</v>
      </c>
      <c r="G23" s="50">
        <f t="shared" si="0"/>
        <v>0.78416013925152317</v>
      </c>
    </row>
    <row r="24" spans="1:7" x14ac:dyDescent="0.25">
      <c r="A24" s="49" t="str">
        <f>'Data Vlaue (Cr)'!C19</f>
        <v>AUROPHARMA</v>
      </c>
      <c r="B24" s="50">
        <f>VLOOKUP($A24,'Data shares'!$C:$FM,102)</f>
        <v>35.49</v>
      </c>
      <c r="C24" s="50">
        <f>VLOOKUP($A24,'Data shares'!$C:$FM,110)</f>
        <v>34.799999999999997</v>
      </c>
      <c r="D24" s="50">
        <f>VLOOKUP($A24,'Data shares'!$C:$FM,114)</f>
        <v>36.89</v>
      </c>
      <c r="E24" s="50">
        <f>VLOOKUP($A24,'Data shares'!$C:$FM,106)</f>
        <v>34.119999999999997</v>
      </c>
      <c r="F24" s="50">
        <f>VLOOKUP($A24,'Data shares'!$C:$FM,108)</f>
        <v>1.37</v>
      </c>
      <c r="G24" s="50">
        <f t="shared" si="0"/>
        <v>1.0401524032825324</v>
      </c>
    </row>
    <row r="25" spans="1:7" x14ac:dyDescent="0.25">
      <c r="A25" s="49" t="str">
        <f>'Data Vlaue (Cr)'!C20</f>
        <v>AXISBANK</v>
      </c>
      <c r="B25" s="50">
        <f>VLOOKUP($A25,'Data shares'!$C:$FM,102)</f>
        <v>21.6</v>
      </c>
      <c r="C25" s="50">
        <f>VLOOKUP($A25,'Data shares'!$C:$FM,110)</f>
        <v>19.45</v>
      </c>
      <c r="D25" s="50">
        <f>VLOOKUP($A25,'Data shares'!$C:$FM,114)</f>
        <v>24.53</v>
      </c>
      <c r="E25" s="50">
        <f>VLOOKUP($A25,'Data shares'!$C:$FM,106)</f>
        <v>26.78</v>
      </c>
      <c r="F25" s="50">
        <f>VLOOKUP($A25,'Data shares'!$C:$FM,108)</f>
        <v>-5.18</v>
      </c>
      <c r="G25" s="50">
        <f t="shared" si="0"/>
        <v>0.80657206870799103</v>
      </c>
    </row>
    <row r="26" spans="1:7" x14ac:dyDescent="0.25">
      <c r="A26" s="49" t="str">
        <f>'Data Vlaue (Cr)'!C21</f>
        <v>BAJAJ-AUTO</v>
      </c>
      <c r="B26" s="50">
        <f>VLOOKUP($A26,'Data shares'!$C:$FM,102)</f>
        <v>22.99</v>
      </c>
      <c r="C26" s="50">
        <f>VLOOKUP($A26,'Data shares'!$C:$FM,110)</f>
        <v>22.15</v>
      </c>
      <c r="D26" s="50">
        <f>VLOOKUP($A26,'Data shares'!$C:$FM,114)</f>
        <v>25.07</v>
      </c>
      <c r="E26" s="50">
        <f>VLOOKUP($A26,'Data shares'!$C:$FM,106)</f>
        <v>27.4</v>
      </c>
      <c r="F26" s="50">
        <f>VLOOKUP($A26,'Data shares'!$C:$FM,108)</f>
        <v>-4.41</v>
      </c>
      <c r="G26" s="50">
        <f t="shared" si="0"/>
        <v>0.83905109489051088</v>
      </c>
    </row>
    <row r="27" spans="1:7" x14ac:dyDescent="0.25">
      <c r="A27" s="49" t="str">
        <f>'Data Vlaue (Cr)'!C22</f>
        <v>BAJAJFINSV</v>
      </c>
      <c r="B27" s="50">
        <f>VLOOKUP($A27,'Data shares'!$C:$FM,102)</f>
        <v>19.989999999999998</v>
      </c>
      <c r="C27" s="50">
        <f>VLOOKUP($A27,'Data shares'!$C:$FM,110)</f>
        <v>19.72</v>
      </c>
      <c r="D27" s="50">
        <f>VLOOKUP($A27,'Data shares'!$C:$FM,114)</f>
        <v>20.68</v>
      </c>
      <c r="E27" s="50">
        <f>VLOOKUP($A27,'Data shares'!$C:$FM,106)</f>
        <v>27.97</v>
      </c>
      <c r="F27" s="50">
        <f>VLOOKUP($A27,'Data shares'!$C:$FM,108)</f>
        <v>-7.98</v>
      </c>
      <c r="G27" s="50">
        <f t="shared" si="0"/>
        <v>0.71469431533786199</v>
      </c>
    </row>
    <row r="28" spans="1:7" x14ac:dyDescent="0.25">
      <c r="A28" s="49" t="str">
        <f>'Data Vlaue (Cr)'!C23</f>
        <v>BAJAJHLDNG</v>
      </c>
      <c r="B28" s="50">
        <f>VLOOKUP($A28,'Data shares'!$C:$FM,102)</f>
        <v>29.3</v>
      </c>
      <c r="C28" s="50">
        <f>VLOOKUP($A28,'Data shares'!$C:$FM,110)</f>
        <v>29.32</v>
      </c>
      <c r="D28" s="50">
        <f>VLOOKUP($A28,'Data shares'!$C:$FM,114)</f>
        <v>29.09</v>
      </c>
      <c r="E28" s="50">
        <f>VLOOKUP($A28,'Data shares'!$C:$FM,106)</f>
        <v>37.520000000000003</v>
      </c>
      <c r="F28" s="50">
        <f>VLOOKUP($A28,'Data shares'!$C:$FM,108)</f>
        <v>-8.2200000000000006</v>
      </c>
      <c r="G28" s="50">
        <f t="shared" si="0"/>
        <v>0.78091684434968012</v>
      </c>
    </row>
    <row r="29" spans="1:7" x14ac:dyDescent="0.25">
      <c r="A29" s="49" t="str">
        <f>'Data Vlaue (Cr)'!C24</f>
        <v>BAJFINANCE</v>
      </c>
      <c r="B29" s="50">
        <f>VLOOKUP($A29,'Data shares'!$C:$FM,102)</f>
        <v>25.19</v>
      </c>
      <c r="C29" s="50">
        <f>VLOOKUP($A29,'Data shares'!$C:$FM,110)</f>
        <v>24.81</v>
      </c>
      <c r="D29" s="50">
        <f>VLOOKUP($A29,'Data shares'!$C:$FM,114)</f>
        <v>25.83</v>
      </c>
      <c r="E29" s="50">
        <f>VLOOKUP($A29,'Data shares'!$C:$FM,106)</f>
        <v>31.59</v>
      </c>
      <c r="F29" s="50">
        <f>VLOOKUP($A29,'Data shares'!$C:$FM,108)</f>
        <v>-6.4</v>
      </c>
      <c r="G29" s="50">
        <f t="shared" si="0"/>
        <v>0.7974042418486863</v>
      </c>
    </row>
    <row r="30" spans="1:7" x14ac:dyDescent="0.25">
      <c r="A30" s="49" t="str">
        <f>'Data Vlaue (Cr)'!C25</f>
        <v>BANDHANBNK</v>
      </c>
      <c r="B30" s="50">
        <f>VLOOKUP($A30,'Data shares'!$C:$FM,102)</f>
        <v>34.64</v>
      </c>
      <c r="C30" s="50">
        <f>VLOOKUP($A30,'Data shares'!$C:$FM,110)</f>
        <v>33.97</v>
      </c>
      <c r="D30" s="50">
        <f>VLOOKUP($A30,'Data shares'!$C:$FM,114)</f>
        <v>35.700000000000003</v>
      </c>
      <c r="E30" s="50">
        <f>VLOOKUP($A30,'Data shares'!$C:$FM,106)</f>
        <v>41.22</v>
      </c>
      <c r="F30" s="50">
        <f>VLOOKUP($A30,'Data shares'!$C:$FM,108)</f>
        <v>-6.58</v>
      </c>
      <c r="G30" s="50">
        <f t="shared" si="0"/>
        <v>0.84036875303250858</v>
      </c>
    </row>
    <row r="31" spans="1:7" x14ac:dyDescent="0.25">
      <c r="A31" s="49" t="str">
        <f>'Data Vlaue (Cr)'!C26</f>
        <v>BANKBARODA</v>
      </c>
      <c r="B31" s="50">
        <f>VLOOKUP($A31,'Data shares'!$C:$FM,102)</f>
        <v>30.38</v>
      </c>
      <c r="C31" s="50">
        <f>VLOOKUP($A31,'Data shares'!$C:$FM,110)</f>
        <v>30.69</v>
      </c>
      <c r="D31" s="50">
        <f>VLOOKUP($A31,'Data shares'!$C:$FM,114)</f>
        <v>29.54</v>
      </c>
      <c r="E31" s="50">
        <f>VLOOKUP($A31,'Data shares'!$C:$FM,106)</f>
        <v>34</v>
      </c>
      <c r="F31" s="50">
        <f>VLOOKUP($A31,'Data shares'!$C:$FM,108)</f>
        <v>-3.62</v>
      </c>
      <c r="G31" s="50">
        <f t="shared" si="0"/>
        <v>0.89352941176470591</v>
      </c>
    </row>
    <row r="32" spans="1:7" x14ac:dyDescent="0.25">
      <c r="A32" s="49" t="str">
        <f>'Data Vlaue (Cr)'!C27</f>
        <v>BANKINDIA</v>
      </c>
      <c r="B32" s="50">
        <f>VLOOKUP($A32,'Data shares'!$C:$FM,102)</f>
        <v>36.26</v>
      </c>
      <c r="C32" s="50">
        <f>VLOOKUP($A32,'Data shares'!$C:$FM,110)</f>
        <v>35.880000000000003</v>
      </c>
      <c r="D32" s="50">
        <f>VLOOKUP($A32,'Data shares'!$C:$FM,114)</f>
        <v>36.979999999999997</v>
      </c>
      <c r="E32" s="50">
        <f>VLOOKUP($A32,'Data shares'!$C:$FM,106)</f>
        <v>40.5</v>
      </c>
      <c r="F32" s="50">
        <f>VLOOKUP($A32,'Data shares'!$C:$FM,108)</f>
        <v>-4.24</v>
      </c>
      <c r="G32" s="50">
        <f t="shared" si="0"/>
        <v>0.89530864197530857</v>
      </c>
    </row>
    <row r="33" spans="1:7" x14ac:dyDescent="0.25">
      <c r="A33" s="49" t="str">
        <f>'Data Vlaue (Cr)'!C28</f>
        <v>BANKNIFTY</v>
      </c>
      <c r="B33" s="50">
        <f>VLOOKUP($A33,'Data shares'!$C:$FM,102)</f>
        <v>11.49</v>
      </c>
      <c r="C33" s="50">
        <f>VLOOKUP($A33,'Data shares'!$C:$FM,110)</f>
        <v>10.51</v>
      </c>
      <c r="D33" s="50">
        <f>VLOOKUP($A33,'Data shares'!$C:$FM,114)</f>
        <v>12.37</v>
      </c>
      <c r="E33" s="50">
        <f>VLOOKUP($A33,'Data shares'!$C:$FM,106)</f>
        <v>15.76</v>
      </c>
      <c r="F33" s="50">
        <f>VLOOKUP($A33,'Data shares'!$C:$FM,108)</f>
        <v>-4.2699999999999996</v>
      </c>
      <c r="G33" s="50">
        <f t="shared" si="0"/>
        <v>0.72906091370558379</v>
      </c>
    </row>
    <row r="34" spans="1:7" x14ac:dyDescent="0.25">
      <c r="A34" s="49" t="str">
        <f>'Data Vlaue (Cr)'!C29</f>
        <v>BDL</v>
      </c>
      <c r="B34" s="50">
        <f>VLOOKUP($A34,'Data shares'!$C:$FM,102)</f>
        <v>46.36</v>
      </c>
      <c r="C34" s="50">
        <f>VLOOKUP($A34,'Data shares'!$C:$FM,110)</f>
        <v>47.38</v>
      </c>
      <c r="D34" s="50">
        <f>VLOOKUP($A34,'Data shares'!$C:$FM,114)</f>
        <v>41.8</v>
      </c>
      <c r="E34" s="50">
        <f>VLOOKUP($A34,'Data shares'!$C:$FM,106)</f>
        <v>52.09</v>
      </c>
      <c r="F34" s="50">
        <f>VLOOKUP($A34,'Data shares'!$C:$FM,108)</f>
        <v>-5.73</v>
      </c>
      <c r="G34" s="50">
        <f t="shared" si="0"/>
        <v>0.88999808024572846</v>
      </c>
    </row>
    <row r="35" spans="1:7" x14ac:dyDescent="0.25">
      <c r="A35" s="49" t="str">
        <f>'Data Vlaue (Cr)'!C30</f>
        <v>BEL</v>
      </c>
      <c r="B35" s="50">
        <f>VLOOKUP($A35,'Data shares'!$C:$FM,102)</f>
        <v>34</v>
      </c>
      <c r="C35" s="50">
        <f>VLOOKUP($A35,'Data shares'!$C:$FM,110)</f>
        <v>34.9</v>
      </c>
      <c r="D35" s="50">
        <f>VLOOKUP($A35,'Data shares'!$C:$FM,114)</f>
        <v>31.27</v>
      </c>
      <c r="E35" s="50">
        <f>VLOOKUP($A35,'Data shares'!$C:$FM,106)</f>
        <v>37.1</v>
      </c>
      <c r="F35" s="50">
        <f>VLOOKUP($A35,'Data shares'!$C:$FM,108)</f>
        <v>-3.1</v>
      </c>
      <c r="G35" s="50">
        <f t="shared" si="0"/>
        <v>0.9164420485175202</v>
      </c>
    </row>
    <row r="36" spans="1:7" x14ac:dyDescent="0.25">
      <c r="A36" s="49" t="str">
        <f>'Data Vlaue (Cr)'!C31</f>
        <v>BHARATFORG</v>
      </c>
      <c r="B36" s="50">
        <f>VLOOKUP($A36,'Data shares'!$C:$FM,102)</f>
        <v>44.65</v>
      </c>
      <c r="C36" s="50">
        <f>VLOOKUP($A36,'Data shares'!$C:$FM,110)</f>
        <v>44.45</v>
      </c>
      <c r="D36" s="50">
        <f>VLOOKUP($A36,'Data shares'!$C:$FM,114)</f>
        <v>45.25</v>
      </c>
      <c r="E36" s="50">
        <f>VLOOKUP($A36,'Data shares'!$C:$FM,106)</f>
        <v>37.869999999999997</v>
      </c>
      <c r="F36" s="50">
        <f>VLOOKUP($A36,'Data shares'!$C:$FM,108)</f>
        <v>6.78</v>
      </c>
      <c r="G36" s="50">
        <f t="shared" si="0"/>
        <v>1.179033535780301</v>
      </c>
    </row>
    <row r="37" spans="1:7" x14ac:dyDescent="0.25">
      <c r="A37" s="49" t="str">
        <f>'Data Vlaue (Cr)'!C32</f>
        <v>BHARTIARTL</v>
      </c>
      <c r="B37" s="50">
        <f>VLOOKUP($A37,'Data shares'!$C:$FM,102)</f>
        <v>19.05</v>
      </c>
      <c r="C37" s="50">
        <f>VLOOKUP($A37,'Data shares'!$C:$FM,110)</f>
        <v>18.88</v>
      </c>
      <c r="D37" s="50">
        <f>VLOOKUP($A37,'Data shares'!$C:$FM,114)</f>
        <v>19.36</v>
      </c>
      <c r="E37" s="50">
        <f>VLOOKUP($A37,'Data shares'!$C:$FM,106)</f>
        <v>23.68</v>
      </c>
      <c r="F37" s="50">
        <f>VLOOKUP($A37,'Data shares'!$C:$FM,108)</f>
        <v>-4.63</v>
      </c>
      <c r="G37" s="50">
        <f t="shared" si="0"/>
        <v>0.80447635135135143</v>
      </c>
    </row>
    <row r="38" spans="1:7" x14ac:dyDescent="0.25">
      <c r="A38" s="49" t="str">
        <f>'Data Vlaue (Cr)'!C33</f>
        <v>BHEL</v>
      </c>
      <c r="B38" s="50">
        <f>VLOOKUP($A38,'Data shares'!$C:$FM,102)</f>
        <v>36.19</v>
      </c>
      <c r="C38" s="50">
        <f>VLOOKUP($A38,'Data shares'!$C:$FM,110)</f>
        <v>36.86</v>
      </c>
      <c r="D38" s="50">
        <f>VLOOKUP($A38,'Data shares'!$C:$FM,114)</f>
        <v>35.090000000000003</v>
      </c>
      <c r="E38" s="50">
        <f>VLOOKUP($A38,'Data shares'!$C:$FM,106)</f>
        <v>46.42</v>
      </c>
      <c r="F38" s="50">
        <f>VLOOKUP($A38,'Data shares'!$C:$FM,108)</f>
        <v>-10.23</v>
      </c>
      <c r="G38" s="50">
        <f t="shared" si="0"/>
        <v>0.77962085308056861</v>
      </c>
    </row>
    <row r="39" spans="1:7" x14ac:dyDescent="0.25">
      <c r="A39" s="49" t="str">
        <f>'Data Vlaue (Cr)'!C34</f>
        <v>BIOCON</v>
      </c>
      <c r="B39" s="50">
        <f>VLOOKUP($A39,'Data shares'!$C:$FM,102)</f>
        <v>42.03</v>
      </c>
      <c r="C39" s="50">
        <f>VLOOKUP($A39,'Data shares'!$C:$FM,110)</f>
        <v>42.01</v>
      </c>
      <c r="D39" s="50">
        <f>VLOOKUP($A39,'Data shares'!$C:$FM,114)</f>
        <v>42.11</v>
      </c>
      <c r="E39" s="50">
        <f>VLOOKUP($A39,'Data shares'!$C:$FM,106)</f>
        <v>36.36</v>
      </c>
      <c r="F39" s="50">
        <f>VLOOKUP($A39,'Data shares'!$C:$FM,108)</f>
        <v>5.67</v>
      </c>
      <c r="G39" s="50">
        <f t="shared" ref="G39:G70" si="1">B39/E39</f>
        <v>1.1559405940594061</v>
      </c>
    </row>
    <row r="40" spans="1:7" x14ac:dyDescent="0.25">
      <c r="A40" s="49" t="str">
        <f>'Data Vlaue (Cr)'!C35</f>
        <v>BLUESTARCO</v>
      </c>
      <c r="B40" s="50">
        <f>VLOOKUP($A40,'Data shares'!$C:$FM,102)</f>
        <v>30.96</v>
      </c>
      <c r="C40" s="50">
        <f>VLOOKUP($A40,'Data shares'!$C:$FM,110)</f>
        <v>30</v>
      </c>
      <c r="D40" s="50">
        <f>VLOOKUP($A40,'Data shares'!$C:$FM,114)</f>
        <v>34.4</v>
      </c>
      <c r="E40" s="50">
        <f>VLOOKUP($A40,'Data shares'!$C:$FM,106)</f>
        <v>39.119999999999997</v>
      </c>
      <c r="F40" s="50">
        <f>VLOOKUP($A40,'Data shares'!$C:$FM,108)</f>
        <v>-8.16</v>
      </c>
      <c r="G40" s="50">
        <f t="shared" si="1"/>
        <v>0.79141104294478537</v>
      </c>
    </row>
    <row r="41" spans="1:7" x14ac:dyDescent="0.25">
      <c r="A41" s="49" t="str">
        <f>'Data Vlaue (Cr)'!C36</f>
        <v>BOSCHLTD</v>
      </c>
      <c r="B41" s="50">
        <f>VLOOKUP($A41,'Data shares'!$C:$FM,102)</f>
        <v>28.84</v>
      </c>
      <c r="C41" s="50">
        <f>VLOOKUP($A41,'Data shares'!$C:$FM,110)</f>
        <v>29.06</v>
      </c>
      <c r="D41" s="50">
        <f>VLOOKUP($A41,'Data shares'!$C:$FM,114)</f>
        <v>28.22</v>
      </c>
      <c r="E41" s="50">
        <f>VLOOKUP($A41,'Data shares'!$C:$FM,106)</f>
        <v>29.29</v>
      </c>
      <c r="F41" s="50">
        <f>VLOOKUP($A41,'Data shares'!$C:$FM,108)</f>
        <v>-0.45</v>
      </c>
      <c r="G41" s="50">
        <f t="shared" si="1"/>
        <v>0.98463639467395014</v>
      </c>
    </row>
    <row r="42" spans="1:7" x14ac:dyDescent="0.25">
      <c r="A42" s="49" t="str">
        <f>'Data Vlaue (Cr)'!C37</f>
        <v>BPCL</v>
      </c>
      <c r="B42" s="50">
        <f>VLOOKUP($A42,'Data shares'!$C:$FM,102)</f>
        <v>30.57</v>
      </c>
      <c r="C42" s="50">
        <f>VLOOKUP($A42,'Data shares'!$C:$FM,110)</f>
        <v>29.24</v>
      </c>
      <c r="D42" s="50">
        <f>VLOOKUP($A42,'Data shares'!$C:$FM,114)</f>
        <v>33.119999999999997</v>
      </c>
      <c r="E42" s="50">
        <f>VLOOKUP($A42,'Data shares'!$C:$FM,106)</f>
        <v>32.35</v>
      </c>
      <c r="F42" s="50">
        <f>VLOOKUP($A42,'Data shares'!$C:$FM,108)</f>
        <v>-1.78</v>
      </c>
      <c r="G42" s="50">
        <f t="shared" si="1"/>
        <v>0.94497681607418849</v>
      </c>
    </row>
    <row r="43" spans="1:7" x14ac:dyDescent="0.25">
      <c r="A43" s="49" t="str">
        <f>'Data Vlaue (Cr)'!C38</f>
        <v>BRITANNIA</v>
      </c>
      <c r="B43" s="50">
        <f>VLOOKUP($A43,'Data shares'!$C:$FM,102)</f>
        <v>24.33</v>
      </c>
      <c r="C43" s="50">
        <f>VLOOKUP($A43,'Data shares'!$C:$FM,110)</f>
        <v>24.44</v>
      </c>
      <c r="D43" s="50">
        <f>VLOOKUP($A43,'Data shares'!$C:$FM,114)</f>
        <v>24.11</v>
      </c>
      <c r="E43" s="50">
        <f>VLOOKUP($A43,'Data shares'!$C:$FM,106)</f>
        <v>23.99</v>
      </c>
      <c r="F43" s="50">
        <f>VLOOKUP($A43,'Data shares'!$C:$FM,108)</f>
        <v>0.34</v>
      </c>
      <c r="G43" s="50">
        <f t="shared" si="1"/>
        <v>1.0141725719049604</v>
      </c>
    </row>
    <row r="44" spans="1:7" x14ac:dyDescent="0.25">
      <c r="A44" s="49" t="str">
        <f>'Data Vlaue (Cr)'!C39</f>
        <v>BSE</v>
      </c>
      <c r="B44" s="50">
        <f>VLOOKUP($A44,'Data shares'!$C:$FM,102)</f>
        <v>42.33</v>
      </c>
      <c r="C44" s="50">
        <f>VLOOKUP($A44,'Data shares'!$C:$FM,110)</f>
        <v>41.08</v>
      </c>
      <c r="D44" s="50">
        <f>VLOOKUP($A44,'Data shares'!$C:$FM,114)</f>
        <v>43.88</v>
      </c>
      <c r="E44" s="50">
        <f>VLOOKUP($A44,'Data shares'!$C:$FM,106)</f>
        <v>59.33</v>
      </c>
      <c r="F44" s="50">
        <f>VLOOKUP($A44,'Data shares'!$C:$FM,108)</f>
        <v>-17</v>
      </c>
      <c r="G44" s="50">
        <f t="shared" si="1"/>
        <v>0.71346704871060174</v>
      </c>
    </row>
    <row r="45" spans="1:7" x14ac:dyDescent="0.25">
      <c r="A45" s="49" t="str">
        <f>'Data Vlaue (Cr)'!C40</f>
        <v>CAMS</v>
      </c>
      <c r="B45" s="50">
        <f>VLOOKUP($A45,'Data shares'!$C:$FM,102)</f>
        <v>30.23</v>
      </c>
      <c r="C45" s="50">
        <f>VLOOKUP($A45,'Data shares'!$C:$FM,110)</f>
        <v>28.84</v>
      </c>
      <c r="D45" s="50">
        <f>VLOOKUP($A45,'Data shares'!$C:$FM,114)</f>
        <v>33.81</v>
      </c>
      <c r="E45" s="50">
        <f>VLOOKUP($A45,'Data shares'!$C:$FM,106)</f>
        <v>39.909999999999997</v>
      </c>
      <c r="F45" s="50">
        <f>VLOOKUP($A45,'Data shares'!$C:$FM,108)</f>
        <v>-9.68</v>
      </c>
      <c r="G45" s="50">
        <f t="shared" si="1"/>
        <v>0.75745427211225269</v>
      </c>
    </row>
    <row r="46" spans="1:7" x14ac:dyDescent="0.25">
      <c r="A46" s="49" t="str">
        <f>'Data Vlaue (Cr)'!C41</f>
        <v>CANBK</v>
      </c>
      <c r="B46" s="50">
        <f>VLOOKUP($A46,'Data shares'!$C:$FM,102)</f>
        <v>33.79</v>
      </c>
      <c r="C46" s="50">
        <f>VLOOKUP($A46,'Data shares'!$C:$FM,110)</f>
        <v>34.44</v>
      </c>
      <c r="D46" s="50">
        <f>VLOOKUP($A46,'Data shares'!$C:$FM,114)</f>
        <v>32.090000000000003</v>
      </c>
      <c r="E46" s="50">
        <f>VLOOKUP($A46,'Data shares'!$C:$FM,106)</f>
        <v>35.65</v>
      </c>
      <c r="F46" s="50">
        <f>VLOOKUP($A46,'Data shares'!$C:$FM,108)</f>
        <v>-1.86</v>
      </c>
      <c r="G46" s="50">
        <f t="shared" si="1"/>
        <v>0.94782608695652171</v>
      </c>
    </row>
    <row r="47" spans="1:7" x14ac:dyDescent="0.25">
      <c r="A47" s="49" t="str">
        <f>'Data Vlaue (Cr)'!C42</f>
        <v>CDSL</v>
      </c>
      <c r="B47" s="50">
        <f>VLOOKUP($A47,'Data shares'!$C:$FM,102)</f>
        <v>34.299999999999997</v>
      </c>
      <c r="C47" s="50">
        <f>VLOOKUP($A47,'Data shares'!$C:$FM,110)</f>
        <v>33.729999999999997</v>
      </c>
      <c r="D47" s="50">
        <f>VLOOKUP($A47,'Data shares'!$C:$FM,114)</f>
        <v>35.770000000000003</v>
      </c>
      <c r="E47" s="50">
        <f>VLOOKUP($A47,'Data shares'!$C:$FM,106)</f>
        <v>45.55</v>
      </c>
      <c r="F47" s="50">
        <f>VLOOKUP($A47,'Data shares'!$C:$FM,108)</f>
        <v>-11.25</v>
      </c>
      <c r="G47" s="50">
        <f t="shared" si="1"/>
        <v>0.75301866081229418</v>
      </c>
    </row>
    <row r="48" spans="1:7" x14ac:dyDescent="0.25">
      <c r="A48" s="49" t="str">
        <f>'Data Vlaue (Cr)'!C43</f>
        <v>CGPOWER</v>
      </c>
      <c r="B48" s="50">
        <f>VLOOKUP($A48,'Data shares'!$C:$FM,102)</f>
        <v>34.26</v>
      </c>
      <c r="C48" s="50">
        <f>VLOOKUP($A48,'Data shares'!$C:$FM,110)</f>
        <v>32.57</v>
      </c>
      <c r="D48" s="50">
        <f>VLOOKUP($A48,'Data shares'!$C:$FM,114)</f>
        <v>37.35</v>
      </c>
      <c r="E48" s="50">
        <f>VLOOKUP($A48,'Data shares'!$C:$FM,106)</f>
        <v>42.01</v>
      </c>
      <c r="F48" s="50">
        <f>VLOOKUP($A48,'Data shares'!$C:$FM,108)</f>
        <v>-7.75</v>
      </c>
      <c r="G48" s="50">
        <f t="shared" si="1"/>
        <v>0.8155201142585099</v>
      </c>
    </row>
    <row r="49" spans="1:7" x14ac:dyDescent="0.25">
      <c r="A49" s="49" t="str">
        <f>'Data Vlaue (Cr)'!C44</f>
        <v>CHOLAFIN</v>
      </c>
      <c r="B49" s="50">
        <f>VLOOKUP($A49,'Data shares'!$C:$FM,102)</f>
        <v>27.09</v>
      </c>
      <c r="C49" s="50">
        <f>VLOOKUP($A49,'Data shares'!$C:$FM,110)</f>
        <v>26.39</v>
      </c>
      <c r="D49" s="50">
        <f>VLOOKUP($A49,'Data shares'!$C:$FM,114)</f>
        <v>28.34</v>
      </c>
      <c r="E49" s="50">
        <f>VLOOKUP($A49,'Data shares'!$C:$FM,106)</f>
        <v>37.479999999999997</v>
      </c>
      <c r="F49" s="50">
        <f>VLOOKUP($A49,'Data shares'!$C:$FM,108)</f>
        <v>-10.39</v>
      </c>
      <c r="G49" s="50">
        <f t="shared" si="1"/>
        <v>0.72278548559231592</v>
      </c>
    </row>
    <row r="50" spans="1:7" x14ac:dyDescent="0.25">
      <c r="A50" s="49" t="str">
        <f>'Data Vlaue (Cr)'!C45</f>
        <v>CIPLA</v>
      </c>
      <c r="B50" s="50">
        <f>VLOOKUP($A50,'Data shares'!$C:$FM,102)</f>
        <v>21.69</v>
      </c>
      <c r="C50" s="50">
        <f>VLOOKUP($A50,'Data shares'!$C:$FM,110)</f>
        <v>21.6</v>
      </c>
      <c r="D50" s="50">
        <f>VLOOKUP($A50,'Data shares'!$C:$FM,114)</f>
        <v>21.96</v>
      </c>
      <c r="E50" s="50">
        <f>VLOOKUP($A50,'Data shares'!$C:$FM,106)</f>
        <v>25.49</v>
      </c>
      <c r="F50" s="50">
        <f>VLOOKUP($A50,'Data shares'!$C:$FM,108)</f>
        <v>-3.8</v>
      </c>
      <c r="G50" s="50">
        <f t="shared" si="1"/>
        <v>0.85092193016869366</v>
      </c>
    </row>
    <row r="51" spans="1:7" x14ac:dyDescent="0.25">
      <c r="A51" s="49" t="str">
        <f>'Data Vlaue (Cr)'!C46</f>
        <v>COALINDIA</v>
      </c>
      <c r="B51" s="50">
        <f>VLOOKUP($A51,'Data shares'!$C:$FM,102)</f>
        <v>32.44</v>
      </c>
      <c r="C51" s="50">
        <f>VLOOKUP($A51,'Data shares'!$C:$FM,110)</f>
        <v>33.47</v>
      </c>
      <c r="D51" s="50">
        <f>VLOOKUP($A51,'Data shares'!$C:$FM,114)</f>
        <v>30.23</v>
      </c>
      <c r="E51" s="50">
        <f>VLOOKUP($A51,'Data shares'!$C:$FM,106)</f>
        <v>29.8</v>
      </c>
      <c r="F51" s="50">
        <f>VLOOKUP($A51,'Data shares'!$C:$FM,108)</f>
        <v>2.64</v>
      </c>
      <c r="G51" s="50">
        <f t="shared" si="1"/>
        <v>1.0885906040268456</v>
      </c>
    </row>
    <row r="52" spans="1:7" x14ac:dyDescent="0.25">
      <c r="A52" s="49" t="str">
        <f>'Data Vlaue (Cr)'!C47</f>
        <v>COFORGE</v>
      </c>
      <c r="B52" s="50">
        <f>VLOOKUP($A52,'Data shares'!$C:$FM,102)</f>
        <v>40.71</v>
      </c>
      <c r="C52" s="50">
        <f>VLOOKUP($A52,'Data shares'!$C:$FM,110)</f>
        <v>41.14</v>
      </c>
      <c r="D52" s="50">
        <f>VLOOKUP($A52,'Data shares'!$C:$FM,114)</f>
        <v>39.81</v>
      </c>
      <c r="E52" s="50">
        <f>VLOOKUP($A52,'Data shares'!$C:$FM,106)</f>
        <v>40.99</v>
      </c>
      <c r="F52" s="50">
        <f>VLOOKUP($A52,'Data shares'!$C:$FM,108)</f>
        <v>-0.28000000000000003</v>
      </c>
      <c r="G52" s="50">
        <f t="shared" si="1"/>
        <v>0.99316906562576235</v>
      </c>
    </row>
    <row r="53" spans="1:7" x14ac:dyDescent="0.25">
      <c r="A53" s="49" t="str">
        <f>'Data Vlaue (Cr)'!C48</f>
        <v>COLPAL</v>
      </c>
      <c r="B53" s="50">
        <f>VLOOKUP($A53,'Data shares'!$C:$FM,102)</f>
        <v>26.14</v>
      </c>
      <c r="C53" s="50">
        <f>VLOOKUP($A53,'Data shares'!$C:$FM,110)</f>
        <v>26.35</v>
      </c>
      <c r="D53" s="50">
        <f>VLOOKUP($A53,'Data shares'!$C:$FM,114)</f>
        <v>25.06</v>
      </c>
      <c r="E53" s="50">
        <f>VLOOKUP($A53,'Data shares'!$C:$FM,106)</f>
        <v>26.48</v>
      </c>
      <c r="F53" s="50">
        <f>VLOOKUP($A53,'Data shares'!$C:$FM,108)</f>
        <v>-0.34</v>
      </c>
      <c r="G53" s="50">
        <f t="shared" si="1"/>
        <v>0.98716012084592142</v>
      </c>
    </row>
    <row r="54" spans="1:7" x14ac:dyDescent="0.25">
      <c r="A54" s="49" t="str">
        <f>'Data Vlaue (Cr)'!C49</f>
        <v>CONCOR</v>
      </c>
      <c r="B54" s="50">
        <f>VLOOKUP($A54,'Data shares'!$C:$FM,102)</f>
        <v>27.73</v>
      </c>
      <c r="C54" s="50">
        <f>VLOOKUP($A54,'Data shares'!$C:$FM,110)</f>
        <v>27.67</v>
      </c>
      <c r="D54" s="50">
        <f>VLOOKUP($A54,'Data shares'!$C:$FM,114)</f>
        <v>27.87</v>
      </c>
      <c r="E54" s="50">
        <f>VLOOKUP($A54,'Data shares'!$C:$FM,106)</f>
        <v>33.049999999999997</v>
      </c>
      <c r="F54" s="50">
        <f>VLOOKUP($A54,'Data shares'!$C:$FM,108)</f>
        <v>-5.32</v>
      </c>
      <c r="G54" s="50">
        <f t="shared" si="1"/>
        <v>0.83903177004538587</v>
      </c>
    </row>
    <row r="55" spans="1:7" x14ac:dyDescent="0.25">
      <c r="A55" s="49" t="str">
        <f>'Data Vlaue (Cr)'!C50</f>
        <v>CROMPTON</v>
      </c>
      <c r="B55" s="50">
        <f>VLOOKUP($A55,'Data shares'!$C:$FM,102)</f>
        <v>33.909999999999997</v>
      </c>
      <c r="C55" s="50">
        <f>VLOOKUP($A55,'Data shares'!$C:$FM,110)</f>
        <v>32.53</v>
      </c>
      <c r="D55" s="50">
        <f>VLOOKUP($A55,'Data shares'!$C:$FM,114)</f>
        <v>36.32</v>
      </c>
      <c r="E55" s="50">
        <f>VLOOKUP($A55,'Data shares'!$C:$FM,106)</f>
        <v>32.81</v>
      </c>
      <c r="F55" s="50">
        <f>VLOOKUP($A55,'Data shares'!$C:$FM,108)</f>
        <v>1.1000000000000001</v>
      </c>
      <c r="G55" s="50">
        <f t="shared" si="1"/>
        <v>1.0335263639134409</v>
      </c>
    </row>
    <row r="56" spans="1:7" x14ac:dyDescent="0.25">
      <c r="A56" s="49" t="str">
        <f>'Data Vlaue (Cr)'!C51</f>
        <v>CUMMINSIND</v>
      </c>
      <c r="B56" s="50">
        <f>VLOOKUP($A56,'Data shares'!$C:$FM,102)</f>
        <v>30.2</v>
      </c>
      <c r="C56" s="50">
        <f>VLOOKUP($A56,'Data shares'!$C:$FM,110)</f>
        <v>29.46</v>
      </c>
      <c r="D56" s="50">
        <f>VLOOKUP($A56,'Data shares'!$C:$FM,114)</f>
        <v>31.66</v>
      </c>
      <c r="E56" s="50">
        <f>VLOOKUP($A56,'Data shares'!$C:$FM,106)</f>
        <v>33.840000000000003</v>
      </c>
      <c r="F56" s="50">
        <f>VLOOKUP($A56,'Data shares'!$C:$FM,108)</f>
        <v>-3.64</v>
      </c>
      <c r="G56" s="50">
        <f t="shared" si="1"/>
        <v>0.89243498817966893</v>
      </c>
    </row>
    <row r="57" spans="1:7" x14ac:dyDescent="0.25">
      <c r="A57" s="49" t="str">
        <f>'Data Vlaue (Cr)'!C52</f>
        <v>DABUR</v>
      </c>
      <c r="B57" s="50">
        <f>VLOOKUP($A57,'Data shares'!$C:$FM,102)</f>
        <v>22.76</v>
      </c>
      <c r="C57" s="50">
        <f>VLOOKUP($A57,'Data shares'!$C:$FM,110)</f>
        <v>22.39</v>
      </c>
      <c r="D57" s="50">
        <f>VLOOKUP($A57,'Data shares'!$C:$FM,114)</f>
        <v>23.48</v>
      </c>
      <c r="E57" s="50">
        <f>VLOOKUP($A57,'Data shares'!$C:$FM,106)</f>
        <v>24.11</v>
      </c>
      <c r="F57" s="50">
        <f>VLOOKUP($A57,'Data shares'!$C:$FM,108)</f>
        <v>-1.35</v>
      </c>
      <c r="G57" s="50">
        <f t="shared" si="1"/>
        <v>0.9440066362505185</v>
      </c>
    </row>
    <row r="58" spans="1:7" x14ac:dyDescent="0.25">
      <c r="A58" s="49" t="str">
        <f>'Data Vlaue (Cr)'!C53</f>
        <v>DALBHARAT</v>
      </c>
      <c r="B58" s="50">
        <f>VLOOKUP($A58,'Data shares'!$C:$FM,102)</f>
        <v>31.88</v>
      </c>
      <c r="C58" s="50">
        <f>VLOOKUP($A58,'Data shares'!$C:$FM,110)</f>
        <v>30.32</v>
      </c>
      <c r="D58" s="50">
        <f>VLOOKUP($A58,'Data shares'!$C:$FM,114)</f>
        <v>33.26</v>
      </c>
      <c r="E58" s="50">
        <f>VLOOKUP($A58,'Data shares'!$C:$FM,106)</f>
        <v>30.49</v>
      </c>
      <c r="F58" s="50">
        <f>VLOOKUP($A58,'Data shares'!$C:$FM,108)</f>
        <v>1.39</v>
      </c>
      <c r="G58" s="50">
        <f t="shared" si="1"/>
        <v>1.045588717612332</v>
      </c>
    </row>
    <row r="59" spans="1:7" x14ac:dyDescent="0.25">
      <c r="A59" s="49" t="str">
        <f>'Data Vlaue (Cr)'!C54</f>
        <v>DELHIVERY</v>
      </c>
      <c r="B59" s="50">
        <f>VLOOKUP($A59,'Data shares'!$C:$FM,102)</f>
        <v>35.229999999999997</v>
      </c>
      <c r="C59" s="50">
        <f>VLOOKUP($A59,'Data shares'!$C:$FM,110)</f>
        <v>35.35</v>
      </c>
      <c r="D59" s="50">
        <f>VLOOKUP($A59,'Data shares'!$C:$FM,114)</f>
        <v>34.92</v>
      </c>
      <c r="E59" s="50">
        <f>VLOOKUP($A59,'Data shares'!$C:$FM,106)</f>
        <v>39.61</v>
      </c>
      <c r="F59" s="50">
        <f>VLOOKUP($A59,'Data shares'!$C:$FM,108)</f>
        <v>-4.38</v>
      </c>
      <c r="G59" s="50">
        <f t="shared" si="1"/>
        <v>0.88942186316586713</v>
      </c>
    </row>
    <row r="60" spans="1:7" x14ac:dyDescent="0.25">
      <c r="A60" s="49" t="str">
        <f>'Data Vlaue (Cr)'!C55</f>
        <v>DIVISLAB</v>
      </c>
      <c r="B60" s="50">
        <f>VLOOKUP($A60,'Data shares'!$C:$FM,102)</f>
        <v>32.130000000000003</v>
      </c>
      <c r="C60" s="50">
        <f>VLOOKUP($A60,'Data shares'!$C:$FM,110)</f>
        <v>31.34</v>
      </c>
      <c r="D60" s="50">
        <f>VLOOKUP($A60,'Data shares'!$C:$FM,114)</f>
        <v>33.92</v>
      </c>
      <c r="E60" s="50">
        <f>VLOOKUP($A60,'Data shares'!$C:$FM,106)</f>
        <v>30.7</v>
      </c>
      <c r="F60" s="50">
        <f>VLOOKUP($A60,'Data shares'!$C:$FM,108)</f>
        <v>1.43</v>
      </c>
      <c r="G60" s="50">
        <f t="shared" si="1"/>
        <v>1.0465798045602608</v>
      </c>
    </row>
    <row r="61" spans="1:7" x14ac:dyDescent="0.25">
      <c r="A61" s="49" t="str">
        <f>'Data Vlaue (Cr)'!C56</f>
        <v>DIXON</v>
      </c>
      <c r="B61" s="50">
        <f>VLOOKUP($A61,'Data shares'!$C:$FM,102)</f>
        <v>42</v>
      </c>
      <c r="C61" s="50">
        <f>VLOOKUP($A61,'Data shares'!$C:$FM,110)</f>
        <v>41.02</v>
      </c>
      <c r="D61" s="50">
        <f>VLOOKUP($A61,'Data shares'!$C:$FM,114)</f>
        <v>44.14</v>
      </c>
      <c r="E61" s="50">
        <f>VLOOKUP($A61,'Data shares'!$C:$FM,106)</f>
        <v>45.22</v>
      </c>
      <c r="F61" s="50">
        <f>VLOOKUP($A61,'Data shares'!$C:$FM,108)</f>
        <v>-3.22</v>
      </c>
      <c r="G61" s="50">
        <f t="shared" si="1"/>
        <v>0.92879256965944279</v>
      </c>
    </row>
    <row r="62" spans="1:7" x14ac:dyDescent="0.25">
      <c r="A62" s="49" t="str">
        <f>'Data Vlaue (Cr)'!C57</f>
        <v>DLF</v>
      </c>
      <c r="B62" s="50">
        <f>VLOOKUP($A62,'Data shares'!$C:$FM,102)</f>
        <v>28.62</v>
      </c>
      <c r="C62" s="50">
        <f>VLOOKUP($A62,'Data shares'!$C:$FM,110)</f>
        <v>27.49</v>
      </c>
      <c r="D62" s="50">
        <f>VLOOKUP($A62,'Data shares'!$C:$FM,114)</f>
        <v>30.4</v>
      </c>
      <c r="E62" s="50">
        <f>VLOOKUP($A62,'Data shares'!$C:$FM,106)</f>
        <v>35.130000000000003</v>
      </c>
      <c r="F62" s="50">
        <f>VLOOKUP($A62,'Data shares'!$C:$FM,108)</f>
        <v>-6.51</v>
      </c>
      <c r="G62" s="50">
        <f t="shared" si="1"/>
        <v>0.81468830059777964</v>
      </c>
    </row>
    <row r="63" spans="1:7" x14ac:dyDescent="0.25">
      <c r="A63" s="49" t="str">
        <f>'Data Vlaue (Cr)'!C58</f>
        <v>DMART</v>
      </c>
      <c r="B63" s="50">
        <f>VLOOKUP($A63,'Data shares'!$C:$FM,102)</f>
        <v>26.77</v>
      </c>
      <c r="C63" s="50">
        <f>VLOOKUP($A63,'Data shares'!$C:$FM,110)</f>
        <v>26.14</v>
      </c>
      <c r="D63" s="50">
        <f>VLOOKUP($A63,'Data shares'!$C:$FM,114)</f>
        <v>28.73</v>
      </c>
      <c r="E63" s="50">
        <f>VLOOKUP($A63,'Data shares'!$C:$FM,106)</f>
        <v>30.64</v>
      </c>
      <c r="F63" s="50">
        <f>VLOOKUP($A63,'Data shares'!$C:$FM,108)</f>
        <v>-3.87</v>
      </c>
      <c r="G63" s="50">
        <f t="shared" si="1"/>
        <v>0.87369451697127931</v>
      </c>
    </row>
    <row r="64" spans="1:7" x14ac:dyDescent="0.25">
      <c r="A64" s="49" t="str">
        <f>'Data Vlaue (Cr)'!C59</f>
        <v>DRREDDY</v>
      </c>
      <c r="B64" s="50">
        <f>VLOOKUP($A64,'Data shares'!$C:$FM,102)</f>
        <v>20.28</v>
      </c>
      <c r="C64" s="50">
        <f>VLOOKUP($A64,'Data shares'!$C:$FM,110)</f>
        <v>19.8</v>
      </c>
      <c r="D64" s="50">
        <f>VLOOKUP($A64,'Data shares'!$C:$FM,114)</f>
        <v>21.84</v>
      </c>
      <c r="E64" s="50">
        <f>VLOOKUP($A64,'Data shares'!$C:$FM,106)</f>
        <v>25.31</v>
      </c>
      <c r="F64" s="50">
        <f>VLOOKUP($A64,'Data shares'!$C:$FM,108)</f>
        <v>-5.03</v>
      </c>
      <c r="G64" s="50">
        <f t="shared" si="1"/>
        <v>0.80126432240221268</v>
      </c>
    </row>
    <row r="65" spans="1:7" x14ac:dyDescent="0.25">
      <c r="A65" s="49" t="str">
        <f>'Data Vlaue (Cr)'!C60</f>
        <v>EICHERMOT</v>
      </c>
      <c r="B65" s="50">
        <f>VLOOKUP($A65,'Data shares'!$C:$FM,102)</f>
        <v>28.32</v>
      </c>
      <c r="C65" s="50">
        <f>VLOOKUP($A65,'Data shares'!$C:$FM,110)</f>
        <v>27.47</v>
      </c>
      <c r="D65" s="50">
        <f>VLOOKUP($A65,'Data shares'!$C:$FM,114)</f>
        <v>30.28</v>
      </c>
      <c r="E65" s="50">
        <f>VLOOKUP($A65,'Data shares'!$C:$FM,106)</f>
        <v>28</v>
      </c>
      <c r="F65" s="50">
        <f>VLOOKUP($A65,'Data shares'!$C:$FM,108)</f>
        <v>0.32</v>
      </c>
      <c r="G65" s="50">
        <f t="shared" si="1"/>
        <v>1.0114285714285713</v>
      </c>
    </row>
    <row r="66" spans="1:7" x14ac:dyDescent="0.25">
      <c r="A66" s="49" t="str">
        <f>'Data Vlaue (Cr)'!C61</f>
        <v>ETERNAL</v>
      </c>
      <c r="B66" s="50">
        <f>VLOOKUP($A66,'Data shares'!$C:$FM,102)</f>
        <v>39.17</v>
      </c>
      <c r="C66" s="50">
        <f>VLOOKUP($A66,'Data shares'!$C:$FM,110)</f>
        <v>38.65</v>
      </c>
      <c r="D66" s="50">
        <f>VLOOKUP($A66,'Data shares'!$C:$FM,114)</f>
        <v>40.06</v>
      </c>
      <c r="E66" s="50">
        <f>VLOOKUP($A66,'Data shares'!$C:$FM,106)</f>
        <v>45.02</v>
      </c>
      <c r="F66" s="50">
        <f>VLOOKUP($A66,'Data shares'!$C:$FM,108)</f>
        <v>-5.85</v>
      </c>
      <c r="G66" s="50">
        <f t="shared" si="1"/>
        <v>0.87005775211017322</v>
      </c>
    </row>
    <row r="67" spans="1:7" x14ac:dyDescent="0.25">
      <c r="A67" s="49" t="str">
        <f>'Data Vlaue (Cr)'!C62</f>
        <v>EXIDEIND</v>
      </c>
      <c r="B67" s="50">
        <f>VLOOKUP($A67,'Data shares'!$C:$FM,102)</f>
        <v>30.72</v>
      </c>
      <c r="C67" s="50">
        <f>VLOOKUP($A67,'Data shares'!$C:$FM,110)</f>
        <v>30.46</v>
      </c>
      <c r="D67" s="50">
        <f>VLOOKUP($A67,'Data shares'!$C:$FM,114)</f>
        <v>31.4</v>
      </c>
      <c r="E67" s="50">
        <f>VLOOKUP($A67,'Data shares'!$C:$FM,106)</f>
        <v>32.909999999999997</v>
      </c>
      <c r="F67" s="50">
        <f>VLOOKUP($A67,'Data shares'!$C:$FM,108)</f>
        <v>-2.19</v>
      </c>
      <c r="G67" s="50">
        <f t="shared" si="1"/>
        <v>0.93345487693710127</v>
      </c>
    </row>
    <row r="68" spans="1:7" x14ac:dyDescent="0.25">
      <c r="A68" s="49" t="str">
        <f>'Data Vlaue (Cr)'!C63</f>
        <v>FEDERALBNK</v>
      </c>
      <c r="B68" s="50">
        <f>VLOOKUP($A68,'Data shares'!$C:$FM,102)</f>
        <v>30.06</v>
      </c>
      <c r="C68" s="50">
        <f>VLOOKUP($A68,'Data shares'!$C:$FM,110)</f>
        <v>29.81</v>
      </c>
      <c r="D68" s="50">
        <f>VLOOKUP($A68,'Data shares'!$C:$FM,114)</f>
        <v>30.6</v>
      </c>
      <c r="E68" s="50">
        <f>VLOOKUP($A68,'Data shares'!$C:$FM,106)</f>
        <v>30.35</v>
      </c>
      <c r="F68" s="50">
        <f>VLOOKUP($A68,'Data shares'!$C:$FM,108)</f>
        <v>-0.28999999999999998</v>
      </c>
      <c r="G68" s="50">
        <f t="shared" si="1"/>
        <v>0.99044481054365729</v>
      </c>
    </row>
    <row r="69" spans="1:7" x14ac:dyDescent="0.25">
      <c r="A69" s="49" t="str">
        <f>'Data Vlaue (Cr)'!C64</f>
        <v>FINNIFTY</v>
      </c>
      <c r="B69" s="50">
        <f>VLOOKUP($A69,'Data shares'!$C:$FM,102)</f>
        <v>13</v>
      </c>
      <c r="C69" s="50">
        <f>VLOOKUP($A69,'Data shares'!$C:$FM,110)</f>
        <v>11.53</v>
      </c>
      <c r="D69" s="50">
        <f>VLOOKUP($A69,'Data shares'!$C:$FM,114)</f>
        <v>14.25</v>
      </c>
      <c r="E69" s="50">
        <f>VLOOKUP($A69,'Data shares'!$C:$FM,106)</f>
        <v>16.71</v>
      </c>
      <c r="F69" s="50">
        <f>VLOOKUP($A69,'Data shares'!$C:$FM,108)</f>
        <v>-3.71</v>
      </c>
      <c r="G69" s="50">
        <f t="shared" si="1"/>
        <v>0.77797725912627169</v>
      </c>
    </row>
    <row r="70" spans="1:7" x14ac:dyDescent="0.25">
      <c r="A70" s="49" t="str">
        <f>'Data Vlaue (Cr)'!C65</f>
        <v>FORTIS</v>
      </c>
      <c r="B70" s="50">
        <f>VLOOKUP($A70,'Data shares'!$C:$FM,102)</f>
        <v>37.68</v>
      </c>
      <c r="C70" s="50">
        <f>VLOOKUP($A70,'Data shares'!$C:$FM,110)</f>
        <v>37.770000000000003</v>
      </c>
      <c r="D70" s="50">
        <f>VLOOKUP($A70,'Data shares'!$C:$FM,114)</f>
        <v>37.380000000000003</v>
      </c>
      <c r="E70" s="50">
        <f>VLOOKUP($A70,'Data shares'!$C:$FM,106)</f>
        <v>34.96</v>
      </c>
      <c r="F70" s="50">
        <f>VLOOKUP($A70,'Data shares'!$C:$FM,108)</f>
        <v>2.72</v>
      </c>
      <c r="G70" s="50">
        <f t="shared" si="1"/>
        <v>1.0778032036613272</v>
      </c>
    </row>
    <row r="71" spans="1:7" x14ac:dyDescent="0.25">
      <c r="A71" s="49" t="str">
        <f>'Data Vlaue (Cr)'!C66</f>
        <v>GAIL</v>
      </c>
      <c r="B71" s="50">
        <f>VLOOKUP($A71,'Data shares'!$C:$FM,102)</f>
        <v>26.22</v>
      </c>
      <c r="C71" s="50">
        <f>VLOOKUP($A71,'Data shares'!$C:$FM,110)</f>
        <v>26.12</v>
      </c>
      <c r="D71" s="50">
        <f>VLOOKUP($A71,'Data shares'!$C:$FM,114)</f>
        <v>26.44</v>
      </c>
      <c r="E71" s="50">
        <f>VLOOKUP($A71,'Data shares'!$C:$FM,106)</f>
        <v>33.5</v>
      </c>
      <c r="F71" s="50">
        <f>VLOOKUP($A71,'Data shares'!$C:$FM,108)</f>
        <v>-7.28</v>
      </c>
      <c r="G71" s="50">
        <f t="shared" ref="G71:G102" si="2">B71/E71</f>
        <v>0.78268656716417906</v>
      </c>
    </row>
    <row r="72" spans="1:7" x14ac:dyDescent="0.25">
      <c r="A72" s="49" t="str">
        <f>'Data Vlaue (Cr)'!C67</f>
        <v>GLENMARK</v>
      </c>
      <c r="B72" s="50">
        <f>VLOOKUP($A72,'Data shares'!$C:$FM,102)</f>
        <v>30.3</v>
      </c>
      <c r="C72" s="50">
        <f>VLOOKUP($A72,'Data shares'!$C:$FM,110)</f>
        <v>30.1</v>
      </c>
      <c r="D72" s="50">
        <f>VLOOKUP($A72,'Data shares'!$C:$FM,114)</f>
        <v>30.97</v>
      </c>
      <c r="E72" s="50">
        <f>VLOOKUP($A72,'Data shares'!$C:$FM,106)</f>
        <v>35.130000000000003</v>
      </c>
      <c r="F72" s="50">
        <f>VLOOKUP($A72,'Data shares'!$C:$FM,108)</f>
        <v>-4.83</v>
      </c>
      <c r="G72" s="50">
        <f t="shared" si="2"/>
        <v>0.86251067463706232</v>
      </c>
    </row>
    <row r="73" spans="1:7" x14ac:dyDescent="0.25">
      <c r="A73" s="49" t="str">
        <f>'Data Vlaue (Cr)'!C68</f>
        <v>GMRAIRPORT</v>
      </c>
      <c r="B73" s="50">
        <f>VLOOKUP($A73,'Data shares'!$C:$FM,102)</f>
        <v>38.69</v>
      </c>
      <c r="C73" s="50">
        <f>VLOOKUP($A73,'Data shares'!$C:$FM,110)</f>
        <v>38.94</v>
      </c>
      <c r="D73" s="50">
        <f>VLOOKUP($A73,'Data shares'!$C:$FM,114)</f>
        <v>37.92</v>
      </c>
      <c r="E73" s="50">
        <f>VLOOKUP($A73,'Data shares'!$C:$FM,106)</f>
        <v>37</v>
      </c>
      <c r="F73" s="50">
        <f>VLOOKUP($A73,'Data shares'!$C:$FM,108)</f>
        <v>1.69</v>
      </c>
      <c r="G73" s="50">
        <f t="shared" si="2"/>
        <v>1.0456756756756755</v>
      </c>
    </row>
    <row r="74" spans="1:7" x14ac:dyDescent="0.25">
      <c r="A74" s="49" t="str">
        <f>'Data Vlaue (Cr)'!C69</f>
        <v>GODREJCP</v>
      </c>
      <c r="B74" s="50">
        <f>VLOOKUP($A74,'Data shares'!$C:$FM,102)</f>
        <v>21.11</v>
      </c>
      <c r="C74" s="50">
        <f>VLOOKUP($A74,'Data shares'!$C:$FM,110)</f>
        <v>20.21</v>
      </c>
      <c r="D74" s="50">
        <f>VLOOKUP($A74,'Data shares'!$C:$FM,114)</f>
        <v>23.59</v>
      </c>
      <c r="E74" s="50">
        <f>VLOOKUP($A74,'Data shares'!$C:$FM,106)</f>
        <v>28.12</v>
      </c>
      <c r="F74" s="50">
        <f>VLOOKUP($A74,'Data shares'!$C:$FM,108)</f>
        <v>-7.01</v>
      </c>
      <c r="G74" s="50">
        <f t="shared" si="2"/>
        <v>0.75071123755334279</v>
      </c>
    </row>
    <row r="75" spans="1:7" x14ac:dyDescent="0.25">
      <c r="A75" s="49" t="str">
        <f>'Data Vlaue (Cr)'!C70</f>
        <v>GODREJPROP</v>
      </c>
      <c r="B75" s="50">
        <f>VLOOKUP($A75,'Data shares'!$C:$FM,102)</f>
        <v>36.83</v>
      </c>
      <c r="C75" s="50">
        <f>VLOOKUP($A75,'Data shares'!$C:$FM,110)</f>
        <v>36.049999999999997</v>
      </c>
      <c r="D75" s="50">
        <f>VLOOKUP($A75,'Data shares'!$C:$FM,114)</f>
        <v>38.29</v>
      </c>
      <c r="E75" s="50">
        <f>VLOOKUP($A75,'Data shares'!$C:$FM,106)</f>
        <v>44.96</v>
      </c>
      <c r="F75" s="50">
        <f>VLOOKUP($A75,'Data shares'!$C:$FM,108)</f>
        <v>-8.1300000000000008</v>
      </c>
      <c r="G75" s="50">
        <f t="shared" si="2"/>
        <v>0.81917259786476859</v>
      </c>
    </row>
    <row r="76" spans="1:7" x14ac:dyDescent="0.25">
      <c r="A76" s="49" t="str">
        <f>'Data Vlaue (Cr)'!C71</f>
        <v>GRASIM</v>
      </c>
      <c r="B76" s="50">
        <f>VLOOKUP($A76,'Data shares'!$C:$FM,102)</f>
        <v>24.05</v>
      </c>
      <c r="C76" s="50">
        <f>VLOOKUP($A76,'Data shares'!$C:$FM,110)</f>
        <v>23.64</v>
      </c>
      <c r="D76" s="50">
        <f>VLOOKUP($A76,'Data shares'!$C:$FM,114)</f>
        <v>24.85</v>
      </c>
      <c r="E76" s="50">
        <f>VLOOKUP($A76,'Data shares'!$C:$FM,106)</f>
        <v>25.59</v>
      </c>
      <c r="F76" s="50">
        <f>VLOOKUP($A76,'Data shares'!$C:$FM,108)</f>
        <v>-1.54</v>
      </c>
      <c r="G76" s="50">
        <f t="shared" si="2"/>
        <v>0.93982024228214145</v>
      </c>
    </row>
    <row r="77" spans="1:7" x14ac:dyDescent="0.25">
      <c r="A77" s="49" t="str">
        <f>'Data Vlaue (Cr)'!C72</f>
        <v>HAL</v>
      </c>
      <c r="B77" s="50">
        <f>VLOOKUP($A77,'Data shares'!$C:$FM,102)</f>
        <v>45.67</v>
      </c>
      <c r="C77" s="50">
        <f>VLOOKUP($A77,'Data shares'!$C:$FM,110)</f>
        <v>46.25</v>
      </c>
      <c r="D77" s="50">
        <f>VLOOKUP($A77,'Data shares'!$C:$FM,114)</f>
        <v>44.07</v>
      </c>
      <c r="E77" s="50">
        <f>VLOOKUP($A77,'Data shares'!$C:$FM,106)</f>
        <v>38.85</v>
      </c>
      <c r="F77" s="50">
        <f>VLOOKUP($A77,'Data shares'!$C:$FM,108)</f>
        <v>6.82</v>
      </c>
      <c r="G77" s="50">
        <f t="shared" si="2"/>
        <v>1.1755469755469756</v>
      </c>
    </row>
    <row r="78" spans="1:7" x14ac:dyDescent="0.25">
      <c r="A78" s="49" t="str">
        <f>'Data Vlaue (Cr)'!C73</f>
        <v>HAVELLS</v>
      </c>
      <c r="B78" s="50">
        <f>VLOOKUP($A78,'Data shares'!$C:$FM,102)</f>
        <v>21.7</v>
      </c>
      <c r="C78" s="50">
        <f>VLOOKUP($A78,'Data shares'!$C:$FM,110)</f>
        <v>21.23</v>
      </c>
      <c r="D78" s="50">
        <f>VLOOKUP($A78,'Data shares'!$C:$FM,114)</f>
        <v>22.73</v>
      </c>
      <c r="E78" s="50">
        <f>VLOOKUP($A78,'Data shares'!$C:$FM,106)</f>
        <v>28.11</v>
      </c>
      <c r="F78" s="50">
        <f>VLOOKUP($A78,'Data shares'!$C:$FM,108)</f>
        <v>-6.41</v>
      </c>
      <c r="G78" s="50">
        <f t="shared" si="2"/>
        <v>0.77196727143365351</v>
      </c>
    </row>
    <row r="79" spans="1:7" x14ac:dyDescent="0.25">
      <c r="A79" s="49" t="str">
        <f>'Data Vlaue (Cr)'!C74</f>
        <v>HCLTECH</v>
      </c>
      <c r="B79" s="50">
        <f>VLOOKUP($A79,'Data shares'!$C:$FM,102)</f>
        <v>29.83</v>
      </c>
      <c r="C79" s="50">
        <f>VLOOKUP($A79,'Data shares'!$C:$FM,110)</f>
        <v>29.63</v>
      </c>
      <c r="D79" s="50">
        <f>VLOOKUP($A79,'Data shares'!$C:$FM,114)</f>
        <v>30.12</v>
      </c>
      <c r="E79" s="50">
        <f>VLOOKUP($A79,'Data shares'!$C:$FM,106)</f>
        <v>27.62</v>
      </c>
      <c r="F79" s="50">
        <f>VLOOKUP($A79,'Data shares'!$C:$FM,108)</f>
        <v>2.21</v>
      </c>
      <c r="G79" s="50">
        <f t="shared" si="2"/>
        <v>1.0800144822592324</v>
      </c>
    </row>
    <row r="80" spans="1:7" x14ac:dyDescent="0.25">
      <c r="A80" s="49" t="str">
        <f>'Data Vlaue (Cr)'!C75</f>
        <v>HDFCAMC</v>
      </c>
      <c r="B80" s="50">
        <f>VLOOKUP($A80,'Data shares'!$C:$FM,102)</f>
        <v>23.67</v>
      </c>
      <c r="C80" s="50">
        <f>VLOOKUP($A80,'Data shares'!$C:$FM,110)</f>
        <v>22.81</v>
      </c>
      <c r="D80" s="50">
        <f>VLOOKUP($A80,'Data shares'!$C:$FM,114)</f>
        <v>25.47</v>
      </c>
      <c r="E80" s="50">
        <f>VLOOKUP($A80,'Data shares'!$C:$FM,106)</f>
        <v>34.380000000000003</v>
      </c>
      <c r="F80" s="50">
        <f>VLOOKUP($A80,'Data shares'!$C:$FM,108)</f>
        <v>-10.71</v>
      </c>
      <c r="G80" s="50">
        <f t="shared" si="2"/>
        <v>0.68848167539267013</v>
      </c>
    </row>
    <row r="81" spans="1:7" x14ac:dyDescent="0.25">
      <c r="A81" s="49" t="str">
        <f>'Data Vlaue (Cr)'!C76</f>
        <v>HDFCBANK</v>
      </c>
      <c r="B81" s="50">
        <f>VLOOKUP($A81,'Data shares'!$C:$FM,102)</f>
        <v>19.16</v>
      </c>
      <c r="C81" s="50">
        <f>VLOOKUP($A81,'Data shares'!$C:$FM,110)</f>
        <v>19.260000000000002</v>
      </c>
      <c r="D81" s="50">
        <f>VLOOKUP($A81,'Data shares'!$C:$FM,114)</f>
        <v>18.95</v>
      </c>
      <c r="E81" s="50">
        <f>VLOOKUP($A81,'Data shares'!$C:$FM,106)</f>
        <v>19.41</v>
      </c>
      <c r="F81" s="50">
        <f>VLOOKUP($A81,'Data shares'!$C:$FM,108)</f>
        <v>-0.25</v>
      </c>
      <c r="G81" s="50">
        <f t="shared" si="2"/>
        <v>0.98712004121586816</v>
      </c>
    </row>
    <row r="82" spans="1:7" x14ac:dyDescent="0.25">
      <c r="A82" s="49" t="str">
        <f>'Data Vlaue (Cr)'!C77</f>
        <v>HDFCLIFE</v>
      </c>
      <c r="B82" s="50">
        <f>VLOOKUP($A82,'Data shares'!$C:$FM,102)</f>
        <v>21.37</v>
      </c>
      <c r="C82" s="50">
        <f>VLOOKUP($A82,'Data shares'!$C:$FM,110)</f>
        <v>21.66</v>
      </c>
      <c r="D82" s="50">
        <f>VLOOKUP($A82,'Data shares'!$C:$FM,114)</f>
        <v>20.6</v>
      </c>
      <c r="E82" s="50">
        <f>VLOOKUP($A82,'Data shares'!$C:$FM,106)</f>
        <v>24.47</v>
      </c>
      <c r="F82" s="50">
        <f>VLOOKUP($A82,'Data shares'!$C:$FM,108)</f>
        <v>-3.1</v>
      </c>
      <c r="G82" s="50">
        <f t="shared" si="2"/>
        <v>0.8733142623620761</v>
      </c>
    </row>
    <row r="83" spans="1:7" x14ac:dyDescent="0.25">
      <c r="A83" s="49" t="str">
        <f>'Data Vlaue (Cr)'!C78</f>
        <v>HEROMOTOCO</v>
      </c>
      <c r="B83" s="50">
        <f>VLOOKUP($A83,'Data shares'!$C:$FM,102)</f>
        <v>26.66</v>
      </c>
      <c r="C83" s="50">
        <f>VLOOKUP($A83,'Data shares'!$C:$FM,110)</f>
        <v>26.54</v>
      </c>
      <c r="D83" s="50">
        <f>VLOOKUP($A83,'Data shares'!$C:$FM,114)</f>
        <v>26.96</v>
      </c>
      <c r="E83" s="50">
        <f>VLOOKUP($A83,'Data shares'!$C:$FM,106)</f>
        <v>29.76</v>
      </c>
      <c r="F83" s="50">
        <f>VLOOKUP($A83,'Data shares'!$C:$FM,108)</f>
        <v>-3.1</v>
      </c>
      <c r="G83" s="50">
        <f t="shared" si="2"/>
        <v>0.89583333333333326</v>
      </c>
    </row>
    <row r="84" spans="1:7" x14ac:dyDescent="0.25">
      <c r="A84" s="49" t="str">
        <f>'Data Vlaue (Cr)'!C79</f>
        <v>HINDALCO</v>
      </c>
      <c r="B84" s="50">
        <f>VLOOKUP($A84,'Data shares'!$C:$FM,102)</f>
        <v>46.57</v>
      </c>
      <c r="C84" s="50">
        <f>VLOOKUP($A84,'Data shares'!$C:$FM,110)</f>
        <v>46.37</v>
      </c>
      <c r="D84" s="50">
        <f>VLOOKUP($A84,'Data shares'!$C:$FM,114)</f>
        <v>46.92</v>
      </c>
      <c r="E84" s="50">
        <f>VLOOKUP($A84,'Data shares'!$C:$FM,106)</f>
        <v>34.479999999999997</v>
      </c>
      <c r="F84" s="50">
        <f>VLOOKUP($A84,'Data shares'!$C:$FM,108)</f>
        <v>12.09</v>
      </c>
      <c r="G84" s="50">
        <f t="shared" si="2"/>
        <v>1.3506380510440836</v>
      </c>
    </row>
    <row r="85" spans="1:7" x14ac:dyDescent="0.25">
      <c r="A85" s="49" t="str">
        <f>'Data Vlaue (Cr)'!C80</f>
        <v>HINDPETRO</v>
      </c>
      <c r="B85" s="50">
        <f>VLOOKUP($A85,'Data shares'!$C:$FM,102)</f>
        <v>31.66</v>
      </c>
      <c r="C85" s="50">
        <f>VLOOKUP($A85,'Data shares'!$C:$FM,110)</f>
        <v>31.28</v>
      </c>
      <c r="D85" s="50">
        <f>VLOOKUP($A85,'Data shares'!$C:$FM,114)</f>
        <v>33</v>
      </c>
      <c r="E85" s="50">
        <f>VLOOKUP($A85,'Data shares'!$C:$FM,106)</f>
        <v>38.56</v>
      </c>
      <c r="F85" s="50">
        <f>VLOOKUP($A85,'Data shares'!$C:$FM,108)</f>
        <v>-6.9</v>
      </c>
      <c r="G85" s="50">
        <f t="shared" si="2"/>
        <v>0.82105809128630702</v>
      </c>
    </row>
    <row r="86" spans="1:7" x14ac:dyDescent="0.25">
      <c r="A86" s="49" t="str">
        <f>'Data Vlaue (Cr)'!C81</f>
        <v>HINDUNILVR</v>
      </c>
      <c r="B86" s="50">
        <f>VLOOKUP($A86,'Data shares'!$C:$FM,102)</f>
        <v>28.13</v>
      </c>
      <c r="C86" s="50">
        <f>VLOOKUP($A86,'Data shares'!$C:$FM,110)</f>
        <v>27.63</v>
      </c>
      <c r="D86" s="50">
        <f>VLOOKUP($A86,'Data shares'!$C:$FM,114)</f>
        <v>29.29</v>
      </c>
      <c r="E86" s="50">
        <f>VLOOKUP($A86,'Data shares'!$C:$FM,106)</f>
        <v>21.72</v>
      </c>
      <c r="F86" s="50">
        <f>VLOOKUP($A86,'Data shares'!$C:$FM,108)</f>
        <v>6.41</v>
      </c>
      <c r="G86" s="50">
        <f t="shared" si="2"/>
        <v>1.2951197053406998</v>
      </c>
    </row>
    <row r="87" spans="1:7" x14ac:dyDescent="0.25">
      <c r="A87" s="49" t="str">
        <f>'Data Vlaue (Cr)'!C82</f>
        <v>HINDZINC</v>
      </c>
      <c r="B87" s="50">
        <f>VLOOKUP($A87,'Data shares'!$C:$FM,102)</f>
        <v>45.66</v>
      </c>
      <c r="C87" s="50">
        <f>VLOOKUP($A87,'Data shares'!$C:$FM,110)</f>
        <v>46.23</v>
      </c>
      <c r="D87" s="50">
        <f>VLOOKUP($A87,'Data shares'!$C:$FM,114)</f>
        <v>44.4</v>
      </c>
      <c r="E87" s="50">
        <f>VLOOKUP($A87,'Data shares'!$C:$FM,106)</f>
        <v>50.58</v>
      </c>
      <c r="F87" s="50">
        <f>VLOOKUP($A87,'Data shares'!$C:$FM,108)</f>
        <v>-4.92</v>
      </c>
      <c r="G87" s="50">
        <f t="shared" si="2"/>
        <v>0.90272835112692762</v>
      </c>
    </row>
    <row r="88" spans="1:7" x14ac:dyDescent="0.25">
      <c r="A88" s="49" t="str">
        <f>'Data Vlaue (Cr)'!C83</f>
        <v>HUDCO</v>
      </c>
      <c r="B88" s="50">
        <f>VLOOKUP($A88,'Data shares'!$C:$FM,102)</f>
        <v>36.74</v>
      </c>
      <c r="C88" s="50">
        <f>VLOOKUP($A88,'Data shares'!$C:$FM,110)</f>
        <v>36.94</v>
      </c>
      <c r="D88" s="50">
        <f>VLOOKUP($A88,'Data shares'!$C:$FM,114)</f>
        <v>36.33</v>
      </c>
      <c r="E88" s="50">
        <f>VLOOKUP($A88,'Data shares'!$C:$FM,106)</f>
        <v>49.89</v>
      </c>
      <c r="F88" s="50">
        <f>VLOOKUP($A88,'Data shares'!$C:$FM,108)</f>
        <v>-13.15</v>
      </c>
      <c r="G88" s="50">
        <f t="shared" si="2"/>
        <v>0.73642012427340153</v>
      </c>
    </row>
    <row r="89" spans="1:7" x14ac:dyDescent="0.25">
      <c r="A89" s="49" t="str">
        <f>'Data Vlaue (Cr)'!C84</f>
        <v>ICICIBANK</v>
      </c>
      <c r="B89" s="50">
        <f>VLOOKUP($A89,'Data shares'!$C:$FM,102)</f>
        <v>14.98</v>
      </c>
      <c r="C89" s="50">
        <f>VLOOKUP($A89,'Data shares'!$C:$FM,110)</f>
        <v>14.4</v>
      </c>
      <c r="D89" s="50">
        <f>VLOOKUP($A89,'Data shares'!$C:$FM,114)</f>
        <v>15.79</v>
      </c>
      <c r="E89" s="50">
        <f>VLOOKUP($A89,'Data shares'!$C:$FM,106)</f>
        <v>21.06</v>
      </c>
      <c r="F89" s="50">
        <f>VLOOKUP($A89,'Data shares'!$C:$FM,108)</f>
        <v>-6.08</v>
      </c>
      <c r="G89" s="50">
        <f t="shared" si="2"/>
        <v>0.71130104463437804</v>
      </c>
    </row>
    <row r="90" spans="1:7" x14ac:dyDescent="0.25">
      <c r="A90" s="49" t="str">
        <f>'Data Vlaue (Cr)'!C85</f>
        <v>ICICIGI</v>
      </c>
      <c r="B90" s="50">
        <f>VLOOKUP($A90,'Data shares'!$C:$FM,102)</f>
        <v>20.22</v>
      </c>
      <c r="C90" s="50">
        <f>VLOOKUP($A90,'Data shares'!$C:$FM,110)</f>
        <v>19.399999999999999</v>
      </c>
      <c r="D90" s="50">
        <f>VLOOKUP($A90,'Data shares'!$C:$FM,114)</f>
        <v>21.91</v>
      </c>
      <c r="E90" s="50">
        <f>VLOOKUP($A90,'Data shares'!$C:$FM,106)</f>
        <v>27.09</v>
      </c>
      <c r="F90" s="50">
        <f>VLOOKUP($A90,'Data shares'!$C:$FM,108)</f>
        <v>-6.87</v>
      </c>
      <c r="G90" s="50">
        <f t="shared" si="2"/>
        <v>0.74640088593576959</v>
      </c>
    </row>
    <row r="91" spans="1:7" x14ac:dyDescent="0.25">
      <c r="A91" s="49" t="str">
        <f>'Data Vlaue (Cr)'!C86</f>
        <v>ICICIPRULI</v>
      </c>
      <c r="B91" s="50">
        <f>VLOOKUP($A91,'Data shares'!$C:$FM,102)</f>
        <v>22.42</v>
      </c>
      <c r="C91" s="50">
        <f>VLOOKUP($A91,'Data shares'!$C:$FM,110)</f>
        <v>21.97</v>
      </c>
      <c r="D91" s="50">
        <f>VLOOKUP($A91,'Data shares'!$C:$FM,114)</f>
        <v>23.19</v>
      </c>
      <c r="E91" s="50">
        <f>VLOOKUP($A91,'Data shares'!$C:$FM,106)</f>
        <v>26.67</v>
      </c>
      <c r="F91" s="50">
        <f>VLOOKUP($A91,'Data shares'!$C:$FM,108)</f>
        <v>-4.25</v>
      </c>
      <c r="G91" s="50">
        <f t="shared" si="2"/>
        <v>0.84064491938507691</v>
      </c>
    </row>
    <row r="92" spans="1:7" x14ac:dyDescent="0.25">
      <c r="A92" s="49" t="str">
        <f>'Data Vlaue (Cr)'!C87</f>
        <v>IDEA</v>
      </c>
      <c r="B92" s="50">
        <f>VLOOKUP($A92,'Data shares'!$C:$FM,102)</f>
        <v>55.63</v>
      </c>
      <c r="C92" s="50">
        <f>VLOOKUP($A92,'Data shares'!$C:$FM,110)</f>
        <v>55.57</v>
      </c>
      <c r="D92" s="50">
        <f>VLOOKUP($A92,'Data shares'!$C:$FM,114)</f>
        <v>55.75</v>
      </c>
      <c r="E92" s="50">
        <f>VLOOKUP($A92,'Data shares'!$C:$FM,106)</f>
        <v>67.63</v>
      </c>
      <c r="F92" s="50">
        <f>VLOOKUP($A92,'Data shares'!$C:$FM,108)</f>
        <v>-12</v>
      </c>
      <c r="G92" s="50">
        <f t="shared" si="2"/>
        <v>0.82256395090935985</v>
      </c>
    </row>
    <row r="93" spans="1:7" x14ac:dyDescent="0.25">
      <c r="A93" s="49" t="str">
        <f>'Data Vlaue (Cr)'!C88</f>
        <v>IDFCFIRSTB</v>
      </c>
      <c r="B93" s="50">
        <f>VLOOKUP($A93,'Data shares'!$C:$FM,102)</f>
        <v>28.67</v>
      </c>
      <c r="C93" s="50">
        <f>VLOOKUP($A93,'Data shares'!$C:$FM,110)</f>
        <v>29.01</v>
      </c>
      <c r="D93" s="50">
        <f>VLOOKUP($A93,'Data shares'!$C:$FM,114)</f>
        <v>28.1</v>
      </c>
      <c r="E93" s="50">
        <f>VLOOKUP($A93,'Data shares'!$C:$FM,106)</f>
        <v>31.83</v>
      </c>
      <c r="F93" s="50">
        <f>VLOOKUP($A93,'Data shares'!$C:$FM,108)</f>
        <v>-3.16</v>
      </c>
      <c r="G93" s="50">
        <f t="shared" si="2"/>
        <v>0.90072258875274913</v>
      </c>
    </row>
    <row r="94" spans="1:7" x14ac:dyDescent="0.25">
      <c r="A94" s="49" t="str">
        <f>'Data Vlaue (Cr)'!C89</f>
        <v>IEX</v>
      </c>
      <c r="B94" s="50">
        <f>VLOOKUP($A94,'Data shares'!$C:$FM,102)</f>
        <v>45.65</v>
      </c>
      <c r="C94" s="50">
        <f>VLOOKUP($A94,'Data shares'!$C:$FM,110)</f>
        <v>45.53</v>
      </c>
      <c r="D94" s="50">
        <f>VLOOKUP($A94,'Data shares'!$C:$FM,114)</f>
        <v>46.07</v>
      </c>
      <c r="E94" s="50">
        <f>VLOOKUP($A94,'Data shares'!$C:$FM,106)</f>
        <v>53.66</v>
      </c>
      <c r="F94" s="50">
        <f>VLOOKUP($A94,'Data shares'!$C:$FM,108)</f>
        <v>-8.01</v>
      </c>
      <c r="G94" s="50">
        <f t="shared" si="2"/>
        <v>0.85072679836004472</v>
      </c>
    </row>
    <row r="95" spans="1:7" x14ac:dyDescent="0.25">
      <c r="A95" s="49" t="str">
        <f>'Data Vlaue (Cr)'!C90</f>
        <v>INDHOTEL</v>
      </c>
      <c r="B95" s="50">
        <f>VLOOKUP($A95,'Data shares'!$C:$FM,102)</f>
        <v>35.67</v>
      </c>
      <c r="C95" s="50">
        <f>VLOOKUP($A95,'Data shares'!$C:$FM,110)</f>
        <v>35.479999999999997</v>
      </c>
      <c r="D95" s="50">
        <f>VLOOKUP($A95,'Data shares'!$C:$FM,114)</f>
        <v>36.31</v>
      </c>
      <c r="E95" s="50">
        <f>VLOOKUP($A95,'Data shares'!$C:$FM,106)</f>
        <v>32.9</v>
      </c>
      <c r="F95" s="50">
        <f>VLOOKUP($A95,'Data shares'!$C:$FM,108)</f>
        <v>2.77</v>
      </c>
      <c r="G95" s="50">
        <f t="shared" si="2"/>
        <v>1.08419452887538</v>
      </c>
    </row>
    <row r="96" spans="1:7" x14ac:dyDescent="0.25">
      <c r="A96" s="49" t="str">
        <f>'Data Vlaue (Cr)'!C91</f>
        <v>INDIANB</v>
      </c>
      <c r="B96" s="50">
        <f>VLOOKUP($A96,'Data shares'!$C:$FM,102)</f>
        <v>30.18</v>
      </c>
      <c r="C96" s="50">
        <f>VLOOKUP($A96,'Data shares'!$C:$FM,110)</f>
        <v>29.95</v>
      </c>
      <c r="D96" s="50">
        <f>VLOOKUP($A96,'Data shares'!$C:$FM,114)</f>
        <v>30.54</v>
      </c>
      <c r="E96" s="50">
        <f>VLOOKUP($A96,'Data shares'!$C:$FM,106)</f>
        <v>39.1</v>
      </c>
      <c r="F96" s="50">
        <f>VLOOKUP($A96,'Data shares'!$C:$FM,108)</f>
        <v>-8.92</v>
      </c>
      <c r="G96" s="50">
        <f t="shared" si="2"/>
        <v>0.77186700767263428</v>
      </c>
    </row>
    <row r="97" spans="1:7" x14ac:dyDescent="0.25">
      <c r="A97" s="49" t="str">
        <f>'Data Vlaue (Cr)'!C92</f>
        <v>INDIAVIX</v>
      </c>
      <c r="B97" s="50">
        <f>VLOOKUP($A97,'Data shares'!$C:$FM,102)</f>
        <v>0</v>
      </c>
      <c r="C97" s="50">
        <f>VLOOKUP($A97,'Data shares'!$C:$FM,110)</f>
        <v>0</v>
      </c>
      <c r="D97" s="50">
        <f>VLOOKUP($A97,'Data shares'!$C:$FM,114)</f>
        <v>0</v>
      </c>
      <c r="E97" s="50">
        <f>VLOOKUP($A97,'Data shares'!$C:$FM,106)</f>
        <v>0</v>
      </c>
      <c r="F97" s="50">
        <f>VLOOKUP($A97,'Data shares'!$C:$FM,108)</f>
        <v>0</v>
      </c>
      <c r="G97" s="50" t="e">
        <f t="shared" si="2"/>
        <v>#DIV/0!</v>
      </c>
    </row>
    <row r="98" spans="1:7" x14ac:dyDescent="0.25">
      <c r="A98" s="49" t="str">
        <f>'Data Vlaue (Cr)'!C93</f>
        <v>INDIGO</v>
      </c>
      <c r="B98" s="50">
        <f>VLOOKUP($A98,'Data shares'!$C:$FM,102)</f>
        <v>26.79</v>
      </c>
      <c r="C98" s="50">
        <f>VLOOKUP($A98,'Data shares'!$C:$FM,110)</f>
        <v>25.86</v>
      </c>
      <c r="D98" s="50">
        <f>VLOOKUP($A98,'Data shares'!$C:$FM,114)</f>
        <v>28.8</v>
      </c>
      <c r="E98" s="50">
        <f>VLOOKUP($A98,'Data shares'!$C:$FM,106)</f>
        <v>33.86</v>
      </c>
      <c r="F98" s="50">
        <f>VLOOKUP($A98,'Data shares'!$C:$FM,108)</f>
        <v>-7.07</v>
      </c>
      <c r="G98" s="50">
        <f t="shared" si="2"/>
        <v>0.79119905493207321</v>
      </c>
    </row>
    <row r="99" spans="1:7" x14ac:dyDescent="0.25">
      <c r="A99" s="49" t="str">
        <f>'Data Vlaue (Cr)'!C94</f>
        <v>INDUSINDBK</v>
      </c>
      <c r="B99" s="50">
        <f>VLOOKUP($A99,'Data shares'!$C:$FM,102)</f>
        <v>29.22</v>
      </c>
      <c r="C99" s="50">
        <f>VLOOKUP($A99,'Data shares'!$C:$FM,110)</f>
        <v>28.69</v>
      </c>
      <c r="D99" s="50">
        <f>VLOOKUP($A99,'Data shares'!$C:$FM,114)</f>
        <v>30.3</v>
      </c>
      <c r="E99" s="50">
        <f>VLOOKUP($A99,'Data shares'!$C:$FM,106)</f>
        <v>42.15</v>
      </c>
      <c r="F99" s="50">
        <f>VLOOKUP($A99,'Data shares'!$C:$FM,108)</f>
        <v>-12.93</v>
      </c>
      <c r="G99" s="50">
        <f t="shared" si="2"/>
        <v>0.69323843416370101</v>
      </c>
    </row>
    <row r="100" spans="1:7" x14ac:dyDescent="0.25">
      <c r="A100" s="49" t="str">
        <f>'Data Vlaue (Cr)'!C95</f>
        <v>INDUSTOWER</v>
      </c>
      <c r="B100" s="50">
        <f>VLOOKUP($A100,'Data shares'!$C:$FM,102)</f>
        <v>31.73</v>
      </c>
      <c r="C100" s="50">
        <f>VLOOKUP($A100,'Data shares'!$C:$FM,110)</f>
        <v>31.5</v>
      </c>
      <c r="D100" s="50">
        <f>VLOOKUP($A100,'Data shares'!$C:$FM,114)</f>
        <v>32.29</v>
      </c>
      <c r="E100" s="50">
        <f>VLOOKUP($A100,'Data shares'!$C:$FM,106)</f>
        <v>37.85</v>
      </c>
      <c r="F100" s="50">
        <f>VLOOKUP($A100,'Data shares'!$C:$FM,108)</f>
        <v>-6.12</v>
      </c>
      <c r="G100" s="50">
        <f t="shared" si="2"/>
        <v>0.83830911492734472</v>
      </c>
    </row>
    <row r="101" spans="1:7" x14ac:dyDescent="0.25">
      <c r="A101" s="49" t="str">
        <f>'Data Vlaue (Cr)'!C96</f>
        <v>INFY</v>
      </c>
      <c r="B101" s="50">
        <f>VLOOKUP($A101,'Data shares'!$C:$FM,102)</f>
        <v>33.229999999999997</v>
      </c>
      <c r="C101" s="50">
        <f>VLOOKUP($A101,'Data shares'!$C:$FM,110)</f>
        <v>33.119999999999997</v>
      </c>
      <c r="D101" s="50">
        <f>VLOOKUP($A101,'Data shares'!$C:$FM,114)</f>
        <v>33.42</v>
      </c>
      <c r="E101" s="50">
        <f>VLOOKUP($A101,'Data shares'!$C:$FM,106)</f>
        <v>29.87</v>
      </c>
      <c r="F101" s="50">
        <f>VLOOKUP($A101,'Data shares'!$C:$FM,108)</f>
        <v>3.36</v>
      </c>
      <c r="G101" s="50">
        <f t="shared" si="2"/>
        <v>1.1124874455975895</v>
      </c>
    </row>
    <row r="102" spans="1:7" x14ac:dyDescent="0.25">
      <c r="A102" s="49" t="str">
        <f>'Data Vlaue (Cr)'!C97</f>
        <v>INOXWIND</v>
      </c>
      <c r="B102" s="50">
        <f>VLOOKUP($A102,'Data shares'!$C:$FM,102)</f>
        <v>55.35</v>
      </c>
      <c r="C102" s="50">
        <f>VLOOKUP($A102,'Data shares'!$C:$FM,110)</f>
        <v>55.42</v>
      </c>
      <c r="D102" s="50">
        <f>VLOOKUP($A102,'Data shares'!$C:$FM,114)</f>
        <v>55.11</v>
      </c>
      <c r="E102" s="50">
        <f>VLOOKUP($A102,'Data shares'!$C:$FM,106)</f>
        <v>51.65</v>
      </c>
      <c r="F102" s="50">
        <f>VLOOKUP($A102,'Data shares'!$C:$FM,108)</f>
        <v>3.7</v>
      </c>
      <c r="G102" s="50">
        <f t="shared" si="2"/>
        <v>1.0716360116166506</v>
      </c>
    </row>
    <row r="103" spans="1:7" x14ac:dyDescent="0.25">
      <c r="A103" s="49" t="str">
        <f>'Data Vlaue (Cr)'!C98</f>
        <v>IOC</v>
      </c>
      <c r="B103" s="50">
        <f>VLOOKUP($A103,'Data shares'!$C:$FM,102)</f>
        <v>28.51</v>
      </c>
      <c r="C103" s="50">
        <f>VLOOKUP($A103,'Data shares'!$C:$FM,110)</f>
        <v>27.74</v>
      </c>
      <c r="D103" s="50">
        <f>VLOOKUP($A103,'Data shares'!$C:$FM,114)</f>
        <v>29.92</v>
      </c>
      <c r="E103" s="50">
        <f>VLOOKUP($A103,'Data shares'!$C:$FM,106)</f>
        <v>30.71</v>
      </c>
      <c r="F103" s="50">
        <f>VLOOKUP($A103,'Data shares'!$C:$FM,108)</f>
        <v>-2.2000000000000002</v>
      </c>
      <c r="G103" s="50">
        <f t="shared" ref="G103:G134" si="3">B103/E103</f>
        <v>0.92836209703679584</v>
      </c>
    </row>
    <row r="104" spans="1:7" x14ac:dyDescent="0.25">
      <c r="A104" s="49" t="str">
        <f>'Data Vlaue (Cr)'!C99</f>
        <v>IRCTC</v>
      </c>
      <c r="B104" s="50">
        <f>VLOOKUP($A104,'Data shares'!$C:$FM,102)</f>
        <v>37.33</v>
      </c>
      <c r="C104" s="50">
        <f>VLOOKUP($A104,'Data shares'!$C:$FM,110)</f>
        <v>37.76</v>
      </c>
      <c r="D104" s="50">
        <f>VLOOKUP($A104,'Data shares'!$C:$FM,114)</f>
        <v>35.85</v>
      </c>
      <c r="E104" s="50">
        <f>VLOOKUP($A104,'Data shares'!$C:$FM,106)</f>
        <v>29.53</v>
      </c>
      <c r="F104" s="50">
        <f>VLOOKUP($A104,'Data shares'!$C:$FM,108)</f>
        <v>7.8</v>
      </c>
      <c r="G104" s="50">
        <f t="shared" si="3"/>
        <v>1.2641381645783947</v>
      </c>
    </row>
    <row r="105" spans="1:7" x14ac:dyDescent="0.25">
      <c r="A105" s="49" t="str">
        <f>'Data Vlaue (Cr)'!C100</f>
        <v>IREDA</v>
      </c>
      <c r="B105" s="50">
        <f>VLOOKUP($A105,'Data shares'!$C:$FM,102)</f>
        <v>40.64</v>
      </c>
      <c r="C105" s="50">
        <f>VLOOKUP($A105,'Data shares'!$C:$FM,110)</f>
        <v>41.44</v>
      </c>
      <c r="D105" s="50">
        <f>VLOOKUP($A105,'Data shares'!$C:$FM,114)</f>
        <v>38.6</v>
      </c>
      <c r="E105" s="50">
        <f>VLOOKUP($A105,'Data shares'!$C:$FM,106)</f>
        <v>48.32</v>
      </c>
      <c r="F105" s="50">
        <f>VLOOKUP($A105,'Data shares'!$C:$FM,108)</f>
        <v>-7.68</v>
      </c>
      <c r="G105" s="50">
        <f t="shared" si="3"/>
        <v>0.84105960264900659</v>
      </c>
    </row>
    <row r="106" spans="1:7" x14ac:dyDescent="0.25">
      <c r="A106" s="49" t="str">
        <f>'Data Vlaue (Cr)'!C101</f>
        <v>IRFC</v>
      </c>
      <c r="B106" s="50">
        <f>VLOOKUP($A106,'Data shares'!$C:$FM,102)</f>
        <v>42.07</v>
      </c>
      <c r="C106" s="50">
        <f>VLOOKUP($A106,'Data shares'!$C:$FM,110)</f>
        <v>43.49</v>
      </c>
      <c r="D106" s="50">
        <f>VLOOKUP($A106,'Data shares'!$C:$FM,114)</f>
        <v>36.450000000000003</v>
      </c>
      <c r="E106" s="50">
        <f>VLOOKUP($A106,'Data shares'!$C:$FM,106)</f>
        <v>45.24</v>
      </c>
      <c r="F106" s="50">
        <f>VLOOKUP($A106,'Data shares'!$C:$FM,108)</f>
        <v>-3.17</v>
      </c>
      <c r="G106" s="50">
        <f t="shared" si="3"/>
        <v>0.92992926613616267</v>
      </c>
    </row>
    <row r="107" spans="1:7" x14ac:dyDescent="0.25">
      <c r="A107" s="49" t="str">
        <f>'Data Vlaue (Cr)'!C102</f>
        <v>ITC</v>
      </c>
      <c r="B107" s="50">
        <f>VLOOKUP($A107,'Data shares'!$C:$FM,102)</f>
        <v>22.86</v>
      </c>
      <c r="C107" s="50">
        <f>VLOOKUP($A107,'Data shares'!$C:$FM,110)</f>
        <v>23.75</v>
      </c>
      <c r="D107" s="50">
        <f>VLOOKUP($A107,'Data shares'!$C:$FM,114)</f>
        <v>20.93</v>
      </c>
      <c r="E107" s="50">
        <f>VLOOKUP($A107,'Data shares'!$C:$FM,106)</f>
        <v>24.42</v>
      </c>
      <c r="F107" s="50">
        <f>VLOOKUP($A107,'Data shares'!$C:$FM,108)</f>
        <v>-1.56</v>
      </c>
      <c r="G107" s="50">
        <f t="shared" si="3"/>
        <v>0.93611793611793603</v>
      </c>
    </row>
    <row r="108" spans="1:7" x14ac:dyDescent="0.25">
      <c r="A108" s="49" t="str">
        <f>'Data Vlaue (Cr)'!C103</f>
        <v>JINDALSTEL</v>
      </c>
      <c r="B108" s="50">
        <f>VLOOKUP($A108,'Data shares'!$C:$FM,102)</f>
        <v>31.17</v>
      </c>
      <c r="C108" s="50">
        <f>VLOOKUP($A108,'Data shares'!$C:$FM,110)</f>
        <v>30.25</v>
      </c>
      <c r="D108" s="50">
        <f>VLOOKUP($A108,'Data shares'!$C:$FM,114)</f>
        <v>32.17</v>
      </c>
      <c r="E108" s="50">
        <f>VLOOKUP($A108,'Data shares'!$C:$FM,106)</f>
        <v>34.92</v>
      </c>
      <c r="F108" s="50">
        <f>VLOOKUP($A108,'Data shares'!$C:$FM,108)</f>
        <v>-3.75</v>
      </c>
      <c r="G108" s="50">
        <f t="shared" si="3"/>
        <v>0.8926116838487973</v>
      </c>
    </row>
    <row r="109" spans="1:7" x14ac:dyDescent="0.25">
      <c r="A109" s="49" t="str">
        <f>'Data Vlaue (Cr)'!C104</f>
        <v>JIOFIN</v>
      </c>
      <c r="B109" s="50">
        <f>VLOOKUP($A109,'Data shares'!$C:$FM,102)</f>
        <v>29.58</v>
      </c>
      <c r="C109" s="50">
        <f>VLOOKUP($A109,'Data shares'!$C:$FM,110)</f>
        <v>29.67</v>
      </c>
      <c r="D109" s="50">
        <f>VLOOKUP($A109,'Data shares'!$C:$FM,114)</f>
        <v>29.32</v>
      </c>
      <c r="E109" s="50">
        <f>VLOOKUP($A109,'Data shares'!$C:$FM,106)</f>
        <v>35.36</v>
      </c>
      <c r="F109" s="50">
        <f>VLOOKUP($A109,'Data shares'!$C:$FM,108)</f>
        <v>-5.78</v>
      </c>
      <c r="G109" s="50">
        <f t="shared" si="3"/>
        <v>0.83653846153846145</v>
      </c>
    </row>
    <row r="110" spans="1:7" x14ac:dyDescent="0.25">
      <c r="A110" s="49" t="str">
        <f>'Data Vlaue (Cr)'!C105</f>
        <v>JSWENERGY</v>
      </c>
      <c r="B110" s="50">
        <f>VLOOKUP($A110,'Data shares'!$C:$FM,102)</f>
        <v>26.05</v>
      </c>
      <c r="C110" s="50">
        <f>VLOOKUP($A110,'Data shares'!$C:$FM,110)</f>
        <v>25.24</v>
      </c>
      <c r="D110" s="50">
        <f>VLOOKUP($A110,'Data shares'!$C:$FM,114)</f>
        <v>27.6</v>
      </c>
      <c r="E110" s="50">
        <f>VLOOKUP($A110,'Data shares'!$C:$FM,106)</f>
        <v>42.91</v>
      </c>
      <c r="F110" s="50">
        <f>VLOOKUP($A110,'Data shares'!$C:$FM,108)</f>
        <v>-16.86</v>
      </c>
      <c r="G110" s="50">
        <f t="shared" si="3"/>
        <v>0.60708459566534612</v>
      </c>
    </row>
    <row r="111" spans="1:7" x14ac:dyDescent="0.25">
      <c r="A111" s="49" t="str">
        <f>'Data Vlaue (Cr)'!C106</f>
        <v>JSWSTEEL</v>
      </c>
      <c r="B111" s="50">
        <f>VLOOKUP($A111,'Data shares'!$C:$FM,102)</f>
        <v>24.82</v>
      </c>
      <c r="C111" s="50">
        <f>VLOOKUP($A111,'Data shares'!$C:$FM,110)</f>
        <v>24.18</v>
      </c>
      <c r="D111" s="50">
        <f>VLOOKUP($A111,'Data shares'!$C:$FM,114)</f>
        <v>25.91</v>
      </c>
      <c r="E111" s="50">
        <f>VLOOKUP($A111,'Data shares'!$C:$FM,106)</f>
        <v>29.38</v>
      </c>
      <c r="F111" s="50">
        <f>VLOOKUP($A111,'Data shares'!$C:$FM,108)</f>
        <v>-4.5599999999999996</v>
      </c>
      <c r="G111" s="50">
        <f t="shared" si="3"/>
        <v>0.84479237576582711</v>
      </c>
    </row>
    <row r="112" spans="1:7" x14ac:dyDescent="0.25">
      <c r="A112" s="49" t="str">
        <f>'Data Vlaue (Cr)'!C107</f>
        <v>JUBLFOOD</v>
      </c>
      <c r="B112" s="50">
        <f>VLOOKUP($A112,'Data shares'!$C:$FM,102)</f>
        <v>37.14</v>
      </c>
      <c r="C112" s="50">
        <f>VLOOKUP($A112,'Data shares'!$C:$FM,110)</f>
        <v>37.299999999999997</v>
      </c>
      <c r="D112" s="50">
        <f>VLOOKUP($A112,'Data shares'!$C:$FM,114)</f>
        <v>36.74</v>
      </c>
      <c r="E112" s="50">
        <f>VLOOKUP($A112,'Data shares'!$C:$FM,106)</f>
        <v>33.01</v>
      </c>
      <c r="F112" s="50">
        <f>VLOOKUP($A112,'Data shares'!$C:$FM,108)</f>
        <v>4.13</v>
      </c>
      <c r="G112" s="50">
        <f t="shared" si="3"/>
        <v>1.1251136019388066</v>
      </c>
    </row>
    <row r="113" spans="1:7" x14ac:dyDescent="0.25">
      <c r="A113" s="49" t="str">
        <f>'Data Vlaue (Cr)'!C108</f>
        <v>KALYANKJIL</v>
      </c>
      <c r="B113" s="50">
        <f>VLOOKUP($A113,'Data shares'!$C:$FM,102)</f>
        <v>46.88</v>
      </c>
      <c r="C113" s="50">
        <f>VLOOKUP($A113,'Data shares'!$C:$FM,110)</f>
        <v>48</v>
      </c>
      <c r="D113" s="50">
        <f>VLOOKUP($A113,'Data shares'!$C:$FM,114)</f>
        <v>45.32</v>
      </c>
      <c r="E113" s="50">
        <f>VLOOKUP($A113,'Data shares'!$C:$FM,106)</f>
        <v>53.02</v>
      </c>
      <c r="F113" s="50">
        <f>VLOOKUP($A113,'Data shares'!$C:$FM,108)</f>
        <v>-6.14</v>
      </c>
      <c r="G113" s="50">
        <f t="shared" si="3"/>
        <v>0.88419464353074306</v>
      </c>
    </row>
    <row r="114" spans="1:7" x14ac:dyDescent="0.25">
      <c r="A114" s="49" t="str">
        <f>'Data Vlaue (Cr)'!C109</f>
        <v>KAYNES</v>
      </c>
      <c r="B114" s="50">
        <f>VLOOKUP($A114,'Data shares'!$C:$FM,102)</f>
        <v>54.23</v>
      </c>
      <c r="C114" s="50">
        <f>VLOOKUP($A114,'Data shares'!$C:$FM,110)</f>
        <v>53.03</v>
      </c>
      <c r="D114" s="50">
        <f>VLOOKUP($A114,'Data shares'!$C:$FM,114)</f>
        <v>57.6</v>
      </c>
      <c r="E114" s="50">
        <f>VLOOKUP($A114,'Data shares'!$C:$FM,106)</f>
        <v>61.58</v>
      </c>
      <c r="F114" s="50">
        <f>VLOOKUP($A114,'Data shares'!$C:$FM,108)</f>
        <v>-7.35</v>
      </c>
      <c r="G114" s="50">
        <f t="shared" si="3"/>
        <v>0.8806430659304969</v>
      </c>
    </row>
    <row r="115" spans="1:7" x14ac:dyDescent="0.25">
      <c r="A115" s="49" t="str">
        <f>'Data Vlaue (Cr)'!C110</f>
        <v>KEI</v>
      </c>
      <c r="B115" s="50">
        <f>VLOOKUP($A115,'Data shares'!$C:$FM,102)</f>
        <v>31.67</v>
      </c>
      <c r="C115" s="50">
        <f>VLOOKUP($A115,'Data shares'!$C:$FM,110)</f>
        <v>31.38</v>
      </c>
      <c r="D115" s="50">
        <f>VLOOKUP($A115,'Data shares'!$C:$FM,114)</f>
        <v>32.380000000000003</v>
      </c>
      <c r="E115" s="50">
        <f>VLOOKUP($A115,'Data shares'!$C:$FM,106)</f>
        <v>45.57</v>
      </c>
      <c r="F115" s="50">
        <f>VLOOKUP($A115,'Data shares'!$C:$FM,108)</f>
        <v>-13.9</v>
      </c>
      <c r="G115" s="50">
        <f t="shared" si="3"/>
        <v>0.69497476409918812</v>
      </c>
    </row>
    <row r="116" spans="1:7" x14ac:dyDescent="0.25">
      <c r="A116" s="49" t="str">
        <f>'Data Vlaue (Cr)'!C111</f>
        <v>KFINTECH</v>
      </c>
      <c r="B116" s="50">
        <f>VLOOKUP($A116,'Data shares'!$C:$FM,102)</f>
        <v>50.26</v>
      </c>
      <c r="C116" s="50">
        <f>VLOOKUP($A116,'Data shares'!$C:$FM,110)</f>
        <v>50.24</v>
      </c>
      <c r="D116" s="50">
        <f>VLOOKUP($A116,'Data shares'!$C:$FM,114)</f>
        <v>50.32</v>
      </c>
      <c r="E116" s="50">
        <f>VLOOKUP($A116,'Data shares'!$C:$FM,106)</f>
        <v>50.43</v>
      </c>
      <c r="F116" s="50">
        <f>VLOOKUP($A116,'Data shares'!$C:$FM,108)</f>
        <v>-0.17</v>
      </c>
      <c r="G116" s="50">
        <f t="shared" si="3"/>
        <v>0.99662899068015065</v>
      </c>
    </row>
    <row r="117" spans="1:7" x14ac:dyDescent="0.25">
      <c r="A117" s="49" t="str">
        <f>'Data Vlaue (Cr)'!C112</f>
        <v>KOTAKBANK</v>
      </c>
      <c r="B117" s="50">
        <f>VLOOKUP($A117,'Data shares'!$C:$FM,102)</f>
        <v>19.89</v>
      </c>
      <c r="C117" s="50">
        <f>VLOOKUP($A117,'Data shares'!$C:$FM,110)</f>
        <v>19.079999999999998</v>
      </c>
      <c r="D117" s="50">
        <f>VLOOKUP($A117,'Data shares'!$C:$FM,114)</f>
        <v>20.99</v>
      </c>
      <c r="E117" s="50">
        <f>VLOOKUP($A117,'Data shares'!$C:$FM,106)</f>
        <v>25.31</v>
      </c>
      <c r="F117" s="50">
        <f>VLOOKUP($A117,'Data shares'!$C:$FM,108)</f>
        <v>-5.42</v>
      </c>
      <c r="G117" s="50">
        <f t="shared" si="3"/>
        <v>0.78585539312524699</v>
      </c>
    </row>
    <row r="118" spans="1:7" x14ac:dyDescent="0.25">
      <c r="A118" s="49" t="str">
        <f>'Data Vlaue (Cr)'!C113</f>
        <v>KPITTECH</v>
      </c>
      <c r="B118" s="50">
        <f>VLOOKUP($A118,'Data shares'!$C:$FM,102)</f>
        <v>41.81</v>
      </c>
      <c r="C118" s="50">
        <f>VLOOKUP($A118,'Data shares'!$C:$FM,110)</f>
        <v>42.45</v>
      </c>
      <c r="D118" s="50">
        <f>VLOOKUP($A118,'Data shares'!$C:$FM,114)</f>
        <v>39.369999999999997</v>
      </c>
      <c r="E118" s="50">
        <f>VLOOKUP($A118,'Data shares'!$C:$FM,106)</f>
        <v>42.52</v>
      </c>
      <c r="F118" s="50">
        <f>VLOOKUP($A118,'Data shares'!$C:$FM,108)</f>
        <v>-0.71</v>
      </c>
      <c r="G118" s="50">
        <f t="shared" si="3"/>
        <v>0.98330197554092191</v>
      </c>
    </row>
    <row r="119" spans="1:7" x14ac:dyDescent="0.25">
      <c r="A119" s="49" t="str">
        <f>'Data Vlaue (Cr)'!C114</f>
        <v>LAURUSLABS</v>
      </c>
      <c r="B119" s="50">
        <f>VLOOKUP($A119,'Data shares'!$C:$FM,102)</f>
        <v>34.43</v>
      </c>
      <c r="C119" s="50">
        <f>VLOOKUP($A119,'Data shares'!$C:$FM,110)</f>
        <v>34.42</v>
      </c>
      <c r="D119" s="50">
        <f>VLOOKUP($A119,'Data shares'!$C:$FM,114)</f>
        <v>34.47</v>
      </c>
      <c r="E119" s="50">
        <f>VLOOKUP($A119,'Data shares'!$C:$FM,106)</f>
        <v>38.82</v>
      </c>
      <c r="F119" s="50">
        <f>VLOOKUP($A119,'Data shares'!$C:$FM,108)</f>
        <v>-4.3899999999999997</v>
      </c>
      <c r="G119" s="50">
        <f t="shared" si="3"/>
        <v>0.88691396187532201</v>
      </c>
    </row>
    <row r="120" spans="1:7" x14ac:dyDescent="0.25">
      <c r="A120" s="49" t="str">
        <f>'Data Vlaue (Cr)'!C115</f>
        <v>LICHSGFIN</v>
      </c>
      <c r="B120" s="50">
        <f>VLOOKUP($A120,'Data shares'!$C:$FM,102)</f>
        <v>26.47</v>
      </c>
      <c r="C120" s="50">
        <f>VLOOKUP($A120,'Data shares'!$C:$FM,110)</f>
        <v>25.86</v>
      </c>
      <c r="D120" s="50">
        <f>VLOOKUP($A120,'Data shares'!$C:$FM,114)</f>
        <v>28.02</v>
      </c>
      <c r="E120" s="50">
        <f>VLOOKUP($A120,'Data shares'!$C:$FM,106)</f>
        <v>31.91</v>
      </c>
      <c r="F120" s="50">
        <f>VLOOKUP($A120,'Data shares'!$C:$FM,108)</f>
        <v>-5.44</v>
      </c>
      <c r="G120" s="50">
        <f t="shared" si="3"/>
        <v>0.82952052648072705</v>
      </c>
    </row>
    <row r="121" spans="1:7" x14ac:dyDescent="0.25">
      <c r="A121" s="49" t="str">
        <f>'Data Vlaue (Cr)'!C116</f>
        <v>LICI</v>
      </c>
      <c r="B121" s="50">
        <f>VLOOKUP($A121,'Data shares'!$C:$FM,102)</f>
        <v>26.67</v>
      </c>
      <c r="C121" s="50">
        <f>VLOOKUP($A121,'Data shares'!$C:$FM,110)</f>
        <v>27.64</v>
      </c>
      <c r="D121" s="50">
        <f>VLOOKUP($A121,'Data shares'!$C:$FM,114)</f>
        <v>25.08</v>
      </c>
      <c r="E121" s="50">
        <f>VLOOKUP($A121,'Data shares'!$C:$FM,106)</f>
        <v>30.92</v>
      </c>
      <c r="F121" s="50">
        <f>VLOOKUP($A121,'Data shares'!$C:$FM,108)</f>
        <v>-4.25</v>
      </c>
      <c r="G121" s="50">
        <f t="shared" si="3"/>
        <v>0.86254851228978013</v>
      </c>
    </row>
    <row r="122" spans="1:7" x14ac:dyDescent="0.25">
      <c r="A122" s="49" t="str">
        <f>'Data Vlaue (Cr)'!C117</f>
        <v>LODHA</v>
      </c>
      <c r="B122" s="50">
        <f>VLOOKUP($A122,'Data shares'!$C:$FM,102)</f>
        <v>32.43</v>
      </c>
      <c r="C122" s="50">
        <f>VLOOKUP($A122,'Data shares'!$C:$FM,110)</f>
        <v>30.03</v>
      </c>
      <c r="D122" s="50">
        <f>VLOOKUP($A122,'Data shares'!$C:$FM,114)</f>
        <v>35.51</v>
      </c>
      <c r="E122" s="50">
        <f>VLOOKUP($A122,'Data shares'!$C:$FM,106)</f>
        <v>45.24</v>
      </c>
      <c r="F122" s="50">
        <f>VLOOKUP($A122,'Data shares'!$C:$FM,108)</f>
        <v>-12.81</v>
      </c>
      <c r="G122" s="50">
        <f t="shared" si="3"/>
        <v>0.71684350132625996</v>
      </c>
    </row>
    <row r="123" spans="1:7" x14ac:dyDescent="0.25">
      <c r="A123" s="49" t="str">
        <f>'Data Vlaue (Cr)'!C118</f>
        <v>LT</v>
      </c>
      <c r="B123" s="50">
        <f>VLOOKUP($A123,'Data shares'!$C:$FM,102)</f>
        <v>16.739999999999998</v>
      </c>
      <c r="C123" s="50">
        <f>VLOOKUP($A123,'Data shares'!$C:$FM,110)</f>
        <v>15.98</v>
      </c>
      <c r="D123" s="50">
        <f>VLOOKUP($A123,'Data shares'!$C:$FM,114)</f>
        <v>17.34</v>
      </c>
      <c r="E123" s="50">
        <f>VLOOKUP($A123,'Data shares'!$C:$FM,106)</f>
        <v>26.36</v>
      </c>
      <c r="F123" s="50">
        <f>VLOOKUP($A123,'Data shares'!$C:$FM,108)</f>
        <v>-9.6199999999999992</v>
      </c>
      <c r="G123" s="50">
        <f t="shared" si="3"/>
        <v>0.63505311077389981</v>
      </c>
    </row>
    <row r="124" spans="1:7" x14ac:dyDescent="0.25">
      <c r="A124" s="49" t="str">
        <f>'Data Vlaue (Cr)'!C119</f>
        <v>LTF</v>
      </c>
      <c r="B124" s="50">
        <f>VLOOKUP($A124,'Data shares'!$C:$FM,102)</f>
        <v>39.86</v>
      </c>
      <c r="C124" s="50">
        <f>VLOOKUP($A124,'Data shares'!$C:$FM,110)</f>
        <v>40.57</v>
      </c>
      <c r="D124" s="50">
        <f>VLOOKUP($A124,'Data shares'!$C:$FM,114)</f>
        <v>38.21</v>
      </c>
      <c r="E124" s="50">
        <f>VLOOKUP($A124,'Data shares'!$C:$FM,106)</f>
        <v>37.979999999999997</v>
      </c>
      <c r="F124" s="50">
        <f>VLOOKUP($A124,'Data shares'!$C:$FM,108)</f>
        <v>1.88</v>
      </c>
      <c r="G124" s="50">
        <f t="shared" si="3"/>
        <v>1.0494997367035281</v>
      </c>
    </row>
    <row r="125" spans="1:7" x14ac:dyDescent="0.25">
      <c r="A125" s="49" t="str">
        <f>'Data Vlaue (Cr)'!C120</f>
        <v>LTIM</v>
      </c>
      <c r="B125" s="50">
        <f>VLOOKUP($A125,'Data shares'!$C:$FM,102)</f>
        <v>33.72</v>
      </c>
      <c r="C125" s="50">
        <f>VLOOKUP($A125,'Data shares'!$C:$FM,110)</f>
        <v>33.409999999999997</v>
      </c>
      <c r="D125" s="50">
        <f>VLOOKUP($A125,'Data shares'!$C:$FM,114)</f>
        <v>34.19</v>
      </c>
      <c r="E125" s="50">
        <f>VLOOKUP($A125,'Data shares'!$C:$FM,106)</f>
        <v>33.32</v>
      </c>
      <c r="F125" s="50">
        <f>VLOOKUP($A125,'Data shares'!$C:$FM,108)</f>
        <v>0.4</v>
      </c>
      <c r="G125" s="50">
        <f t="shared" si="3"/>
        <v>1.0120048019207684</v>
      </c>
    </row>
    <row r="126" spans="1:7" x14ac:dyDescent="0.25">
      <c r="A126" s="49" t="str">
        <f>'Data Vlaue (Cr)'!C121</f>
        <v>LUPIN</v>
      </c>
      <c r="B126" s="50">
        <f>VLOOKUP($A126,'Data shares'!$C:$FM,102)</f>
        <v>38.46</v>
      </c>
      <c r="C126" s="50">
        <f>VLOOKUP($A126,'Data shares'!$C:$FM,110)</f>
        <v>38.47</v>
      </c>
      <c r="D126" s="50">
        <f>VLOOKUP($A126,'Data shares'!$C:$FM,114)</f>
        <v>38.409999999999997</v>
      </c>
      <c r="E126" s="50">
        <f>VLOOKUP($A126,'Data shares'!$C:$FM,106)</f>
        <v>29.13</v>
      </c>
      <c r="F126" s="50">
        <f>VLOOKUP($A126,'Data shares'!$C:$FM,108)</f>
        <v>9.33</v>
      </c>
      <c r="G126" s="50">
        <f t="shared" si="3"/>
        <v>1.3202883625128734</v>
      </c>
    </row>
    <row r="127" spans="1:7" x14ac:dyDescent="0.25">
      <c r="A127" s="49" t="str">
        <f>'Data Vlaue (Cr)'!C122</f>
        <v>M&amp;M</v>
      </c>
      <c r="B127" s="50">
        <f>VLOOKUP($A127,'Data shares'!$C:$FM,102)</f>
        <v>32.15</v>
      </c>
      <c r="C127" s="50">
        <f>VLOOKUP($A127,'Data shares'!$C:$FM,110)</f>
        <v>32.549999999999997</v>
      </c>
      <c r="D127" s="50">
        <f>VLOOKUP($A127,'Data shares'!$C:$FM,114)</f>
        <v>31.16</v>
      </c>
      <c r="E127" s="50">
        <f>VLOOKUP($A127,'Data shares'!$C:$FM,106)</f>
        <v>31.26</v>
      </c>
      <c r="F127" s="50">
        <f>VLOOKUP($A127,'Data shares'!$C:$FM,108)</f>
        <v>0.89</v>
      </c>
      <c r="G127" s="50">
        <f t="shared" si="3"/>
        <v>1.0284708893154191</v>
      </c>
    </row>
    <row r="128" spans="1:7" x14ac:dyDescent="0.25">
      <c r="A128" s="49" t="str">
        <f>'Data Vlaue (Cr)'!C123</f>
        <v>MANAPPURAM</v>
      </c>
      <c r="B128" s="50">
        <f>VLOOKUP($A128,'Data shares'!$C:$FM,102)</f>
        <v>45.8</v>
      </c>
      <c r="C128" s="50">
        <f>VLOOKUP($A128,'Data shares'!$C:$FM,110)</f>
        <v>45.13</v>
      </c>
      <c r="D128" s="50">
        <f>VLOOKUP($A128,'Data shares'!$C:$FM,114)</f>
        <v>46.67</v>
      </c>
      <c r="E128" s="50">
        <f>VLOOKUP($A128,'Data shares'!$C:$FM,106)</f>
        <v>42.97</v>
      </c>
      <c r="F128" s="50">
        <f>VLOOKUP($A128,'Data shares'!$C:$FM,108)</f>
        <v>2.83</v>
      </c>
      <c r="G128" s="50">
        <f t="shared" si="3"/>
        <v>1.0658599022573889</v>
      </c>
    </row>
    <row r="129" spans="1:7" x14ac:dyDescent="0.25">
      <c r="A129" s="49" t="str">
        <f>'Data Vlaue (Cr)'!C124</f>
        <v>MANKIND</v>
      </c>
      <c r="B129" s="50">
        <f>VLOOKUP($A129,'Data shares'!$C:$FM,102)</f>
        <v>27.9</v>
      </c>
      <c r="C129" s="50">
        <f>VLOOKUP($A129,'Data shares'!$C:$FM,110)</f>
        <v>28.15</v>
      </c>
      <c r="D129" s="50">
        <f>VLOOKUP($A129,'Data shares'!$C:$FM,114)</f>
        <v>26.63</v>
      </c>
      <c r="E129" s="50">
        <f>VLOOKUP($A129,'Data shares'!$C:$FM,106)</f>
        <v>32.65</v>
      </c>
      <c r="F129" s="50">
        <f>VLOOKUP($A129,'Data shares'!$C:$FM,108)</f>
        <v>-4.75</v>
      </c>
      <c r="G129" s="50">
        <f t="shared" si="3"/>
        <v>0.85451761102603363</v>
      </c>
    </row>
    <row r="130" spans="1:7" x14ac:dyDescent="0.25">
      <c r="A130" s="49" t="str">
        <f>'Data Vlaue (Cr)'!C125</f>
        <v>MARICO</v>
      </c>
      <c r="B130" s="50">
        <f>VLOOKUP($A130,'Data shares'!$C:$FM,102)</f>
        <v>19.350000000000001</v>
      </c>
      <c r="C130" s="50">
        <f>VLOOKUP($A130,'Data shares'!$C:$FM,110)</f>
        <v>18.600000000000001</v>
      </c>
      <c r="D130" s="50">
        <f>VLOOKUP($A130,'Data shares'!$C:$FM,114)</f>
        <v>21.07</v>
      </c>
      <c r="E130" s="50">
        <f>VLOOKUP($A130,'Data shares'!$C:$FM,106)</f>
        <v>24.02</v>
      </c>
      <c r="F130" s="50">
        <f>VLOOKUP($A130,'Data shares'!$C:$FM,108)</f>
        <v>-4.67</v>
      </c>
      <c r="G130" s="50">
        <f t="shared" si="3"/>
        <v>0.80557868442964209</v>
      </c>
    </row>
    <row r="131" spans="1:7" x14ac:dyDescent="0.25">
      <c r="A131" s="49" t="str">
        <f>'Data Vlaue (Cr)'!C126</f>
        <v>MARUTI</v>
      </c>
      <c r="B131" s="50">
        <f>VLOOKUP($A131,'Data shares'!$C:$FM,102)</f>
        <v>20.58</v>
      </c>
      <c r="C131" s="50">
        <f>VLOOKUP($A131,'Data shares'!$C:$FM,110)</f>
        <v>20.05</v>
      </c>
      <c r="D131" s="50">
        <f>VLOOKUP($A131,'Data shares'!$C:$FM,114)</f>
        <v>21.8</v>
      </c>
      <c r="E131" s="50">
        <f>VLOOKUP($A131,'Data shares'!$C:$FM,106)</f>
        <v>25.12</v>
      </c>
      <c r="F131" s="50">
        <f>VLOOKUP($A131,'Data shares'!$C:$FM,108)</f>
        <v>-4.54</v>
      </c>
      <c r="G131" s="50">
        <f t="shared" si="3"/>
        <v>0.81926751592356672</v>
      </c>
    </row>
    <row r="132" spans="1:7" x14ac:dyDescent="0.25">
      <c r="A132" s="49" t="str">
        <f>'Data Vlaue (Cr)'!C127</f>
        <v>MAXHEALTH</v>
      </c>
      <c r="B132" s="50">
        <f>VLOOKUP($A132,'Data shares'!$C:$FM,102)</f>
        <v>33.47</v>
      </c>
      <c r="C132" s="50">
        <f>VLOOKUP($A132,'Data shares'!$C:$FM,110)</f>
        <v>33.33</v>
      </c>
      <c r="D132" s="50">
        <f>VLOOKUP($A132,'Data shares'!$C:$FM,114)</f>
        <v>33.99</v>
      </c>
      <c r="E132" s="50">
        <f>VLOOKUP($A132,'Data shares'!$C:$FM,106)</f>
        <v>38.08</v>
      </c>
      <c r="F132" s="50">
        <f>VLOOKUP($A132,'Data shares'!$C:$FM,108)</f>
        <v>-4.6100000000000003</v>
      </c>
      <c r="G132" s="50">
        <f t="shared" si="3"/>
        <v>0.87893907563025209</v>
      </c>
    </row>
    <row r="133" spans="1:7" x14ac:dyDescent="0.25">
      <c r="A133" s="49" t="str">
        <f>'Data Vlaue (Cr)'!C128</f>
        <v>MAZDOCK</v>
      </c>
      <c r="B133" s="50">
        <f>VLOOKUP($A133,'Data shares'!$C:$FM,102)</f>
        <v>39.909999999999997</v>
      </c>
      <c r="C133" s="50">
        <f>VLOOKUP($A133,'Data shares'!$C:$FM,110)</f>
        <v>40.630000000000003</v>
      </c>
      <c r="D133" s="50">
        <f>VLOOKUP($A133,'Data shares'!$C:$FM,114)</f>
        <v>37.29</v>
      </c>
      <c r="E133" s="50">
        <f>VLOOKUP($A133,'Data shares'!$C:$FM,106)</f>
        <v>53.87</v>
      </c>
      <c r="F133" s="50">
        <f>VLOOKUP($A133,'Data shares'!$C:$FM,108)</f>
        <v>-13.96</v>
      </c>
      <c r="G133" s="50">
        <f t="shared" si="3"/>
        <v>0.74085762019676993</v>
      </c>
    </row>
    <row r="134" spans="1:7" x14ac:dyDescent="0.25">
      <c r="A134" s="49" t="str">
        <f>'Data Vlaue (Cr)'!C129</f>
        <v>MCX</v>
      </c>
      <c r="B134" s="50">
        <f>VLOOKUP($A134,'Data shares'!$C:$FM,102)</f>
        <v>57.74</v>
      </c>
      <c r="C134" s="50">
        <f>VLOOKUP($A134,'Data shares'!$C:$FM,110)</f>
        <v>57.35</v>
      </c>
      <c r="D134" s="50">
        <f>VLOOKUP($A134,'Data shares'!$C:$FM,114)</f>
        <v>58.47</v>
      </c>
      <c r="E134" s="50">
        <f>VLOOKUP($A134,'Data shares'!$C:$FM,106)</f>
        <v>50.77</v>
      </c>
      <c r="F134" s="50">
        <f>VLOOKUP($A134,'Data shares'!$C:$FM,108)</f>
        <v>6.97</v>
      </c>
      <c r="G134" s="50">
        <f t="shared" si="3"/>
        <v>1.1372857987000196</v>
      </c>
    </row>
    <row r="135" spans="1:7" x14ac:dyDescent="0.25">
      <c r="A135" s="49" t="str">
        <f>'Data Vlaue (Cr)'!C130</f>
        <v>MFSL</v>
      </c>
      <c r="B135" s="50">
        <f>VLOOKUP($A135,'Data shares'!$C:$FM,102)</f>
        <v>38.630000000000003</v>
      </c>
      <c r="C135" s="50">
        <f>VLOOKUP($A135,'Data shares'!$C:$FM,110)</f>
        <v>38.840000000000003</v>
      </c>
      <c r="D135" s="50">
        <f>VLOOKUP($A135,'Data shares'!$C:$FM,114)</f>
        <v>38.22</v>
      </c>
      <c r="E135" s="50">
        <f>VLOOKUP($A135,'Data shares'!$C:$FM,106)</f>
        <v>29.28</v>
      </c>
      <c r="F135" s="50">
        <f>VLOOKUP($A135,'Data shares'!$C:$FM,108)</f>
        <v>9.35</v>
      </c>
      <c r="G135" s="50">
        <f t="shared" ref="G135:G166" si="4">B135/E135</f>
        <v>1.3193306010928962</v>
      </c>
    </row>
    <row r="136" spans="1:7" x14ac:dyDescent="0.25">
      <c r="A136" s="49" t="str">
        <f>'Data Vlaue (Cr)'!C131</f>
        <v>MIDCPNIFTY</v>
      </c>
      <c r="B136" s="50">
        <f>VLOOKUP($A136,'Data shares'!$C:$FM,102)</f>
        <v>16.559999999999999</v>
      </c>
      <c r="C136" s="50">
        <f>VLOOKUP($A136,'Data shares'!$C:$FM,110)</f>
        <v>15.44</v>
      </c>
      <c r="D136" s="50">
        <f>VLOOKUP($A136,'Data shares'!$C:$FM,114)</f>
        <v>17.71</v>
      </c>
      <c r="E136" s="50">
        <f>VLOOKUP($A136,'Data shares'!$C:$FM,106)</f>
        <v>22.14</v>
      </c>
      <c r="F136" s="50">
        <f>VLOOKUP($A136,'Data shares'!$C:$FM,108)</f>
        <v>-5.58</v>
      </c>
      <c r="G136" s="50">
        <f t="shared" si="4"/>
        <v>0.74796747967479671</v>
      </c>
    </row>
    <row r="137" spans="1:7" x14ac:dyDescent="0.25">
      <c r="A137" s="49" t="str">
        <f>'Data Vlaue (Cr)'!C132</f>
        <v>MOTHERSON</v>
      </c>
      <c r="B137" s="50">
        <f>VLOOKUP($A137,'Data shares'!$C:$FM,102)</f>
        <v>37.22</v>
      </c>
      <c r="C137" s="50">
        <f>VLOOKUP($A137,'Data shares'!$C:$FM,110)</f>
        <v>37.68</v>
      </c>
      <c r="D137" s="50">
        <f>VLOOKUP($A137,'Data shares'!$C:$FM,114)</f>
        <v>36.369999999999997</v>
      </c>
      <c r="E137" s="50">
        <f>VLOOKUP($A137,'Data shares'!$C:$FM,106)</f>
        <v>39.46</v>
      </c>
      <c r="F137" s="50">
        <f>VLOOKUP($A137,'Data shares'!$C:$FM,108)</f>
        <v>-2.2400000000000002</v>
      </c>
      <c r="G137" s="50">
        <f t="shared" si="4"/>
        <v>0.94323365433350226</v>
      </c>
    </row>
    <row r="138" spans="1:7" x14ac:dyDescent="0.25">
      <c r="A138" s="49" t="str">
        <f>'Data Vlaue (Cr)'!C133</f>
        <v>MPHASIS</v>
      </c>
      <c r="B138" s="50">
        <f>VLOOKUP($A138,'Data shares'!$C:$FM,102)</f>
        <v>34.729999999999997</v>
      </c>
      <c r="C138" s="50">
        <f>VLOOKUP($A138,'Data shares'!$C:$FM,110)</f>
        <v>34.68</v>
      </c>
      <c r="D138" s="50">
        <f>VLOOKUP($A138,'Data shares'!$C:$FM,114)</f>
        <v>34.81</v>
      </c>
      <c r="E138" s="50">
        <f>VLOOKUP($A138,'Data shares'!$C:$FM,106)</f>
        <v>35.18</v>
      </c>
      <c r="F138" s="50">
        <f>VLOOKUP($A138,'Data shares'!$C:$FM,108)</f>
        <v>-0.45</v>
      </c>
      <c r="G138" s="50">
        <f t="shared" si="4"/>
        <v>0.98720864127345076</v>
      </c>
    </row>
    <row r="139" spans="1:7" x14ac:dyDescent="0.25">
      <c r="A139" s="49" t="str">
        <f>'Data Vlaue (Cr)'!C134</f>
        <v>MUTHOOTFIN</v>
      </c>
      <c r="B139" s="50">
        <f>VLOOKUP($A139,'Data shares'!$C:$FM,102)</f>
        <v>59.43</v>
      </c>
      <c r="C139" s="50">
        <f>VLOOKUP($A139,'Data shares'!$C:$FM,110)</f>
        <v>59.86</v>
      </c>
      <c r="D139" s="50">
        <f>VLOOKUP($A139,'Data shares'!$C:$FM,114)</f>
        <v>57.45</v>
      </c>
      <c r="E139" s="50">
        <f>VLOOKUP($A139,'Data shares'!$C:$FM,106)</f>
        <v>38.71</v>
      </c>
      <c r="F139" s="50">
        <f>VLOOKUP($A139,'Data shares'!$C:$FM,108)</f>
        <v>20.72</v>
      </c>
      <c r="G139" s="50">
        <f t="shared" si="4"/>
        <v>1.5352622061482821</v>
      </c>
    </row>
    <row r="140" spans="1:7" x14ac:dyDescent="0.25">
      <c r="A140" s="49" t="str">
        <f>'Data Vlaue (Cr)'!C135</f>
        <v>NATIONALUM</v>
      </c>
      <c r="B140" s="50">
        <f>VLOOKUP($A140,'Data shares'!$C:$FM,102)</f>
        <v>42.27</v>
      </c>
      <c r="C140" s="50">
        <f>VLOOKUP($A140,'Data shares'!$C:$FM,110)</f>
        <v>42.56</v>
      </c>
      <c r="D140" s="50">
        <f>VLOOKUP($A140,'Data shares'!$C:$FM,114)</f>
        <v>41.81</v>
      </c>
      <c r="E140" s="50">
        <f>VLOOKUP($A140,'Data shares'!$C:$FM,106)</f>
        <v>51.25</v>
      </c>
      <c r="F140" s="50">
        <f>VLOOKUP($A140,'Data shares'!$C:$FM,108)</f>
        <v>-8.98</v>
      </c>
      <c r="G140" s="50">
        <f t="shared" si="4"/>
        <v>0.82478048780487812</v>
      </c>
    </row>
    <row r="141" spans="1:7" x14ac:dyDescent="0.25">
      <c r="A141" s="49" t="str">
        <f>'Data Vlaue (Cr)'!C136</f>
        <v>NAUKRI</v>
      </c>
      <c r="B141" s="50">
        <f>VLOOKUP($A141,'Data shares'!$C:$FM,102)</f>
        <v>41.76</v>
      </c>
      <c r="C141" s="50">
        <f>VLOOKUP($A141,'Data shares'!$C:$FM,110)</f>
        <v>41.99</v>
      </c>
      <c r="D141" s="50">
        <f>VLOOKUP($A141,'Data shares'!$C:$FM,114)</f>
        <v>41.43</v>
      </c>
      <c r="E141" s="50">
        <f>VLOOKUP($A141,'Data shares'!$C:$FM,106)</f>
        <v>36.11</v>
      </c>
      <c r="F141" s="50">
        <f>VLOOKUP($A141,'Data shares'!$C:$FM,108)</f>
        <v>5.65</v>
      </c>
      <c r="G141" s="50">
        <f t="shared" si="4"/>
        <v>1.1564663528108556</v>
      </c>
    </row>
    <row r="142" spans="1:7" x14ac:dyDescent="0.25">
      <c r="A142" s="49" t="str">
        <f>'Data Vlaue (Cr)'!C137</f>
        <v>NBCC</v>
      </c>
      <c r="B142" s="50">
        <f>VLOOKUP($A142,'Data shares'!$C:$FM,102)</f>
        <v>48.68</v>
      </c>
      <c r="C142" s="50">
        <f>VLOOKUP($A142,'Data shares'!$C:$FM,110)</f>
        <v>48.95</v>
      </c>
      <c r="D142" s="50">
        <f>VLOOKUP($A142,'Data shares'!$C:$FM,114)</f>
        <v>47.89</v>
      </c>
      <c r="E142" s="50">
        <f>VLOOKUP($A142,'Data shares'!$C:$FM,106)</f>
        <v>50.53</v>
      </c>
      <c r="F142" s="50">
        <f>VLOOKUP($A142,'Data shares'!$C:$FM,108)</f>
        <v>-1.85</v>
      </c>
      <c r="G142" s="50">
        <f t="shared" si="4"/>
        <v>0.96338808628537498</v>
      </c>
    </row>
    <row r="143" spans="1:7" x14ac:dyDescent="0.25">
      <c r="A143" s="49" t="str">
        <f>'Data Vlaue (Cr)'!C138</f>
        <v>NESTLEIND</v>
      </c>
      <c r="B143" s="50">
        <f>VLOOKUP($A143,'Data shares'!$C:$FM,102)</f>
        <v>21.38</v>
      </c>
      <c r="C143" s="50">
        <f>VLOOKUP($A143,'Data shares'!$C:$FM,110)</f>
        <v>21.27</v>
      </c>
      <c r="D143" s="50">
        <f>VLOOKUP($A143,'Data shares'!$C:$FM,114)</f>
        <v>21.68</v>
      </c>
      <c r="E143" s="50">
        <f>VLOOKUP($A143,'Data shares'!$C:$FM,106)</f>
        <v>23.2</v>
      </c>
      <c r="F143" s="50">
        <f>VLOOKUP($A143,'Data shares'!$C:$FM,108)</f>
        <v>-1.82</v>
      </c>
      <c r="G143" s="50">
        <f t="shared" si="4"/>
        <v>0.92155172413793107</v>
      </c>
    </row>
    <row r="144" spans="1:7" x14ac:dyDescent="0.25">
      <c r="A144" s="49" t="str">
        <f>'Data Vlaue (Cr)'!C139</f>
        <v>NHPC</v>
      </c>
      <c r="B144" s="50">
        <f>VLOOKUP($A144,'Data shares'!$C:$FM,102)</f>
        <v>30.74</v>
      </c>
      <c r="C144" s="50">
        <f>VLOOKUP($A144,'Data shares'!$C:$FM,110)</f>
        <v>31.37</v>
      </c>
      <c r="D144" s="50">
        <f>VLOOKUP($A144,'Data shares'!$C:$FM,114)</f>
        <v>29.46</v>
      </c>
      <c r="E144" s="50">
        <f>VLOOKUP($A144,'Data shares'!$C:$FM,106)</f>
        <v>35.880000000000003</v>
      </c>
      <c r="F144" s="50">
        <f>VLOOKUP($A144,'Data shares'!$C:$FM,108)</f>
        <v>-5.14</v>
      </c>
      <c r="G144" s="50">
        <f t="shared" si="4"/>
        <v>0.85674470457079144</v>
      </c>
    </row>
    <row r="145" spans="1:7" x14ac:dyDescent="0.25">
      <c r="A145" s="233" t="str">
        <f>'Data Vlaue (Cr)'!C140</f>
        <v>NIFTY</v>
      </c>
      <c r="B145" s="234">
        <f>VLOOKUP($A145,'Data shares'!$C:$FM,102)</f>
        <v>10.74</v>
      </c>
      <c r="C145" s="234">
        <f>VLOOKUP($A145,'Data shares'!$C:$FM,110)</f>
        <v>10.33</v>
      </c>
      <c r="D145" s="234">
        <f>VLOOKUP($A145,'Data shares'!$C:$FM,114)</f>
        <v>11.12</v>
      </c>
      <c r="E145" s="234">
        <f>VLOOKUP($A145,'Data shares'!$C:$FM,106)</f>
        <v>14.29</v>
      </c>
      <c r="F145" s="234">
        <f>VLOOKUP($A145,'Data shares'!$C:$FM,108)</f>
        <v>-3.55</v>
      </c>
      <c r="G145" s="234">
        <f t="shared" si="4"/>
        <v>0.75157452764170751</v>
      </c>
    </row>
    <row r="146" spans="1:7" x14ac:dyDescent="0.25">
      <c r="A146" s="49" t="str">
        <f>'Data Vlaue (Cr)'!C141</f>
        <v>NIFTYNXT50</v>
      </c>
      <c r="B146" s="50">
        <f>VLOOKUP($A146,'Data shares'!$C:$FM,102)</f>
        <v>13.53</v>
      </c>
      <c r="C146" s="50">
        <f>VLOOKUP($A146,'Data shares'!$C:$FM,110)</f>
        <v>13.09</v>
      </c>
      <c r="D146" s="50">
        <f>VLOOKUP($A146,'Data shares'!$C:$FM,114)</f>
        <v>14</v>
      </c>
      <c r="E146" s="50">
        <f>VLOOKUP($A146,'Data shares'!$C:$FM,106)</f>
        <v>19.989999999999998</v>
      </c>
      <c r="F146" s="50">
        <f>VLOOKUP($A146,'Data shares'!$C:$FM,108)</f>
        <v>-6.46</v>
      </c>
      <c r="G146" s="50">
        <f t="shared" si="4"/>
        <v>0.67683841920960486</v>
      </c>
    </row>
    <row r="147" spans="1:7" x14ac:dyDescent="0.25">
      <c r="A147" s="49" t="str">
        <f>'Data Vlaue (Cr)'!C142</f>
        <v>NMDC</v>
      </c>
      <c r="B147" s="50">
        <f>VLOOKUP($A147,'Data shares'!$C:$FM,102)</f>
        <v>38.57</v>
      </c>
      <c r="C147" s="50">
        <f>VLOOKUP($A147,'Data shares'!$C:$FM,110)</f>
        <v>38.22</v>
      </c>
      <c r="D147" s="50">
        <f>VLOOKUP($A147,'Data shares'!$C:$FM,114)</f>
        <v>39.53</v>
      </c>
      <c r="E147" s="50">
        <f>VLOOKUP($A147,'Data shares'!$C:$FM,106)</f>
        <v>38.54</v>
      </c>
      <c r="F147" s="50">
        <f>VLOOKUP($A147,'Data shares'!$C:$FM,108)</f>
        <v>0.03</v>
      </c>
      <c r="G147" s="50">
        <f t="shared" si="4"/>
        <v>1.0007784120394396</v>
      </c>
    </row>
    <row r="148" spans="1:7" x14ac:dyDescent="0.25">
      <c r="A148" s="49" t="str">
        <f>'Data Vlaue (Cr)'!C143</f>
        <v>NTPC</v>
      </c>
      <c r="B148" s="50">
        <f>VLOOKUP($A148,'Data shares'!$C:$FM,102)</f>
        <v>16.47</v>
      </c>
      <c r="C148" s="50">
        <f>VLOOKUP($A148,'Data shares'!$C:$FM,110)</f>
        <v>15.63</v>
      </c>
      <c r="D148" s="50">
        <f>VLOOKUP($A148,'Data shares'!$C:$FM,114)</f>
        <v>18.36</v>
      </c>
      <c r="E148" s="50">
        <f>VLOOKUP($A148,'Data shares'!$C:$FM,106)</f>
        <v>27.43</v>
      </c>
      <c r="F148" s="50">
        <f>VLOOKUP($A148,'Data shares'!$C:$FM,108)</f>
        <v>-10.96</v>
      </c>
      <c r="G148" s="50">
        <f t="shared" si="4"/>
        <v>0.6004374772147284</v>
      </c>
    </row>
    <row r="149" spans="1:7" x14ac:dyDescent="0.25">
      <c r="A149" s="49" t="str">
        <f>'Data Vlaue (Cr)'!C144</f>
        <v>NUVAMA</v>
      </c>
      <c r="B149" s="50">
        <f>VLOOKUP($A149,'Data shares'!$C:$FM,102)</f>
        <v>45.96</v>
      </c>
      <c r="C149" s="50">
        <f>VLOOKUP($A149,'Data shares'!$C:$FM,110)</f>
        <v>43.79</v>
      </c>
      <c r="D149" s="50">
        <f>VLOOKUP($A149,'Data shares'!$C:$FM,114)</f>
        <v>49.03</v>
      </c>
      <c r="E149" s="50">
        <f>VLOOKUP($A149,'Data shares'!$C:$FM,106)</f>
        <v>49.85</v>
      </c>
      <c r="F149" s="50">
        <f>VLOOKUP($A149,'Data shares'!$C:$FM,108)</f>
        <v>-3.89</v>
      </c>
      <c r="G149" s="50">
        <f t="shared" si="4"/>
        <v>0.92196589769307924</v>
      </c>
    </row>
    <row r="150" spans="1:7" x14ac:dyDescent="0.25">
      <c r="A150" s="49" t="str">
        <f>'Data Vlaue (Cr)'!C145</f>
        <v>NYKAA</v>
      </c>
      <c r="B150" s="50">
        <f>VLOOKUP($A150,'Data shares'!$C:$FM,102)</f>
        <v>34.729999999999997</v>
      </c>
      <c r="C150" s="50">
        <f>VLOOKUP($A150,'Data shares'!$C:$FM,110)</f>
        <v>33.46</v>
      </c>
      <c r="D150" s="50">
        <f>VLOOKUP($A150,'Data shares'!$C:$FM,114)</f>
        <v>36.71</v>
      </c>
      <c r="E150" s="50">
        <f>VLOOKUP($A150,'Data shares'!$C:$FM,106)</f>
        <v>36.049999999999997</v>
      </c>
      <c r="F150" s="50">
        <f>VLOOKUP($A150,'Data shares'!$C:$FM,108)</f>
        <v>-1.32</v>
      </c>
      <c r="G150" s="50">
        <f t="shared" si="4"/>
        <v>0.96338418862690711</v>
      </c>
    </row>
    <row r="151" spans="1:7" x14ac:dyDescent="0.25">
      <c r="A151" s="49" t="str">
        <f>'Data Vlaue (Cr)'!C146</f>
        <v>OBEROIRLTY</v>
      </c>
      <c r="B151" s="50">
        <f>VLOOKUP($A151,'Data shares'!$C:$FM,102)</f>
        <v>28.76</v>
      </c>
      <c r="C151" s="50">
        <f>VLOOKUP($A151,'Data shares'!$C:$FM,110)</f>
        <v>28.52</v>
      </c>
      <c r="D151" s="50">
        <f>VLOOKUP($A151,'Data shares'!$C:$FM,114)</f>
        <v>29.36</v>
      </c>
      <c r="E151" s="50">
        <f>VLOOKUP($A151,'Data shares'!$C:$FM,106)</f>
        <v>36.99</v>
      </c>
      <c r="F151" s="50">
        <f>VLOOKUP($A151,'Data shares'!$C:$FM,108)</f>
        <v>-8.23</v>
      </c>
      <c r="G151" s="50">
        <f t="shared" si="4"/>
        <v>0.77750743444174097</v>
      </c>
    </row>
    <row r="152" spans="1:7" x14ac:dyDescent="0.25">
      <c r="A152" s="49" t="str">
        <f>'Data Vlaue (Cr)'!C147</f>
        <v>OFSS</v>
      </c>
      <c r="B152" s="50">
        <f>VLOOKUP($A152,'Data shares'!$C:$FM,102)</f>
        <v>39.49</v>
      </c>
      <c r="C152" s="50">
        <f>VLOOKUP($A152,'Data shares'!$C:$FM,110)</f>
        <v>40.39</v>
      </c>
      <c r="D152" s="50">
        <f>VLOOKUP($A152,'Data shares'!$C:$FM,114)</f>
        <v>37.61</v>
      </c>
      <c r="E152" s="50">
        <f>VLOOKUP($A152,'Data shares'!$C:$FM,106)</f>
        <v>38.36</v>
      </c>
      <c r="F152" s="50">
        <f>VLOOKUP($A152,'Data shares'!$C:$FM,108)</f>
        <v>1.1299999999999999</v>
      </c>
      <c r="G152" s="50">
        <f t="shared" si="4"/>
        <v>1.0294577685088635</v>
      </c>
    </row>
    <row r="153" spans="1:7" x14ac:dyDescent="0.25">
      <c r="A153" s="49" t="str">
        <f>'Data Vlaue (Cr)'!C148</f>
        <v>OIL</v>
      </c>
      <c r="B153" s="50">
        <f>VLOOKUP($A153,'Data shares'!$C:$FM,102)</f>
        <v>41.23</v>
      </c>
      <c r="C153" s="50">
        <f>VLOOKUP($A153,'Data shares'!$C:$FM,110)</f>
        <v>42.51</v>
      </c>
      <c r="D153" s="50">
        <f>VLOOKUP($A153,'Data shares'!$C:$FM,114)</f>
        <v>38.22</v>
      </c>
      <c r="E153" s="50">
        <f>VLOOKUP($A153,'Data shares'!$C:$FM,106)</f>
        <v>42.77</v>
      </c>
      <c r="F153" s="50">
        <f>VLOOKUP($A153,'Data shares'!$C:$FM,108)</f>
        <v>-1.54</v>
      </c>
      <c r="G153" s="50">
        <f t="shared" si="4"/>
        <v>0.96399345335515529</v>
      </c>
    </row>
    <row r="154" spans="1:7" x14ac:dyDescent="0.25">
      <c r="A154" s="49" t="str">
        <f>'Data Vlaue (Cr)'!C149</f>
        <v>ONGC</v>
      </c>
      <c r="B154" s="50">
        <f>VLOOKUP($A154,'Data shares'!$C:$FM,102)</f>
        <v>33.67</v>
      </c>
      <c r="C154" s="50">
        <f>VLOOKUP($A154,'Data shares'!$C:$FM,110)</f>
        <v>33.590000000000003</v>
      </c>
      <c r="D154" s="50">
        <f>VLOOKUP($A154,'Data shares'!$C:$FM,114)</f>
        <v>33.93</v>
      </c>
      <c r="E154" s="50">
        <f>VLOOKUP($A154,'Data shares'!$C:$FM,106)</f>
        <v>32.43</v>
      </c>
      <c r="F154" s="50">
        <f>VLOOKUP($A154,'Data shares'!$C:$FM,108)</f>
        <v>1.24</v>
      </c>
      <c r="G154" s="50">
        <f t="shared" si="4"/>
        <v>1.0382362010484121</v>
      </c>
    </row>
    <row r="155" spans="1:7" x14ac:dyDescent="0.25">
      <c r="A155" s="49" t="str">
        <f>'Data Vlaue (Cr)'!C150</f>
        <v>PAGEIND</v>
      </c>
      <c r="B155" s="50">
        <f>VLOOKUP($A155,'Data shares'!$C:$FM,102)</f>
        <v>29.17</v>
      </c>
      <c r="C155" s="50">
        <f>VLOOKUP($A155,'Data shares'!$C:$FM,110)</f>
        <v>29.74</v>
      </c>
      <c r="D155" s="50">
        <f>VLOOKUP($A155,'Data shares'!$C:$FM,114)</f>
        <v>27.55</v>
      </c>
      <c r="E155" s="50">
        <f>VLOOKUP($A155,'Data shares'!$C:$FM,106)</f>
        <v>27.63</v>
      </c>
      <c r="F155" s="50">
        <f>VLOOKUP($A155,'Data shares'!$C:$FM,108)</f>
        <v>1.54</v>
      </c>
      <c r="G155" s="50">
        <f t="shared" si="4"/>
        <v>1.0557365182772349</v>
      </c>
    </row>
    <row r="156" spans="1:7" x14ac:dyDescent="0.25">
      <c r="A156" s="49" t="str">
        <f>'Data Vlaue (Cr)'!C151</f>
        <v>PATANJALI</v>
      </c>
      <c r="B156" s="50">
        <f>VLOOKUP($A156,'Data shares'!$C:$FM,102)</f>
        <v>44.59</v>
      </c>
      <c r="C156" s="50">
        <f>VLOOKUP($A156,'Data shares'!$C:$FM,110)</f>
        <v>45.02</v>
      </c>
      <c r="D156" s="50">
        <f>VLOOKUP($A156,'Data shares'!$C:$FM,114)</f>
        <v>43.79</v>
      </c>
      <c r="E156" s="50">
        <f>VLOOKUP($A156,'Data shares'!$C:$FM,106)</f>
        <v>32.729999999999997</v>
      </c>
      <c r="F156" s="50">
        <f>VLOOKUP($A156,'Data shares'!$C:$FM,108)</f>
        <v>11.86</v>
      </c>
      <c r="G156" s="50">
        <f t="shared" si="4"/>
        <v>1.3623586923311948</v>
      </c>
    </row>
    <row r="157" spans="1:7" x14ac:dyDescent="0.25">
      <c r="A157" s="49" t="str">
        <f>'Data Vlaue (Cr)'!C152</f>
        <v>PAYTM</v>
      </c>
      <c r="B157" s="50">
        <f>VLOOKUP($A157,'Data shares'!$C:$FM,102)</f>
        <v>39.47</v>
      </c>
      <c r="C157" s="50">
        <f>VLOOKUP($A157,'Data shares'!$C:$FM,110)</f>
        <v>39.520000000000003</v>
      </c>
      <c r="D157" s="50">
        <f>VLOOKUP($A157,'Data shares'!$C:$FM,114)</f>
        <v>39.33</v>
      </c>
      <c r="E157" s="50">
        <f>VLOOKUP($A157,'Data shares'!$C:$FM,106)</f>
        <v>51.52</v>
      </c>
      <c r="F157" s="50">
        <f>VLOOKUP($A157,'Data shares'!$C:$FM,108)</f>
        <v>-12.05</v>
      </c>
      <c r="G157" s="50">
        <f t="shared" si="4"/>
        <v>0.76611024844720488</v>
      </c>
    </row>
    <row r="158" spans="1:7" x14ac:dyDescent="0.25">
      <c r="A158" s="49" t="str">
        <f>'Data Vlaue (Cr)'!C153</f>
        <v>PERSISTENT</v>
      </c>
      <c r="B158" s="50">
        <f>VLOOKUP($A158,'Data shares'!$C:$FM,102)</f>
        <v>39.79</v>
      </c>
      <c r="C158" s="50">
        <f>VLOOKUP($A158,'Data shares'!$C:$FM,110)</f>
        <v>39.44</v>
      </c>
      <c r="D158" s="50">
        <f>VLOOKUP($A158,'Data shares'!$C:$FM,114)</f>
        <v>40.229999999999997</v>
      </c>
      <c r="E158" s="50">
        <f>VLOOKUP($A158,'Data shares'!$C:$FM,106)</f>
        <v>39.19</v>
      </c>
      <c r="F158" s="50">
        <f>VLOOKUP($A158,'Data shares'!$C:$FM,108)</f>
        <v>0.6</v>
      </c>
      <c r="G158" s="50">
        <f t="shared" si="4"/>
        <v>1.0153100280683849</v>
      </c>
    </row>
    <row r="159" spans="1:7" x14ac:dyDescent="0.25">
      <c r="A159" s="49" t="str">
        <f>'Data Vlaue (Cr)'!C154</f>
        <v>PETRONET</v>
      </c>
      <c r="B159" s="50">
        <f>VLOOKUP($A159,'Data shares'!$C:$FM,102)</f>
        <v>34.75</v>
      </c>
      <c r="C159" s="50">
        <f>VLOOKUP($A159,'Data shares'!$C:$FM,110)</f>
        <v>34.28</v>
      </c>
      <c r="D159" s="50">
        <f>VLOOKUP($A159,'Data shares'!$C:$FM,114)</f>
        <v>35.79</v>
      </c>
      <c r="E159" s="50">
        <f>VLOOKUP($A159,'Data shares'!$C:$FM,106)</f>
        <v>31.32</v>
      </c>
      <c r="F159" s="50">
        <f>VLOOKUP($A159,'Data shares'!$C:$FM,108)</f>
        <v>3.43</v>
      </c>
      <c r="G159" s="50">
        <f t="shared" si="4"/>
        <v>1.1095146871008941</v>
      </c>
    </row>
    <row r="160" spans="1:7" x14ac:dyDescent="0.25">
      <c r="A160" s="49" t="str">
        <f>'Data Vlaue (Cr)'!C155</f>
        <v>PFC</v>
      </c>
      <c r="B160" s="50">
        <f>VLOOKUP($A160,'Data shares'!$C:$FM,102)</f>
        <v>31.07</v>
      </c>
      <c r="C160" s="50">
        <f>VLOOKUP($A160,'Data shares'!$C:$FM,110)</f>
        <v>30.61</v>
      </c>
      <c r="D160" s="50">
        <f>VLOOKUP($A160,'Data shares'!$C:$FM,114)</f>
        <v>31.99</v>
      </c>
      <c r="E160" s="50">
        <f>VLOOKUP($A160,'Data shares'!$C:$FM,106)</f>
        <v>41</v>
      </c>
      <c r="F160" s="50">
        <f>VLOOKUP($A160,'Data shares'!$C:$FM,108)</f>
        <v>-9.93</v>
      </c>
      <c r="G160" s="50">
        <f t="shared" si="4"/>
        <v>0.75780487804878049</v>
      </c>
    </row>
    <row r="161" spans="1:7" x14ac:dyDescent="0.25">
      <c r="A161" s="49" t="str">
        <f>'Data Vlaue (Cr)'!C156</f>
        <v>PGEL</v>
      </c>
      <c r="B161" s="50">
        <f>VLOOKUP($A161,'Data shares'!$C:$FM,102)</f>
        <v>41.36</v>
      </c>
      <c r="C161" s="50">
        <f>VLOOKUP($A161,'Data shares'!$C:$FM,110)</f>
        <v>40.799999999999997</v>
      </c>
      <c r="D161" s="50">
        <f>VLOOKUP($A161,'Data shares'!$C:$FM,114)</f>
        <v>42.69</v>
      </c>
      <c r="E161" s="50">
        <f>VLOOKUP($A161,'Data shares'!$C:$FM,106)</f>
        <v>63.25</v>
      </c>
      <c r="F161" s="50">
        <f>VLOOKUP($A161,'Data shares'!$C:$FM,108)</f>
        <v>-21.89</v>
      </c>
      <c r="G161" s="50">
        <f t="shared" si="4"/>
        <v>0.65391304347826085</v>
      </c>
    </row>
    <row r="162" spans="1:7" x14ac:dyDescent="0.25">
      <c r="A162" s="49" t="str">
        <f>'Data Vlaue (Cr)'!C157</f>
        <v>PHOENIXLTD</v>
      </c>
      <c r="B162" s="50">
        <f>VLOOKUP($A162,'Data shares'!$C:$FM,102)</f>
        <v>24.92</v>
      </c>
      <c r="C162" s="50">
        <f>VLOOKUP($A162,'Data shares'!$C:$FM,110)</f>
        <v>24.49</v>
      </c>
      <c r="D162" s="50">
        <f>VLOOKUP($A162,'Data shares'!$C:$FM,114)</f>
        <v>25.71</v>
      </c>
      <c r="E162" s="50">
        <f>VLOOKUP($A162,'Data shares'!$C:$FM,106)</f>
        <v>39.07</v>
      </c>
      <c r="F162" s="50">
        <f>VLOOKUP($A162,'Data shares'!$C:$FM,108)</f>
        <v>-14.15</v>
      </c>
      <c r="G162" s="50">
        <f t="shared" si="4"/>
        <v>0.63782953672894804</v>
      </c>
    </row>
    <row r="163" spans="1:7" x14ac:dyDescent="0.25">
      <c r="A163" s="49" t="str">
        <f>'Data Vlaue (Cr)'!C158</f>
        <v>PIDILITIND</v>
      </c>
      <c r="B163" s="50">
        <f>VLOOKUP($A163,'Data shares'!$C:$FM,102)</f>
        <v>21.29</v>
      </c>
      <c r="C163" s="50">
        <f>VLOOKUP($A163,'Data shares'!$C:$FM,110)</f>
        <v>20.82</v>
      </c>
      <c r="D163" s="50">
        <f>VLOOKUP($A163,'Data shares'!$C:$FM,114)</f>
        <v>22.42</v>
      </c>
      <c r="E163" s="50">
        <f>VLOOKUP($A163,'Data shares'!$C:$FM,106)</f>
        <v>21.29</v>
      </c>
      <c r="F163" s="50">
        <f>VLOOKUP($A163,'Data shares'!$C:$FM,108)</f>
        <v>0</v>
      </c>
      <c r="G163" s="50">
        <f t="shared" si="4"/>
        <v>1</v>
      </c>
    </row>
    <row r="164" spans="1:7" x14ac:dyDescent="0.25">
      <c r="A164" s="49" t="str">
        <f>'Data Vlaue (Cr)'!C159</f>
        <v>PIIND</v>
      </c>
      <c r="B164" s="50">
        <f>VLOOKUP($A164,'Data shares'!$C:$FM,102)</f>
        <v>52.74</v>
      </c>
      <c r="C164" s="50">
        <f>VLOOKUP($A164,'Data shares'!$C:$FM,110)</f>
        <v>51.17</v>
      </c>
      <c r="D164" s="50">
        <f>VLOOKUP($A164,'Data shares'!$C:$FM,114)</f>
        <v>55.15</v>
      </c>
      <c r="E164" s="50">
        <f>VLOOKUP($A164,'Data shares'!$C:$FM,106)</f>
        <v>29.21</v>
      </c>
      <c r="F164" s="50">
        <f>VLOOKUP($A164,'Data shares'!$C:$FM,108)</f>
        <v>23.53</v>
      </c>
      <c r="G164" s="50">
        <f t="shared" si="4"/>
        <v>1.8055460458747004</v>
      </c>
    </row>
    <row r="165" spans="1:7" x14ac:dyDescent="0.25">
      <c r="A165" s="49" t="str">
        <f>'Data Vlaue (Cr)'!C160</f>
        <v>PNB</v>
      </c>
      <c r="B165" s="50">
        <f>VLOOKUP($A165,'Data shares'!$C:$FM,102)</f>
        <v>28.88</v>
      </c>
      <c r="C165" s="50">
        <f>VLOOKUP($A165,'Data shares'!$C:$FM,110)</f>
        <v>29.16</v>
      </c>
      <c r="D165" s="50">
        <f>VLOOKUP($A165,'Data shares'!$C:$FM,114)</f>
        <v>28.27</v>
      </c>
      <c r="E165" s="50">
        <f>VLOOKUP($A165,'Data shares'!$C:$FM,106)</f>
        <v>34.950000000000003</v>
      </c>
      <c r="F165" s="50">
        <f>VLOOKUP($A165,'Data shares'!$C:$FM,108)</f>
        <v>-6.07</v>
      </c>
      <c r="G165" s="50">
        <f t="shared" si="4"/>
        <v>0.82632331902718159</v>
      </c>
    </row>
    <row r="166" spans="1:7" x14ac:dyDescent="0.25">
      <c r="A166" s="49" t="str">
        <f>'Data Vlaue (Cr)'!C161</f>
        <v>PNBHOUSING</v>
      </c>
      <c r="B166" s="50">
        <f>VLOOKUP($A166,'Data shares'!$C:$FM,102)</f>
        <v>33.08</v>
      </c>
      <c r="C166" s="50">
        <f>VLOOKUP($A166,'Data shares'!$C:$FM,110)</f>
        <v>32.42</v>
      </c>
      <c r="D166" s="50">
        <f>VLOOKUP($A166,'Data shares'!$C:$FM,114)</f>
        <v>35.51</v>
      </c>
      <c r="E166" s="50">
        <f>VLOOKUP($A166,'Data shares'!$C:$FM,106)</f>
        <v>45.93</v>
      </c>
      <c r="F166" s="50">
        <f>VLOOKUP($A166,'Data shares'!$C:$FM,108)</f>
        <v>-12.85</v>
      </c>
      <c r="G166" s="50">
        <f t="shared" si="4"/>
        <v>0.72022643152623556</v>
      </c>
    </row>
    <row r="167" spans="1:7" x14ac:dyDescent="0.25">
      <c r="A167" s="49" t="str">
        <f>'Data Vlaue (Cr)'!C162</f>
        <v>POLICYBZR</v>
      </c>
      <c r="B167" s="50">
        <f>VLOOKUP($A167,'Data shares'!$C:$FM,102)</f>
        <v>44.88</v>
      </c>
      <c r="C167" s="50">
        <f>VLOOKUP($A167,'Data shares'!$C:$FM,110)</f>
        <v>43.82</v>
      </c>
      <c r="D167" s="50">
        <f>VLOOKUP($A167,'Data shares'!$C:$FM,114)</f>
        <v>47.41</v>
      </c>
      <c r="E167" s="50">
        <f>VLOOKUP($A167,'Data shares'!$C:$FM,106)</f>
        <v>47.29</v>
      </c>
      <c r="F167" s="50">
        <f>VLOOKUP($A167,'Data shares'!$C:$FM,108)</f>
        <v>-2.41</v>
      </c>
      <c r="G167" s="50">
        <f t="shared" ref="G167:G187" si="5">B167/E167</f>
        <v>0.94903785155423992</v>
      </c>
    </row>
    <row r="168" spans="1:7" x14ac:dyDescent="0.25">
      <c r="A168" s="49" t="str">
        <f>'Data Vlaue (Cr)'!C163</f>
        <v>POLYCAB</v>
      </c>
      <c r="B168" s="50">
        <f>VLOOKUP($A168,'Data shares'!$C:$FM,102)</f>
        <v>29.26</v>
      </c>
      <c r="C168" s="50">
        <f>VLOOKUP($A168,'Data shares'!$C:$FM,110)</f>
        <v>26.69</v>
      </c>
      <c r="D168" s="50">
        <f>VLOOKUP($A168,'Data shares'!$C:$FM,114)</f>
        <v>32.9</v>
      </c>
      <c r="E168" s="50">
        <f>VLOOKUP($A168,'Data shares'!$C:$FM,106)</f>
        <v>39.67</v>
      </c>
      <c r="F168" s="50">
        <f>VLOOKUP($A168,'Data shares'!$C:$FM,108)</f>
        <v>-10.41</v>
      </c>
      <c r="G168" s="50">
        <f t="shared" si="5"/>
        <v>0.73758507688429542</v>
      </c>
    </row>
    <row r="169" spans="1:7" x14ac:dyDescent="0.25">
      <c r="A169" s="49" t="str">
        <f>'Data Vlaue (Cr)'!C164</f>
        <v>POWERGRID</v>
      </c>
      <c r="B169" s="50">
        <f>VLOOKUP($A169,'Data shares'!$C:$FM,102)</f>
        <v>22.55</v>
      </c>
      <c r="C169" s="50">
        <f>VLOOKUP($A169,'Data shares'!$C:$FM,110)</f>
        <v>22.2</v>
      </c>
      <c r="D169" s="50">
        <f>VLOOKUP($A169,'Data shares'!$C:$FM,114)</f>
        <v>23.31</v>
      </c>
      <c r="E169" s="50">
        <f>VLOOKUP($A169,'Data shares'!$C:$FM,106)</f>
        <v>29.28</v>
      </c>
      <c r="F169" s="50">
        <f>VLOOKUP($A169,'Data shares'!$C:$FM,108)</f>
        <v>-6.73</v>
      </c>
      <c r="G169" s="50">
        <f t="shared" si="5"/>
        <v>0.77015027322404372</v>
      </c>
    </row>
    <row r="170" spans="1:7" x14ac:dyDescent="0.25">
      <c r="A170" s="49" t="str">
        <f>'Data Vlaue (Cr)'!C165</f>
        <v>POWERINDIA</v>
      </c>
      <c r="B170" s="50">
        <f>VLOOKUP($A170,'Data shares'!$C:$FM,102)</f>
        <v>44.01</v>
      </c>
      <c r="C170" s="50">
        <f>VLOOKUP($A170,'Data shares'!$C:$FM,110)</f>
        <v>40.619999999999997</v>
      </c>
      <c r="D170" s="50">
        <f>VLOOKUP($A170,'Data shares'!$C:$FM,114)</f>
        <v>49.43</v>
      </c>
      <c r="E170" s="50">
        <f>VLOOKUP($A170,'Data shares'!$C:$FM,106)</f>
        <v>60.01</v>
      </c>
      <c r="F170" s="50">
        <f>VLOOKUP($A170,'Data shares'!$C:$FM,108)</f>
        <v>-16</v>
      </c>
      <c r="G170" s="50">
        <f t="shared" si="5"/>
        <v>0.73337777037160468</v>
      </c>
    </row>
    <row r="171" spans="1:7" x14ac:dyDescent="0.25">
      <c r="A171" s="49" t="str">
        <f>'Data Vlaue (Cr)'!C166</f>
        <v>PPLPHARMA</v>
      </c>
      <c r="B171" s="50">
        <f>VLOOKUP($A171,'Data shares'!$C:$FM,102)</f>
        <v>38.78</v>
      </c>
      <c r="C171" s="50">
        <f>VLOOKUP($A171,'Data shares'!$C:$FM,110)</f>
        <v>38.369999999999997</v>
      </c>
      <c r="D171" s="50">
        <f>VLOOKUP($A171,'Data shares'!$C:$FM,114)</f>
        <v>40.22</v>
      </c>
      <c r="E171" s="50">
        <f>VLOOKUP($A171,'Data shares'!$C:$FM,106)</f>
        <v>42.78</v>
      </c>
      <c r="F171" s="50">
        <f>VLOOKUP($A171,'Data shares'!$C:$FM,108)</f>
        <v>-4</v>
      </c>
      <c r="G171" s="50">
        <f t="shared" si="5"/>
        <v>0.90649836372136516</v>
      </c>
    </row>
    <row r="172" spans="1:7" x14ac:dyDescent="0.25">
      <c r="A172" s="49" t="str">
        <f>'Data Vlaue (Cr)'!C167</f>
        <v>PREMIERENE</v>
      </c>
      <c r="B172" s="50">
        <f>VLOOKUP($A172,'Data shares'!$C:$FM,102)</f>
        <v>53.81</v>
      </c>
      <c r="C172" s="50">
        <f>VLOOKUP($A172,'Data shares'!$C:$FM,110)</f>
        <v>54.22</v>
      </c>
      <c r="D172" s="50">
        <f>VLOOKUP($A172,'Data shares'!$C:$FM,114)</f>
        <v>53.1</v>
      </c>
      <c r="E172" s="50">
        <f>VLOOKUP($A172,'Data shares'!$C:$FM,106)</f>
        <v>48.8</v>
      </c>
      <c r="F172" s="50">
        <f>VLOOKUP($A172,'Data shares'!$C:$FM,108)</f>
        <v>5.01</v>
      </c>
      <c r="G172" s="50">
        <f t="shared" si="5"/>
        <v>1.1026639344262297</v>
      </c>
    </row>
    <row r="173" spans="1:7" x14ac:dyDescent="0.25">
      <c r="A173" s="49" t="str">
        <f>'Data Vlaue (Cr)'!C168</f>
        <v>PRESTIGE</v>
      </c>
      <c r="B173" s="50">
        <f>VLOOKUP($A173,'Data shares'!$C:$FM,102)</f>
        <v>31.45</v>
      </c>
      <c r="C173" s="50">
        <f>VLOOKUP($A173,'Data shares'!$C:$FM,110)</f>
        <v>30.85</v>
      </c>
      <c r="D173" s="50">
        <f>VLOOKUP($A173,'Data shares'!$C:$FM,114)</f>
        <v>33.729999999999997</v>
      </c>
      <c r="E173" s="50">
        <f>VLOOKUP($A173,'Data shares'!$C:$FM,106)</f>
        <v>43.38</v>
      </c>
      <c r="F173" s="50">
        <f>VLOOKUP($A173,'Data shares'!$C:$FM,108)</f>
        <v>-11.93</v>
      </c>
      <c r="G173" s="50">
        <f t="shared" si="5"/>
        <v>0.72498847395112953</v>
      </c>
    </row>
    <row r="174" spans="1:7" x14ac:dyDescent="0.25">
      <c r="A174" s="49" t="str">
        <f>'Data Vlaue (Cr)'!C169</f>
        <v>RBLBANK</v>
      </c>
      <c r="B174" s="50">
        <f>VLOOKUP($A174,'Data shares'!$C:$FM,102)</f>
        <v>27.56</v>
      </c>
      <c r="C174" s="50">
        <f>VLOOKUP($A174,'Data shares'!$C:$FM,110)</f>
        <v>27.45</v>
      </c>
      <c r="D174" s="50">
        <f>VLOOKUP($A174,'Data shares'!$C:$FM,114)</f>
        <v>27.89</v>
      </c>
      <c r="E174" s="50">
        <f>VLOOKUP($A174,'Data shares'!$C:$FM,106)</f>
        <v>43.47</v>
      </c>
      <c r="F174" s="50">
        <f>VLOOKUP($A174,'Data shares'!$C:$FM,108)</f>
        <v>-15.91</v>
      </c>
      <c r="G174" s="50">
        <f t="shared" si="5"/>
        <v>0.63400046008741662</v>
      </c>
    </row>
    <row r="175" spans="1:7" x14ac:dyDescent="0.25">
      <c r="A175" s="49" t="str">
        <f>'Data Vlaue (Cr)'!C170</f>
        <v>RECLTD</v>
      </c>
      <c r="B175" s="50">
        <f>VLOOKUP($A175,'Data shares'!$C:$FM,102)</f>
        <v>33.29</v>
      </c>
      <c r="C175" s="50">
        <f>VLOOKUP($A175,'Data shares'!$C:$FM,110)</f>
        <v>34.08</v>
      </c>
      <c r="D175" s="50">
        <f>VLOOKUP($A175,'Data shares'!$C:$FM,114)</f>
        <v>30.8</v>
      </c>
      <c r="E175" s="50">
        <f>VLOOKUP($A175,'Data shares'!$C:$FM,106)</f>
        <v>41.24</v>
      </c>
      <c r="F175" s="50">
        <f>VLOOKUP($A175,'Data shares'!$C:$FM,108)</f>
        <v>-7.95</v>
      </c>
      <c r="G175" s="50">
        <f t="shared" si="5"/>
        <v>0.8072259941804073</v>
      </c>
    </row>
    <row r="176" spans="1:7" x14ac:dyDescent="0.25">
      <c r="A176" s="49" t="str">
        <f>'Data Vlaue (Cr)'!C171</f>
        <v>RELIANCE</v>
      </c>
      <c r="B176" s="50">
        <f>VLOOKUP($A176,'Data shares'!$C:$FM,102)</f>
        <v>18.22</v>
      </c>
      <c r="C176" s="50">
        <f>VLOOKUP($A176,'Data shares'!$C:$FM,110)</f>
        <v>17.649999999999999</v>
      </c>
      <c r="D176" s="50">
        <f>VLOOKUP($A176,'Data shares'!$C:$FM,114)</f>
        <v>19.14</v>
      </c>
      <c r="E176" s="50">
        <f>VLOOKUP($A176,'Data shares'!$C:$FM,106)</f>
        <v>24.65</v>
      </c>
      <c r="F176" s="50">
        <f>VLOOKUP($A176,'Data shares'!$C:$FM,108)</f>
        <v>-6.43</v>
      </c>
      <c r="G176" s="50">
        <f t="shared" si="5"/>
        <v>0.73914807302231234</v>
      </c>
    </row>
    <row r="177" spans="1:7" x14ac:dyDescent="0.25">
      <c r="A177" s="49" t="str">
        <f>'Data Vlaue (Cr)'!C172</f>
        <v>RVNL</v>
      </c>
      <c r="B177" s="50">
        <f>VLOOKUP($A177,'Data shares'!$C:$FM,102)</f>
        <v>52.69</v>
      </c>
      <c r="C177" s="50">
        <f>VLOOKUP($A177,'Data shares'!$C:$FM,110)</f>
        <v>54.14</v>
      </c>
      <c r="D177" s="50">
        <f>VLOOKUP($A177,'Data shares'!$C:$FM,114)</f>
        <v>45.82</v>
      </c>
      <c r="E177" s="50">
        <f>VLOOKUP($A177,'Data shares'!$C:$FM,106)</f>
        <v>58.28</v>
      </c>
      <c r="F177" s="50">
        <f>VLOOKUP($A177,'Data shares'!$C:$FM,108)</f>
        <v>-5.59</v>
      </c>
      <c r="G177" s="50">
        <f t="shared" si="5"/>
        <v>0.90408373369938222</v>
      </c>
    </row>
    <row r="178" spans="1:7" x14ac:dyDescent="0.25">
      <c r="A178" s="49" t="str">
        <f>'Data Vlaue (Cr)'!C173</f>
        <v>SAIL</v>
      </c>
      <c r="B178" s="50">
        <f>VLOOKUP($A178,'Data shares'!$C:$FM,102)</f>
        <v>32.15</v>
      </c>
      <c r="C178" s="50">
        <f>VLOOKUP($A178,'Data shares'!$C:$FM,110)</f>
        <v>30.75</v>
      </c>
      <c r="D178" s="50">
        <f>VLOOKUP($A178,'Data shares'!$C:$FM,114)</f>
        <v>36.06</v>
      </c>
      <c r="E178" s="50">
        <f>VLOOKUP($A178,'Data shares'!$C:$FM,106)</f>
        <v>43.34</v>
      </c>
      <c r="F178" s="50">
        <f>VLOOKUP($A178,'Data shares'!$C:$FM,108)</f>
        <v>-11.19</v>
      </c>
      <c r="G178" s="50">
        <f t="shared" si="5"/>
        <v>0.74180895246885081</v>
      </c>
    </row>
    <row r="179" spans="1:7" x14ac:dyDescent="0.25">
      <c r="A179" s="49" t="str">
        <f>'Data Vlaue (Cr)'!C174</f>
        <v>SAMMAANCAP</v>
      </c>
      <c r="B179" s="50">
        <f>VLOOKUP($A179,'Data shares'!$C:$FM,102)</f>
        <v>24.32</v>
      </c>
      <c r="C179" s="50">
        <f>VLOOKUP($A179,'Data shares'!$C:$FM,110)</f>
        <v>20.54</v>
      </c>
      <c r="D179" s="50">
        <f>VLOOKUP($A179,'Data shares'!$C:$FM,114)</f>
        <v>32.26</v>
      </c>
      <c r="E179" s="50">
        <f>VLOOKUP($A179,'Data shares'!$C:$FM,106)</f>
        <v>54.69</v>
      </c>
      <c r="F179" s="50">
        <f>VLOOKUP($A179,'Data shares'!$C:$FM,108)</f>
        <v>-30.37</v>
      </c>
      <c r="G179" s="50">
        <f t="shared" si="5"/>
        <v>0.44468824282318525</v>
      </c>
    </row>
    <row r="180" spans="1:7" x14ac:dyDescent="0.25">
      <c r="A180" s="49" t="str">
        <f>'Data Vlaue (Cr)'!C175</f>
        <v>SBICARD</v>
      </c>
      <c r="B180" s="50">
        <f>VLOOKUP($A180,'Data shares'!$C:$FM,102)</f>
        <v>28.15</v>
      </c>
      <c r="C180" s="50">
        <f>VLOOKUP($A180,'Data shares'!$C:$FM,110)</f>
        <v>28.28</v>
      </c>
      <c r="D180" s="50">
        <f>VLOOKUP($A180,'Data shares'!$C:$FM,114)</f>
        <v>27.76</v>
      </c>
      <c r="E180" s="50">
        <f>VLOOKUP($A180,'Data shares'!$C:$FM,106)</f>
        <v>29.52</v>
      </c>
      <c r="F180" s="50">
        <f>VLOOKUP($A180,'Data shares'!$C:$FM,108)</f>
        <v>-1.37</v>
      </c>
      <c r="G180" s="50">
        <f t="shared" si="5"/>
        <v>0.95359078590785906</v>
      </c>
    </row>
    <row r="181" spans="1:7" x14ac:dyDescent="0.25">
      <c r="A181" s="49" t="str">
        <f>'Data Vlaue (Cr)'!C176</f>
        <v>SBILIFE</v>
      </c>
      <c r="B181" s="50">
        <f>VLOOKUP($A181,'Data shares'!$C:$FM,102)</f>
        <v>16.809999999999999</v>
      </c>
      <c r="C181" s="50">
        <f>VLOOKUP($A181,'Data shares'!$C:$FM,110)</f>
        <v>16.12</v>
      </c>
      <c r="D181" s="50">
        <f>VLOOKUP($A181,'Data shares'!$C:$FM,114)</f>
        <v>18.52</v>
      </c>
      <c r="E181" s="50">
        <f>VLOOKUP($A181,'Data shares'!$C:$FM,106)</f>
        <v>23.72</v>
      </c>
      <c r="F181" s="50">
        <f>VLOOKUP($A181,'Data shares'!$C:$FM,108)</f>
        <v>-6.91</v>
      </c>
      <c r="G181" s="50">
        <f t="shared" si="5"/>
        <v>0.70868465430016858</v>
      </c>
    </row>
    <row r="182" spans="1:7" x14ac:dyDescent="0.25">
      <c r="A182" s="49" t="str">
        <f>'Data Vlaue (Cr)'!C177</f>
        <v>SBIN</v>
      </c>
      <c r="B182" s="50">
        <f>VLOOKUP($A182,'Data shares'!$C:$FM,102)</f>
        <v>25.33</v>
      </c>
      <c r="C182" s="50">
        <f>VLOOKUP($A182,'Data shares'!$C:$FM,110)</f>
        <v>23.94</v>
      </c>
      <c r="D182" s="50">
        <f>VLOOKUP($A182,'Data shares'!$C:$FM,114)</f>
        <v>27.64</v>
      </c>
      <c r="E182" s="50">
        <f>VLOOKUP($A182,'Data shares'!$C:$FM,106)</f>
        <v>27.42</v>
      </c>
      <c r="F182" s="50">
        <f>VLOOKUP($A182,'Data shares'!$C:$FM,108)</f>
        <v>-2.09</v>
      </c>
      <c r="G182" s="50">
        <f t="shared" si="5"/>
        <v>0.92377826404084595</v>
      </c>
    </row>
    <row r="183" spans="1:7" x14ac:dyDescent="0.25">
      <c r="A183" s="49" t="str">
        <f>'Data Vlaue (Cr)'!C178</f>
        <v>SHREECEM</v>
      </c>
      <c r="B183" s="50">
        <f>VLOOKUP($A183,'Data shares'!$C:$FM,102)</f>
        <v>25.85</v>
      </c>
      <c r="C183" s="50">
        <f>VLOOKUP($A183,'Data shares'!$C:$FM,110)</f>
        <v>25.94</v>
      </c>
      <c r="D183" s="50">
        <f>VLOOKUP($A183,'Data shares'!$C:$FM,114)</f>
        <v>25.55</v>
      </c>
      <c r="E183" s="50">
        <f>VLOOKUP($A183,'Data shares'!$C:$FM,106)</f>
        <v>24.21</v>
      </c>
      <c r="F183" s="50">
        <f>VLOOKUP($A183,'Data shares'!$C:$FM,108)</f>
        <v>1.64</v>
      </c>
      <c r="G183" s="50">
        <f t="shared" si="5"/>
        <v>1.0677406030565881</v>
      </c>
    </row>
    <row r="184" spans="1:7" x14ac:dyDescent="0.25">
      <c r="A184" s="49" t="str">
        <f>'Data Vlaue (Cr)'!C179</f>
        <v>SHRIRAMFIN</v>
      </c>
      <c r="B184" s="50">
        <f>VLOOKUP($A184,'Data shares'!$C:$FM,102)</f>
        <v>30.64</v>
      </c>
      <c r="C184" s="50">
        <f>VLOOKUP($A184,'Data shares'!$C:$FM,110)</f>
        <v>30.17</v>
      </c>
      <c r="D184" s="50">
        <f>VLOOKUP($A184,'Data shares'!$C:$FM,114)</f>
        <v>31.9</v>
      </c>
      <c r="E184" s="50">
        <f>VLOOKUP($A184,'Data shares'!$C:$FM,106)</f>
        <v>38.869999999999997</v>
      </c>
      <c r="F184" s="50">
        <f>VLOOKUP($A184,'Data shares'!$C:$FM,108)</f>
        <v>-8.23</v>
      </c>
      <c r="G184" s="50">
        <f t="shared" si="5"/>
        <v>0.78826858759969132</v>
      </c>
    </row>
    <row r="185" spans="1:7" x14ac:dyDescent="0.25">
      <c r="A185" s="49" t="str">
        <f>'Data Vlaue (Cr)'!C180</f>
        <v>SIEMENS</v>
      </c>
      <c r="B185" s="50">
        <f>VLOOKUP($A185,'Data shares'!$C:$FM,102)</f>
        <v>30.9</v>
      </c>
      <c r="C185" s="50">
        <f>VLOOKUP($A185,'Data shares'!$C:$FM,110)</f>
        <v>30.37</v>
      </c>
      <c r="D185" s="50">
        <f>VLOOKUP($A185,'Data shares'!$C:$FM,114)</f>
        <v>32.76</v>
      </c>
      <c r="E185" s="50">
        <f>VLOOKUP($A185,'Data shares'!$C:$FM,106)</f>
        <v>38.11</v>
      </c>
      <c r="F185" s="50">
        <f>VLOOKUP($A185,'Data shares'!$C:$FM,108)</f>
        <v>-7.21</v>
      </c>
      <c r="G185" s="50">
        <f t="shared" si="5"/>
        <v>0.81081081081081074</v>
      </c>
    </row>
    <row r="186" spans="1:7" x14ac:dyDescent="0.25">
      <c r="A186" s="49" t="str">
        <f>'Data Vlaue (Cr)'!C181</f>
        <v>SOLARINDS</v>
      </c>
      <c r="B186" s="50">
        <f>VLOOKUP($A186,'Data shares'!$C:$FM,102)</f>
        <v>39.86</v>
      </c>
      <c r="C186" s="50">
        <f>VLOOKUP($A186,'Data shares'!$C:$FM,110)</f>
        <v>40.36</v>
      </c>
      <c r="D186" s="50">
        <f>VLOOKUP($A186,'Data shares'!$C:$FM,114)</f>
        <v>38.340000000000003</v>
      </c>
      <c r="E186" s="50">
        <f>VLOOKUP($A186,'Data shares'!$C:$FM,106)</f>
        <v>41.27</v>
      </c>
      <c r="F186" s="50">
        <f>VLOOKUP($A186,'Data shares'!$C:$FM,108)</f>
        <v>-1.41</v>
      </c>
      <c r="G186" s="50">
        <f t="shared" si="5"/>
        <v>0.96583474678943537</v>
      </c>
    </row>
    <row r="187" spans="1:7" x14ac:dyDescent="0.25">
      <c r="A187" s="49" t="str">
        <f>'Data Vlaue (Cr)'!C182</f>
        <v>SONACOMS</v>
      </c>
      <c r="B187" s="50">
        <f>VLOOKUP($A187,'Data shares'!$C:$FM,102)</f>
        <v>34.11</v>
      </c>
      <c r="C187" s="50">
        <f>VLOOKUP($A187,'Data shares'!$C:$FM,110)</f>
        <v>33.880000000000003</v>
      </c>
      <c r="D187" s="50">
        <f>VLOOKUP($A187,'Data shares'!$C:$FM,114)</f>
        <v>35.11</v>
      </c>
      <c r="E187" s="50">
        <f>VLOOKUP($A187,'Data shares'!$C:$FM,106)</f>
        <v>39.68</v>
      </c>
      <c r="F187" s="50">
        <f>VLOOKUP($A187,'Data shares'!$C:$FM,108)</f>
        <v>-5.57</v>
      </c>
      <c r="G187" s="50">
        <f t="shared" si="5"/>
        <v>0.85962701612903225</v>
      </c>
    </row>
    <row r="188" spans="1:7" x14ac:dyDescent="0.25">
      <c r="A188" s="49" t="str">
        <f>'Data Vlaue (Cr)'!C183</f>
        <v>SRF</v>
      </c>
      <c r="B188" s="50">
        <f>VLOOKUP($A188,'Data shares'!$C:$FM,102)</f>
        <v>25.43</v>
      </c>
      <c r="C188" s="50">
        <f>VLOOKUP($A188,'Data shares'!$C:$FM,110)</f>
        <v>24.71</v>
      </c>
      <c r="D188" s="50">
        <f>VLOOKUP($A188,'Data shares'!$C:$FM,114)</f>
        <v>26.87</v>
      </c>
      <c r="E188" s="50">
        <f>VLOOKUP($A188,'Data shares'!$C:$FM,106)</f>
        <v>32.590000000000003</v>
      </c>
      <c r="F188" s="50">
        <f>VLOOKUP($A188,'Data shares'!$C:$FM,108)</f>
        <v>-7.16</v>
      </c>
      <c r="G188" s="50">
        <f t="shared" ref="G188:G220" si="6">B188/E188</f>
        <v>0.78030070573795629</v>
      </c>
    </row>
    <row r="189" spans="1:7" x14ac:dyDescent="0.25">
      <c r="A189" s="49" t="str">
        <f>'Data Vlaue (Cr)'!C184</f>
        <v>SUNPHARMA</v>
      </c>
      <c r="B189" s="50">
        <f>VLOOKUP($A189,'Data shares'!$C:$FM,102)</f>
        <v>17.02</v>
      </c>
      <c r="C189" s="50">
        <f>VLOOKUP($A189,'Data shares'!$C:$FM,110)</f>
        <v>15.26</v>
      </c>
      <c r="D189" s="50">
        <f>VLOOKUP($A189,'Data shares'!$C:$FM,114)</f>
        <v>19.78</v>
      </c>
      <c r="E189" s="50">
        <f>VLOOKUP($A189,'Data shares'!$C:$FM,106)</f>
        <v>23.25</v>
      </c>
      <c r="F189" s="50">
        <f>VLOOKUP($A189,'Data shares'!$C:$FM,108)</f>
        <v>-6.23</v>
      </c>
      <c r="G189" s="50">
        <f t="shared" si="6"/>
        <v>0.73204301075268818</v>
      </c>
    </row>
    <row r="190" spans="1:7" x14ac:dyDescent="0.25">
      <c r="A190" s="49" t="str">
        <f>'Data Vlaue (Cr)'!C185</f>
        <v>SUPREMEIND</v>
      </c>
      <c r="B190" s="50">
        <f>VLOOKUP($A190,'Data shares'!$C:$FM,102)</f>
        <v>30.88</v>
      </c>
      <c r="C190" s="50">
        <f>VLOOKUP($A190,'Data shares'!$C:$FM,110)</f>
        <v>30.67</v>
      </c>
      <c r="D190" s="50">
        <f>VLOOKUP($A190,'Data shares'!$C:$FM,114)</f>
        <v>31.88</v>
      </c>
      <c r="E190" s="50">
        <f>VLOOKUP($A190,'Data shares'!$C:$FM,106)</f>
        <v>38.700000000000003</v>
      </c>
      <c r="F190" s="50">
        <f>VLOOKUP($A190,'Data shares'!$C:$FM,108)</f>
        <v>-7.82</v>
      </c>
      <c r="G190" s="50">
        <f t="shared" si="6"/>
        <v>0.79793281653746762</v>
      </c>
    </row>
    <row r="191" spans="1:7" x14ac:dyDescent="0.25">
      <c r="A191" s="49" t="str">
        <f>'Data Vlaue (Cr)'!C186</f>
        <v>SUZLON</v>
      </c>
      <c r="B191" s="50">
        <f>VLOOKUP($A191,'Data shares'!$C:$FM,102)</f>
        <v>35.93</v>
      </c>
      <c r="C191" s="50">
        <f>VLOOKUP($A191,'Data shares'!$C:$FM,110)</f>
        <v>36.159999999999997</v>
      </c>
      <c r="D191" s="50">
        <f>VLOOKUP($A191,'Data shares'!$C:$FM,114)</f>
        <v>34.99</v>
      </c>
      <c r="E191" s="50">
        <f>VLOOKUP($A191,'Data shares'!$C:$FM,106)</f>
        <v>46.32</v>
      </c>
      <c r="F191" s="50">
        <f>VLOOKUP($A191,'Data shares'!$C:$FM,108)</f>
        <v>-10.39</v>
      </c>
      <c r="G191" s="50">
        <f t="shared" si="6"/>
        <v>0.77569084628670115</v>
      </c>
    </row>
    <row r="192" spans="1:7" x14ac:dyDescent="0.25">
      <c r="A192" s="49" t="str">
        <f>'Data Vlaue (Cr)'!C187</f>
        <v>SWIGGY</v>
      </c>
      <c r="B192" s="50">
        <f>VLOOKUP($A192,'Data shares'!$C:$FM,102)</f>
        <v>40.43</v>
      </c>
      <c r="C192" s="50">
        <f>VLOOKUP($A192,'Data shares'!$C:$FM,110)</f>
        <v>39.65</v>
      </c>
      <c r="D192" s="50">
        <f>VLOOKUP($A192,'Data shares'!$C:$FM,114)</f>
        <v>41.63</v>
      </c>
      <c r="E192" s="50">
        <f>VLOOKUP($A192,'Data shares'!$C:$FM,106)</f>
        <v>45.64</v>
      </c>
      <c r="F192" s="50">
        <f>VLOOKUP($A192,'Data shares'!$C:$FM,108)</f>
        <v>-5.21</v>
      </c>
      <c r="G192" s="50">
        <f t="shared" si="6"/>
        <v>0.88584574934268179</v>
      </c>
    </row>
    <row r="193" spans="1:7" x14ac:dyDescent="0.25">
      <c r="A193" s="49" t="str">
        <f>'Data Vlaue (Cr)'!C188</f>
        <v>SYNGENE</v>
      </c>
      <c r="B193" s="50">
        <f>VLOOKUP($A193,'Data shares'!$C:$FM,102)</f>
        <v>41.36</v>
      </c>
      <c r="C193" s="50">
        <f>VLOOKUP($A193,'Data shares'!$C:$FM,110)</f>
        <v>41.72</v>
      </c>
      <c r="D193" s="50">
        <f>VLOOKUP($A193,'Data shares'!$C:$FM,114)</f>
        <v>40.1</v>
      </c>
      <c r="E193" s="50">
        <f>VLOOKUP($A193,'Data shares'!$C:$FM,106)</f>
        <v>36.340000000000003</v>
      </c>
      <c r="F193" s="50">
        <f>VLOOKUP($A193,'Data shares'!$C:$FM,108)</f>
        <v>5.0199999999999996</v>
      </c>
      <c r="G193" s="50">
        <f t="shared" si="6"/>
        <v>1.1381397908640616</v>
      </c>
    </row>
    <row r="194" spans="1:7" x14ac:dyDescent="0.25">
      <c r="A194" s="49" t="str">
        <f>'Data Vlaue (Cr)'!C189</f>
        <v>TATACONSUM</v>
      </c>
      <c r="B194" s="50">
        <f>VLOOKUP($A194,'Data shares'!$C:$FM,102)</f>
        <v>22.71</v>
      </c>
      <c r="C194" s="50">
        <f>VLOOKUP($A194,'Data shares'!$C:$FM,110)</f>
        <v>22.58</v>
      </c>
      <c r="D194" s="50">
        <f>VLOOKUP($A194,'Data shares'!$C:$FM,114)</f>
        <v>23.14</v>
      </c>
      <c r="E194" s="50">
        <f>VLOOKUP($A194,'Data shares'!$C:$FM,106)</f>
        <v>27.52</v>
      </c>
      <c r="F194" s="50">
        <f>VLOOKUP($A194,'Data shares'!$C:$FM,108)</f>
        <v>-4.8099999999999996</v>
      </c>
      <c r="G194" s="50">
        <f t="shared" si="6"/>
        <v>0.82521802325581395</v>
      </c>
    </row>
    <row r="195" spans="1:7" x14ac:dyDescent="0.25">
      <c r="A195" s="49" t="str">
        <f>'Data Vlaue (Cr)'!C190</f>
        <v>TATAELXSI</v>
      </c>
      <c r="B195" s="50">
        <f>VLOOKUP($A195,'Data shares'!$C:$FM,102)</f>
        <v>38.880000000000003</v>
      </c>
      <c r="C195" s="50">
        <f>VLOOKUP($A195,'Data shares'!$C:$FM,110)</f>
        <v>39.43</v>
      </c>
      <c r="D195" s="50">
        <f>VLOOKUP($A195,'Data shares'!$C:$FM,114)</f>
        <v>37.1</v>
      </c>
      <c r="E195" s="50">
        <f>VLOOKUP($A195,'Data shares'!$C:$FM,106)</f>
        <v>37.76</v>
      </c>
      <c r="F195" s="50">
        <f>VLOOKUP($A195,'Data shares'!$C:$FM,108)</f>
        <v>1.1200000000000001</v>
      </c>
      <c r="G195" s="50">
        <f t="shared" si="6"/>
        <v>1.0296610169491527</v>
      </c>
    </row>
    <row r="196" spans="1:7" x14ac:dyDescent="0.25">
      <c r="A196" s="49" t="str">
        <f>'Data Vlaue (Cr)'!C191</f>
        <v>TATAPOWER</v>
      </c>
      <c r="B196" s="50">
        <f>VLOOKUP($A196,'Data shares'!$C:$FM,102)</f>
        <v>25.88</v>
      </c>
      <c r="C196" s="50">
        <f>VLOOKUP($A196,'Data shares'!$C:$FM,110)</f>
        <v>25.45</v>
      </c>
      <c r="D196" s="50">
        <f>VLOOKUP($A196,'Data shares'!$C:$FM,114)</f>
        <v>26.98</v>
      </c>
      <c r="E196" s="50">
        <f>VLOOKUP($A196,'Data shares'!$C:$FM,106)</f>
        <v>31.21</v>
      </c>
      <c r="F196" s="50">
        <f>VLOOKUP($A196,'Data shares'!$C:$FM,108)</f>
        <v>-5.33</v>
      </c>
      <c r="G196" s="50">
        <f t="shared" si="6"/>
        <v>0.82922140339634731</v>
      </c>
    </row>
    <row r="197" spans="1:7" x14ac:dyDescent="0.25">
      <c r="A197" s="49" t="str">
        <f>'Data Vlaue (Cr)'!C192</f>
        <v>TATASTEEL</v>
      </c>
      <c r="B197" s="50">
        <f>VLOOKUP($A197,'Data shares'!$C:$FM,102)</f>
        <v>31.51</v>
      </c>
      <c r="C197" s="50">
        <f>VLOOKUP($A197,'Data shares'!$C:$FM,110)</f>
        <v>30.72</v>
      </c>
      <c r="D197" s="50">
        <f>VLOOKUP($A197,'Data shares'!$C:$FM,114)</f>
        <v>32.92</v>
      </c>
      <c r="E197" s="50">
        <f>VLOOKUP($A197,'Data shares'!$C:$FM,106)</f>
        <v>33.79</v>
      </c>
      <c r="F197" s="50">
        <f>VLOOKUP($A197,'Data shares'!$C:$FM,108)</f>
        <v>-2.2799999999999998</v>
      </c>
      <c r="G197" s="50">
        <f t="shared" si="6"/>
        <v>0.93252441550754672</v>
      </c>
    </row>
    <row r="198" spans="1:7" x14ac:dyDescent="0.25">
      <c r="A198" s="49" t="str">
        <f>'Data Vlaue (Cr)'!C193</f>
        <v>TATATECH</v>
      </c>
      <c r="B198" s="50">
        <f>VLOOKUP($A198,'Data shares'!$C:$FM,102)</f>
        <v>30.81</v>
      </c>
      <c r="C198" s="50">
        <f>VLOOKUP($A198,'Data shares'!$C:$FM,110)</f>
        <v>31.13</v>
      </c>
      <c r="D198" s="50">
        <f>VLOOKUP($A198,'Data shares'!$C:$FM,114)</f>
        <v>30.29</v>
      </c>
      <c r="E198" s="50">
        <f>VLOOKUP($A198,'Data shares'!$C:$FM,106)</f>
        <v>30.61</v>
      </c>
      <c r="F198" s="50">
        <f>VLOOKUP($A198,'Data shares'!$C:$FM,108)</f>
        <v>0.2</v>
      </c>
      <c r="G198" s="50">
        <f t="shared" si="6"/>
        <v>1.0065338124795817</v>
      </c>
    </row>
    <row r="199" spans="1:7" x14ac:dyDescent="0.25">
      <c r="A199" s="49" t="str">
        <f>'Data Vlaue (Cr)'!C194</f>
        <v>TCS</v>
      </c>
      <c r="B199" s="50">
        <f>VLOOKUP($A199,'Data shares'!$C:$FM,102)</f>
        <v>30.29</v>
      </c>
      <c r="C199" s="50">
        <f>VLOOKUP($A199,'Data shares'!$C:$FM,110)</f>
        <v>30.3</v>
      </c>
      <c r="D199" s="50">
        <f>VLOOKUP($A199,'Data shares'!$C:$FM,114)</f>
        <v>30.28</v>
      </c>
      <c r="E199" s="50">
        <f>VLOOKUP($A199,'Data shares'!$C:$FM,106)</f>
        <v>25.65</v>
      </c>
      <c r="F199" s="50">
        <f>VLOOKUP($A199,'Data shares'!$C:$FM,108)</f>
        <v>4.6399999999999997</v>
      </c>
      <c r="G199" s="50">
        <f t="shared" si="6"/>
        <v>1.180896686159844</v>
      </c>
    </row>
    <row r="200" spans="1:7" x14ac:dyDescent="0.25">
      <c r="A200" s="49" t="str">
        <f>'Data Vlaue (Cr)'!C195</f>
        <v>TECHM</v>
      </c>
      <c r="B200" s="50">
        <f>VLOOKUP($A200,'Data shares'!$C:$FM,102)</f>
        <v>28.28</v>
      </c>
      <c r="C200" s="50">
        <f>VLOOKUP($A200,'Data shares'!$C:$FM,110)</f>
        <v>28.08</v>
      </c>
      <c r="D200" s="50">
        <f>VLOOKUP($A200,'Data shares'!$C:$FM,114)</f>
        <v>28.54</v>
      </c>
      <c r="E200" s="50">
        <f>VLOOKUP($A200,'Data shares'!$C:$FM,106)</f>
        <v>29.13</v>
      </c>
      <c r="F200" s="50">
        <f>VLOOKUP($A200,'Data shares'!$C:$FM,108)</f>
        <v>-0.85</v>
      </c>
      <c r="G200" s="50">
        <f t="shared" si="6"/>
        <v>0.97082046000686584</v>
      </c>
    </row>
    <row r="201" spans="1:7" x14ac:dyDescent="0.25">
      <c r="A201" s="49" t="str">
        <f>'Data Vlaue (Cr)'!C196</f>
        <v>TIINDIA</v>
      </c>
      <c r="B201" s="50">
        <f>VLOOKUP($A201,'Data shares'!$C:$FM,102)</f>
        <v>37.729999999999997</v>
      </c>
      <c r="C201" s="50">
        <f>VLOOKUP($A201,'Data shares'!$C:$FM,110)</f>
        <v>37.159999999999997</v>
      </c>
      <c r="D201" s="50">
        <f>VLOOKUP($A201,'Data shares'!$C:$FM,114)</f>
        <v>39.83</v>
      </c>
      <c r="E201" s="50">
        <f>VLOOKUP($A201,'Data shares'!$C:$FM,106)</f>
        <v>43.74</v>
      </c>
      <c r="F201" s="50">
        <f>VLOOKUP($A201,'Data shares'!$C:$FM,108)</f>
        <v>-6.01</v>
      </c>
      <c r="G201" s="50">
        <f t="shared" si="6"/>
        <v>0.8625971650663008</v>
      </c>
    </row>
    <row r="202" spans="1:7" x14ac:dyDescent="0.25">
      <c r="A202" s="49" t="str">
        <f>'Data Vlaue (Cr)'!C197</f>
        <v>TITAN</v>
      </c>
      <c r="B202" s="50">
        <f>VLOOKUP($A202,'Data shares'!$C:$FM,102)</f>
        <v>27.35</v>
      </c>
      <c r="C202" s="50">
        <f>VLOOKUP($A202,'Data shares'!$C:$FM,110)</f>
        <v>27.5</v>
      </c>
      <c r="D202" s="50">
        <f>VLOOKUP($A202,'Data shares'!$C:$FM,114)</f>
        <v>27.03</v>
      </c>
      <c r="E202" s="50">
        <f>VLOOKUP($A202,'Data shares'!$C:$FM,106)</f>
        <v>24.65</v>
      </c>
      <c r="F202" s="50">
        <f>VLOOKUP($A202,'Data shares'!$C:$FM,108)</f>
        <v>2.7</v>
      </c>
      <c r="G202" s="50">
        <f t="shared" si="6"/>
        <v>1.1095334685598379</v>
      </c>
    </row>
    <row r="203" spans="1:7" x14ac:dyDescent="0.25">
      <c r="A203" s="49" t="str">
        <f>'Data Vlaue (Cr)'!C198</f>
        <v>TMPV</v>
      </c>
      <c r="B203" s="50">
        <f>VLOOKUP($A203,'Data shares'!$C:$FM,102)</f>
        <v>29.91</v>
      </c>
      <c r="C203" s="50">
        <f>VLOOKUP($A203,'Data shares'!$C:$FM,110)</f>
        <v>28.45</v>
      </c>
      <c r="D203" s="50">
        <f>VLOOKUP($A203,'Data shares'!$C:$FM,114)</f>
        <v>32.86</v>
      </c>
      <c r="E203" s="50">
        <f>VLOOKUP($A203,'Data shares'!$C:$FM,106)</f>
        <v>33.83</v>
      </c>
      <c r="F203" s="50">
        <f>VLOOKUP($A203,'Data shares'!$C:$FM,108)</f>
        <v>-3.92</v>
      </c>
      <c r="G203" s="50">
        <f t="shared" si="6"/>
        <v>0.8841265149275791</v>
      </c>
    </row>
    <row r="204" spans="1:7" x14ac:dyDescent="0.25">
      <c r="A204" s="49" t="str">
        <f>'Data Vlaue (Cr)'!C199</f>
        <v>TORNTPHARM</v>
      </c>
      <c r="B204" s="50">
        <f>VLOOKUP($A204,'Data shares'!$C:$FM,102)</f>
        <v>32.090000000000003</v>
      </c>
      <c r="C204" s="50">
        <f>VLOOKUP($A204,'Data shares'!$C:$FM,110)</f>
        <v>31.75</v>
      </c>
      <c r="D204" s="50">
        <f>VLOOKUP($A204,'Data shares'!$C:$FM,114)</f>
        <v>33.200000000000003</v>
      </c>
      <c r="E204" s="50">
        <f>VLOOKUP($A204,'Data shares'!$C:$FM,106)</f>
        <v>25.24</v>
      </c>
      <c r="F204" s="50">
        <f>VLOOKUP($A204,'Data shares'!$C:$FM,108)</f>
        <v>6.85</v>
      </c>
      <c r="G204" s="50">
        <f t="shared" si="6"/>
        <v>1.2713946117274171</v>
      </c>
    </row>
    <row r="205" spans="1:7" x14ac:dyDescent="0.25">
      <c r="A205" s="49" t="str">
        <f>'Data Vlaue (Cr)'!C200</f>
        <v>TORNTPOWER</v>
      </c>
      <c r="B205" s="50">
        <f>VLOOKUP($A205,'Data shares'!$C:$FM,102)</f>
        <v>35.72</v>
      </c>
      <c r="C205" s="50">
        <f>VLOOKUP($A205,'Data shares'!$C:$FM,110)</f>
        <v>36.14</v>
      </c>
      <c r="D205" s="50">
        <f>VLOOKUP($A205,'Data shares'!$C:$FM,114)</f>
        <v>34.89</v>
      </c>
      <c r="E205" s="50">
        <f>VLOOKUP($A205,'Data shares'!$C:$FM,106)</f>
        <v>41.01</v>
      </c>
      <c r="F205" s="50">
        <f>VLOOKUP($A205,'Data shares'!$C:$FM,108)</f>
        <v>-5.29</v>
      </c>
      <c r="G205" s="50">
        <f t="shared" si="6"/>
        <v>0.87100707144598877</v>
      </c>
    </row>
    <row r="206" spans="1:7" x14ac:dyDescent="0.25">
      <c r="A206" s="49" t="str">
        <f>'Data Vlaue (Cr)'!C201</f>
        <v>TRENT</v>
      </c>
      <c r="B206" s="50">
        <f>VLOOKUP($A206,'Data shares'!$C:$FM,102)</f>
        <v>30.35</v>
      </c>
      <c r="C206" s="50">
        <f>VLOOKUP($A206,'Data shares'!$C:$FM,110)</f>
        <v>30.02</v>
      </c>
      <c r="D206" s="50">
        <f>VLOOKUP($A206,'Data shares'!$C:$FM,114)</f>
        <v>31.02</v>
      </c>
      <c r="E206" s="50">
        <f>VLOOKUP($A206,'Data shares'!$C:$FM,106)</f>
        <v>42.64</v>
      </c>
      <c r="F206" s="50">
        <f>VLOOKUP($A206,'Data shares'!$C:$FM,108)</f>
        <v>-12.29</v>
      </c>
      <c r="G206" s="50">
        <f t="shared" si="6"/>
        <v>0.71177298311444659</v>
      </c>
    </row>
    <row r="207" spans="1:7" x14ac:dyDescent="0.25">
      <c r="A207" s="49" t="str">
        <f>'Data Vlaue (Cr)'!C202</f>
        <v>TVSMOTOR</v>
      </c>
      <c r="B207" s="50">
        <f>VLOOKUP($A207,'Data shares'!$C:$FM,102)</f>
        <v>24.8</v>
      </c>
      <c r="C207" s="50">
        <f>VLOOKUP($A207,'Data shares'!$C:$FM,110)</f>
        <v>24.53</v>
      </c>
      <c r="D207" s="50">
        <f>VLOOKUP($A207,'Data shares'!$C:$FM,114)</f>
        <v>25.85</v>
      </c>
      <c r="E207" s="50">
        <f>VLOOKUP($A207,'Data shares'!$C:$FM,106)</f>
        <v>29.5</v>
      </c>
      <c r="F207" s="50">
        <f>VLOOKUP($A207,'Data shares'!$C:$FM,108)</f>
        <v>-4.7</v>
      </c>
      <c r="G207" s="50">
        <f t="shared" si="6"/>
        <v>0.84067796610169498</v>
      </c>
    </row>
    <row r="208" spans="1:7" x14ac:dyDescent="0.25">
      <c r="A208" s="49" t="str">
        <f>'Data Vlaue (Cr)'!C203</f>
        <v>ULTRACEMCO</v>
      </c>
      <c r="B208" s="50">
        <f>VLOOKUP($A208,'Data shares'!$C:$FM,102)</f>
        <v>19.82</v>
      </c>
      <c r="C208" s="50">
        <f>VLOOKUP($A208,'Data shares'!$C:$FM,110)</f>
        <v>18.75</v>
      </c>
      <c r="D208" s="50">
        <f>VLOOKUP($A208,'Data shares'!$C:$FM,114)</f>
        <v>21.6</v>
      </c>
      <c r="E208" s="50">
        <f>VLOOKUP($A208,'Data shares'!$C:$FM,106)</f>
        <v>23.88</v>
      </c>
      <c r="F208" s="50">
        <f>VLOOKUP($A208,'Data shares'!$C:$FM,108)</f>
        <v>-4.0599999999999996</v>
      </c>
      <c r="G208" s="50">
        <f t="shared" si="6"/>
        <v>0.82998324958123959</v>
      </c>
    </row>
    <row r="209" spans="1:7" x14ac:dyDescent="0.25">
      <c r="A209" s="49" t="str">
        <f>'Data Vlaue (Cr)'!C204</f>
        <v>UNIONBANK</v>
      </c>
      <c r="B209" s="50">
        <f>VLOOKUP($A209,'Data shares'!$C:$FM,102)</f>
        <v>33.76</v>
      </c>
      <c r="C209" s="50">
        <f>VLOOKUP($A209,'Data shares'!$C:$FM,110)</f>
        <v>33.700000000000003</v>
      </c>
      <c r="D209" s="50">
        <f>VLOOKUP($A209,'Data shares'!$C:$FM,114)</f>
        <v>33.950000000000003</v>
      </c>
      <c r="E209" s="50">
        <f>VLOOKUP($A209,'Data shares'!$C:$FM,106)</f>
        <v>40.909999999999997</v>
      </c>
      <c r="F209" s="50">
        <f>VLOOKUP($A209,'Data shares'!$C:$FM,108)</f>
        <v>-7.15</v>
      </c>
      <c r="G209" s="50">
        <f t="shared" si="6"/>
        <v>0.82522610608653146</v>
      </c>
    </row>
    <row r="210" spans="1:7" x14ac:dyDescent="0.25">
      <c r="A210" s="49" t="str">
        <f>'Data Vlaue (Cr)'!C205</f>
        <v>UNITDSPR</v>
      </c>
      <c r="B210" s="50">
        <f>VLOOKUP($A210,'Data shares'!$C:$FM,102)</f>
        <v>22.6</v>
      </c>
      <c r="C210" s="50">
        <f>VLOOKUP($A210,'Data shares'!$C:$FM,110)</f>
        <v>21.98</v>
      </c>
      <c r="D210" s="50">
        <f>VLOOKUP($A210,'Data shares'!$C:$FM,114)</f>
        <v>23.66</v>
      </c>
      <c r="E210" s="50">
        <f>VLOOKUP($A210,'Data shares'!$C:$FM,106)</f>
        <v>26.61</v>
      </c>
      <c r="F210" s="50">
        <f>VLOOKUP($A210,'Data shares'!$C:$FM,108)</f>
        <v>-4.01</v>
      </c>
      <c r="G210" s="50">
        <f t="shared" si="6"/>
        <v>0.84930477264186399</v>
      </c>
    </row>
    <row r="211" spans="1:7" x14ac:dyDescent="0.25">
      <c r="A211" s="49" t="str">
        <f>'Data Vlaue (Cr)'!C206</f>
        <v>UNOMINDA</v>
      </c>
      <c r="B211" s="50">
        <f>VLOOKUP($A211,'Data shares'!$C:$FM,102)</f>
        <v>32.049999999999997</v>
      </c>
      <c r="C211" s="50">
        <f>VLOOKUP($A211,'Data shares'!$C:$FM,110)</f>
        <v>31.05</v>
      </c>
      <c r="D211" s="50">
        <f>VLOOKUP($A211,'Data shares'!$C:$FM,114)</f>
        <v>34.47</v>
      </c>
      <c r="E211" s="50">
        <f>VLOOKUP($A211,'Data shares'!$C:$FM,106)</f>
        <v>41.34</v>
      </c>
      <c r="F211" s="50">
        <f>VLOOKUP($A211,'Data shares'!$C:$FM,108)</f>
        <v>-9.2899999999999991</v>
      </c>
      <c r="G211" s="50">
        <f t="shared" si="6"/>
        <v>0.77527818093855816</v>
      </c>
    </row>
    <row r="212" spans="1:7" x14ac:dyDescent="0.25">
      <c r="A212" s="49" t="str">
        <f>'Data Vlaue (Cr)'!C207</f>
        <v>UPL</v>
      </c>
      <c r="B212" s="50">
        <f>VLOOKUP($A212,'Data shares'!$C:$FM,102)</f>
        <v>28.86</v>
      </c>
      <c r="C212" s="50">
        <f>VLOOKUP($A212,'Data shares'!$C:$FM,110)</f>
        <v>28.53</v>
      </c>
      <c r="D212" s="50">
        <f>VLOOKUP($A212,'Data shares'!$C:$FM,114)</f>
        <v>29.92</v>
      </c>
      <c r="E212" s="50">
        <f>VLOOKUP($A212,'Data shares'!$C:$FM,106)</f>
        <v>35.61</v>
      </c>
      <c r="F212" s="50">
        <f>VLOOKUP($A212,'Data shares'!$C:$FM,108)</f>
        <v>-6.75</v>
      </c>
      <c r="G212" s="50">
        <f t="shared" si="6"/>
        <v>0.81044650379106997</v>
      </c>
    </row>
    <row r="213" spans="1:7" x14ac:dyDescent="0.25">
      <c r="A213" s="49" t="str">
        <f>'Data Vlaue (Cr)'!C208</f>
        <v>VBL</v>
      </c>
      <c r="B213" s="50">
        <f>VLOOKUP($A213,'Data shares'!$C:$FM,102)</f>
        <v>29.21</v>
      </c>
      <c r="C213" s="50">
        <f>VLOOKUP($A213,'Data shares'!$C:$FM,110)</f>
        <v>29.46</v>
      </c>
      <c r="D213" s="50">
        <f>VLOOKUP($A213,'Data shares'!$C:$FM,114)</f>
        <v>28.54</v>
      </c>
      <c r="E213" s="50">
        <f>VLOOKUP($A213,'Data shares'!$C:$FM,106)</f>
        <v>36.6</v>
      </c>
      <c r="F213" s="50">
        <f>VLOOKUP($A213,'Data shares'!$C:$FM,108)</f>
        <v>-7.39</v>
      </c>
      <c r="G213" s="50">
        <f t="shared" si="6"/>
        <v>0.7980874316939891</v>
      </c>
    </row>
    <row r="214" spans="1:7" x14ac:dyDescent="0.25">
      <c r="A214" s="49" t="str">
        <f>'Data Vlaue (Cr)'!C209</f>
        <v>VEDL</v>
      </c>
      <c r="B214" s="50">
        <f>VLOOKUP($A214,'Data shares'!$C:$FM,102)</f>
        <v>40.86</v>
      </c>
      <c r="C214" s="50">
        <f>VLOOKUP($A214,'Data shares'!$C:$FM,110)</f>
        <v>40.46</v>
      </c>
      <c r="D214" s="50">
        <f>VLOOKUP($A214,'Data shares'!$C:$FM,114)</f>
        <v>41.7</v>
      </c>
      <c r="E214" s="50">
        <f>VLOOKUP($A214,'Data shares'!$C:$FM,106)</f>
        <v>40.96</v>
      </c>
      <c r="F214" s="50">
        <f>VLOOKUP($A214,'Data shares'!$C:$FM,108)</f>
        <v>-0.1</v>
      </c>
      <c r="G214" s="50">
        <f t="shared" si="6"/>
        <v>0.99755859375</v>
      </c>
    </row>
    <row r="215" spans="1:7" x14ac:dyDescent="0.25">
      <c r="A215" s="49" t="str">
        <f>'Data Vlaue (Cr)'!C210</f>
        <v>VOLTAS</v>
      </c>
      <c r="B215" s="50">
        <f>VLOOKUP($A215,'Data shares'!$C:$FM,102)</f>
        <v>30.07</v>
      </c>
      <c r="C215" s="50">
        <f>VLOOKUP($A215,'Data shares'!$C:$FM,110)</f>
        <v>29.1</v>
      </c>
      <c r="D215" s="50">
        <f>VLOOKUP($A215,'Data shares'!$C:$FM,114)</f>
        <v>31.84</v>
      </c>
      <c r="E215" s="50">
        <f>VLOOKUP($A215,'Data shares'!$C:$FM,106)</f>
        <v>37.25</v>
      </c>
      <c r="F215" s="50">
        <f>VLOOKUP($A215,'Data shares'!$C:$FM,108)</f>
        <v>-7.18</v>
      </c>
      <c r="G215" s="50">
        <f t="shared" si="6"/>
        <v>0.80724832214765097</v>
      </c>
    </row>
    <row r="216" spans="1:7" x14ac:dyDescent="0.25">
      <c r="A216" s="49" t="str">
        <f>'Data Vlaue (Cr)'!C211</f>
        <v>WAAREEENER</v>
      </c>
      <c r="B216" s="50">
        <f>VLOOKUP($A216,'Data shares'!$C:$FM,102)</f>
        <v>42.79</v>
      </c>
      <c r="C216" s="50">
        <f>VLOOKUP($A216,'Data shares'!$C:$FM,110)</f>
        <v>42.06</v>
      </c>
      <c r="D216" s="50">
        <f>VLOOKUP($A216,'Data shares'!$C:$FM,114)</f>
        <v>44.9</v>
      </c>
      <c r="E216" s="50">
        <f>VLOOKUP($A216,'Data shares'!$C:$FM,106)</f>
        <v>52.04</v>
      </c>
      <c r="F216" s="50">
        <f>VLOOKUP($A216,'Data shares'!$C:$FM,108)</f>
        <v>-9.25</v>
      </c>
      <c r="G216" s="50">
        <f t="shared" si="6"/>
        <v>0.82225211375864715</v>
      </c>
    </row>
    <row r="217" spans="1:7" x14ac:dyDescent="0.25">
      <c r="A217" s="49" t="str">
        <f>'Data Vlaue (Cr)'!C212</f>
        <v>WIPRO</v>
      </c>
      <c r="B217" s="50">
        <f>VLOOKUP($A217,'Data shares'!$C:$FM,102)</f>
        <v>29.51</v>
      </c>
      <c r="C217" s="50">
        <f>VLOOKUP($A217,'Data shares'!$C:$FM,110)</f>
        <v>29.88</v>
      </c>
      <c r="D217" s="50">
        <f>VLOOKUP($A217,'Data shares'!$C:$FM,114)</f>
        <v>28.9</v>
      </c>
      <c r="E217" s="50">
        <f>VLOOKUP($A217,'Data shares'!$C:$FM,106)</f>
        <v>30.88</v>
      </c>
      <c r="F217" s="50">
        <f>VLOOKUP($A217,'Data shares'!$C:$FM,108)</f>
        <v>-1.37</v>
      </c>
      <c r="G217" s="50">
        <f t="shared" si="6"/>
        <v>0.9556347150259068</v>
      </c>
    </row>
    <row r="218" spans="1:7" x14ac:dyDescent="0.25">
      <c r="A218" s="49" t="str">
        <f>'Data Vlaue (Cr)'!C213</f>
        <v>YESBANK</v>
      </c>
      <c r="B218" s="50">
        <f>VLOOKUP($A218,'Data shares'!$C:$FM,102)</f>
        <v>32.11</v>
      </c>
      <c r="C218" s="50">
        <f>VLOOKUP($A218,'Data shares'!$C:$FM,110)</f>
        <v>33.28</v>
      </c>
      <c r="D218" s="50">
        <f>VLOOKUP($A218,'Data shares'!$C:$FM,114)</f>
        <v>28.9</v>
      </c>
      <c r="E218" s="50">
        <f>VLOOKUP($A218,'Data shares'!$C:$FM,106)</f>
        <v>38.380000000000003</v>
      </c>
      <c r="F218" s="50">
        <f>VLOOKUP($A218,'Data shares'!$C:$FM,108)</f>
        <v>-6.27</v>
      </c>
      <c r="G218" s="50">
        <f t="shared" si="6"/>
        <v>0.8366336633663366</v>
      </c>
    </row>
    <row r="219" spans="1:7" x14ac:dyDescent="0.25">
      <c r="A219" s="49"/>
      <c r="B219" s="50"/>
      <c r="C219" s="50"/>
      <c r="D219" s="50"/>
      <c r="E219" s="50"/>
      <c r="F219" s="50"/>
      <c r="G219" s="50"/>
    </row>
    <row r="220" spans="1:7" x14ac:dyDescent="0.25">
      <c r="A220" s="49" t="str">
        <f>'Data Vlaue (Cr)'!C214</f>
        <v>ZYDUSLIFE</v>
      </c>
      <c r="B220" s="50">
        <f>VLOOKUP($A220,'Data shares'!$C:$FM,102)</f>
        <v>28.91</v>
      </c>
      <c r="C220" s="50">
        <f>VLOOKUP($A220,'Data shares'!$C:$FM,110)</f>
        <v>29.23</v>
      </c>
      <c r="D220" s="50">
        <f>VLOOKUP($A220,'Data shares'!$C:$FM,114)</f>
        <v>27.91</v>
      </c>
      <c r="E220" s="50">
        <f>VLOOKUP($A220,'Data shares'!$C:$FM,106)</f>
        <v>28.06</v>
      </c>
      <c r="F220" s="50">
        <f>VLOOKUP($A220,'Data shares'!$C:$FM,108)</f>
        <v>0.85</v>
      </c>
      <c r="G220" s="50">
        <f t="shared" si="6"/>
        <v>1.0302922309337135</v>
      </c>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06" activePane="bottomLeft" state="frozen"/>
      <selection pane="bottomLeft" activeCell="N221" sqref="N221"/>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20" t="s">
        <v>416</v>
      </c>
      <c r="B3" s="321"/>
      <c r="C3" s="321"/>
      <c r="D3" s="321"/>
      <c r="E3" s="321"/>
      <c r="F3" s="321"/>
    </row>
    <row r="4" spans="1:6" s="107" customFormat="1" ht="16.5" customHeight="1" x14ac:dyDescent="0.25">
      <c r="A4" s="174" t="s">
        <v>366</v>
      </c>
      <c r="B4" s="76" t="s">
        <v>417</v>
      </c>
      <c r="C4" s="76" t="s">
        <v>412</v>
      </c>
      <c r="D4" s="162" t="s">
        <v>418</v>
      </c>
      <c r="E4" s="162" t="s">
        <v>419</v>
      </c>
      <c r="F4" s="162" t="s">
        <v>419</v>
      </c>
    </row>
    <row r="5" spans="1:6" x14ac:dyDescent="0.25">
      <c r="A5" s="99" t="s">
        <v>681</v>
      </c>
      <c r="B5" s="49">
        <v>36943219</v>
      </c>
      <c r="C5" s="49">
        <v>5698000</v>
      </c>
      <c r="D5" s="49">
        <v>2490595.9442949998</v>
      </c>
      <c r="E5" s="50">
        <f>VLOOKUP($A5,'Data shares'!$C:$FA,154)*100</f>
        <v>15.909999999999998</v>
      </c>
      <c r="F5" s="173">
        <f>C5/B5</f>
        <v>0.15423669496694373</v>
      </c>
    </row>
    <row r="6" spans="1:6" x14ac:dyDescent="0.25">
      <c r="A6" s="99" t="s">
        <v>553</v>
      </c>
      <c r="B6" s="49">
        <v>7946564</v>
      </c>
      <c r="C6" s="49">
        <v>4348750</v>
      </c>
      <c r="D6" s="49">
        <v>1886043.9857050001</v>
      </c>
      <c r="E6" s="50">
        <f>VLOOKUP($A6,'Data shares'!$C:$FA,154)*100</f>
        <v>56.589999999999996</v>
      </c>
      <c r="F6" s="173">
        <f>C6/B6</f>
        <v>0.54724910036589403</v>
      </c>
    </row>
    <row r="7" spans="1:6" x14ac:dyDescent="0.25">
      <c r="A7" s="99" t="s">
        <v>544</v>
      </c>
      <c r="B7" s="49">
        <v>122657000</v>
      </c>
      <c r="C7" s="49">
        <v>117933300</v>
      </c>
      <c r="D7" s="49">
        <v>82059277.440946996</v>
      </c>
      <c r="E7" s="50">
        <f>VLOOKUP($A7,'Data shares'!$C:$FA,154)*100</f>
        <v>97.11999999999999</v>
      </c>
      <c r="F7" s="173">
        <f>C7/B7</f>
        <v>0.96148854121656324</v>
      </c>
    </row>
    <row r="8" spans="1:6" x14ac:dyDescent="0.25">
      <c r="A8" s="99" t="s">
        <v>579</v>
      </c>
      <c r="B8" s="49">
        <v>43791427</v>
      </c>
      <c r="C8" s="49">
        <v>28285875</v>
      </c>
      <c r="D8" s="49">
        <v>19014811.7099512</v>
      </c>
      <c r="E8" s="50">
        <f>VLOOKUP($A8,'Data shares'!$C:$FA,154)*100</f>
        <v>65.27</v>
      </c>
      <c r="F8" s="173">
        <f>C8/B8</f>
        <v>0.64592265970232032</v>
      </c>
    </row>
    <row r="9" spans="1:6" x14ac:dyDescent="0.25">
      <c r="A9" s="99" t="s">
        <v>159</v>
      </c>
      <c r="B9" s="49">
        <v>49117354</v>
      </c>
      <c r="C9" s="49">
        <v>33074742</v>
      </c>
      <c r="D9" s="49">
        <v>16408740.4760787</v>
      </c>
      <c r="E9" s="50"/>
      <c r="F9" s="173">
        <f>C9/B9</f>
        <v>0.67338199854984049</v>
      </c>
    </row>
    <row r="10" spans="1:6" x14ac:dyDescent="0.25">
      <c r="A10" s="99" t="s">
        <v>606</v>
      </c>
      <c r="B10" s="49">
        <v>92816927</v>
      </c>
      <c r="C10" s="49">
        <v>39430800</v>
      </c>
      <c r="D10" s="49">
        <v>19355136.300744001</v>
      </c>
      <c r="E10" s="50"/>
      <c r="F10" s="173">
        <f>C10/B10</f>
        <v>0.42482337300393491</v>
      </c>
    </row>
    <row r="11" spans="1:6" x14ac:dyDescent="0.25">
      <c r="A11" s="99" t="s">
        <v>160</v>
      </c>
      <c r="B11" s="49">
        <v>84394936</v>
      </c>
      <c r="C11" s="49">
        <v>39151875</v>
      </c>
      <c r="D11" s="49">
        <v>21375954.1961357</v>
      </c>
      <c r="E11" s="50">
        <f>VLOOKUP($A11,'Data shares'!$C:$FA,154)*100</f>
        <v>47.48</v>
      </c>
      <c r="F11" s="173">
        <f>C11/B11</f>
        <v>0.46391260963809489</v>
      </c>
    </row>
    <row r="12" spans="1:6" x14ac:dyDescent="0.25">
      <c r="A12" s="99" t="s">
        <v>497</v>
      </c>
      <c r="B12" s="49">
        <v>7334235</v>
      </c>
      <c r="C12" s="49">
        <v>1726625</v>
      </c>
      <c r="D12" s="49">
        <v>1311311.9540225</v>
      </c>
      <c r="E12" s="50">
        <f>VLOOKUP($A12,'Data shares'!$C:$FA,154)*100</f>
        <v>23.669999999999998</v>
      </c>
      <c r="F12" s="173">
        <f>C12/B12</f>
        <v>0.23541991768739343</v>
      </c>
    </row>
    <row r="13" spans="1:6" x14ac:dyDescent="0.25">
      <c r="A13" s="99" t="s">
        <v>680</v>
      </c>
      <c r="B13" s="49">
        <v>3257355</v>
      </c>
      <c r="C13" s="49">
        <v>2996400</v>
      </c>
      <c r="D13" s="49">
        <v>1058324.8925320001</v>
      </c>
      <c r="E13" s="50">
        <f>VLOOKUP($A13,'Data shares'!$C:$FA,154)*100</f>
        <v>96.61999999999999</v>
      </c>
      <c r="F13" s="173">
        <f>C13/B13</f>
        <v>0.91988745469867428</v>
      </c>
    </row>
    <row r="14" spans="1:6" x14ac:dyDescent="0.25">
      <c r="A14" s="99" t="s">
        <v>164</v>
      </c>
      <c r="B14" s="49">
        <v>79841849</v>
      </c>
      <c r="C14" s="49">
        <v>71191050</v>
      </c>
      <c r="D14" s="49">
        <v>45271345.689948</v>
      </c>
      <c r="E14" s="50"/>
      <c r="F14" s="173">
        <f>C14/B14</f>
        <v>0.89165081835717508</v>
      </c>
    </row>
    <row r="15" spans="1:6" x14ac:dyDescent="0.25">
      <c r="A15" s="99" t="s">
        <v>609</v>
      </c>
      <c r="B15" s="49">
        <v>9673308</v>
      </c>
      <c r="C15" s="49">
        <v>7214000</v>
      </c>
      <c r="D15" s="49">
        <v>3000291.881395</v>
      </c>
      <c r="E15" s="50">
        <f>VLOOKUP($A15,'Data shares'!$C:$FA,154)*100</f>
        <v>77.72</v>
      </c>
      <c r="F15" s="173">
        <f>C15/B15</f>
        <v>0.74576349683066023</v>
      </c>
    </row>
    <row r="16" spans="1:6" x14ac:dyDescent="0.25">
      <c r="A16" s="99" t="s">
        <v>598</v>
      </c>
      <c r="B16" s="49">
        <v>23068453</v>
      </c>
      <c r="C16" s="49">
        <v>10999100</v>
      </c>
      <c r="D16" s="49">
        <v>6568482.3497895002</v>
      </c>
      <c r="E16" s="50">
        <f>VLOOKUP($A16,'Data shares'!$C:$FA,154)*100</f>
        <v>48.36</v>
      </c>
      <c r="F16" s="173">
        <f>C16/B16</f>
        <v>0.47680267072958904</v>
      </c>
    </row>
    <row r="17" spans="1:6" x14ac:dyDescent="0.25">
      <c r="A17" s="99" t="s">
        <v>165</v>
      </c>
      <c r="B17" s="49">
        <v>15524629</v>
      </c>
      <c r="C17" s="49">
        <v>7484500</v>
      </c>
      <c r="D17" s="49">
        <v>3604279.9776375</v>
      </c>
      <c r="E17" s="50">
        <f>VLOOKUP($A17,'Data shares'!$C:$FA,154)*100</f>
        <v>49.59</v>
      </c>
      <c r="F17" s="173">
        <f>C17/B17</f>
        <v>0.48210491857808646</v>
      </c>
    </row>
    <row r="18" spans="1:6" x14ac:dyDescent="0.25">
      <c r="A18" s="99" t="s">
        <v>167</v>
      </c>
      <c r="B18" s="49">
        <v>423719104</v>
      </c>
      <c r="C18" s="49">
        <v>314840000</v>
      </c>
      <c r="D18" s="49">
        <v>149071439.89875001</v>
      </c>
      <c r="E18" s="50">
        <f>VLOOKUP($A18,'Data shares'!$C:$FA,154)*100</f>
        <v>76.87</v>
      </c>
      <c r="F18" s="173">
        <f>C18/B18</f>
        <v>0.7430394264215191</v>
      </c>
    </row>
    <row r="19" spans="1:6" x14ac:dyDescent="0.25">
      <c r="A19" s="99" t="s">
        <v>169</v>
      </c>
      <c r="B19" s="49">
        <v>49389162</v>
      </c>
      <c r="C19" s="49">
        <v>28793000</v>
      </c>
      <c r="D19" s="49">
        <v>14508142.4279225</v>
      </c>
      <c r="E19" s="50">
        <f>VLOOKUP($A19,'Data shares'!$C:$FA,154)*100</f>
        <v>59.97</v>
      </c>
      <c r="F19" s="173">
        <f>C19/B19</f>
        <v>0.58298215304807155</v>
      </c>
    </row>
    <row r="20" spans="1:6" x14ac:dyDescent="0.25">
      <c r="A20" s="99" t="s">
        <v>503</v>
      </c>
      <c r="B20" s="49">
        <v>18450534</v>
      </c>
      <c r="C20" s="49">
        <v>14196700</v>
      </c>
      <c r="D20" s="49">
        <v>7907002.1171277501</v>
      </c>
      <c r="E20" s="50">
        <f>VLOOKUP($A20,'Data shares'!$C:$FA,154)*100</f>
        <v>78.69</v>
      </c>
      <c r="F20" s="173">
        <f>C20/B20</f>
        <v>0.7694465645276175</v>
      </c>
    </row>
    <row r="21" spans="1:6" x14ac:dyDescent="0.25">
      <c r="A21" s="99" t="s">
        <v>495</v>
      </c>
      <c r="B21" s="49">
        <v>86371921</v>
      </c>
      <c r="C21" s="49">
        <v>30315000</v>
      </c>
      <c r="D21" s="49">
        <v>19225111.22005</v>
      </c>
      <c r="E21" s="50">
        <f>VLOOKUP($A21,'Data shares'!$C:$FA,154)*100</f>
        <v>35.75</v>
      </c>
      <c r="F21" s="173">
        <f>C21/B21</f>
        <v>0.3509821206824843</v>
      </c>
    </row>
    <row r="22" spans="1:6" x14ac:dyDescent="0.25">
      <c r="A22" s="99" t="s">
        <v>171</v>
      </c>
      <c r="B22" s="49">
        <v>41977935</v>
      </c>
      <c r="C22" s="49">
        <v>37935700</v>
      </c>
      <c r="D22" s="49">
        <v>20744822.617881998</v>
      </c>
      <c r="E22" s="50">
        <f>VLOOKUP($A22,'Data shares'!$C:$FA,154)*100</f>
        <v>92.89</v>
      </c>
      <c r="F22" s="173">
        <f>C22/B22</f>
        <v>0.90370572063632959</v>
      </c>
    </row>
    <row r="23" spans="1:6" x14ac:dyDescent="0.25">
      <c r="A23" s="99" t="s">
        <v>173</v>
      </c>
      <c r="B23" s="49">
        <v>296371456</v>
      </c>
      <c r="C23" s="49">
        <v>108115625</v>
      </c>
      <c r="D23" s="49">
        <v>70863706.822750002</v>
      </c>
      <c r="E23" s="50">
        <f>VLOOKUP($A23,'Data shares'!$C:$FA,154)*100</f>
        <v>37.15</v>
      </c>
      <c r="F23" s="173">
        <f>C23/B23</f>
        <v>0.36479769833165038</v>
      </c>
    </row>
    <row r="24" spans="1:6" x14ac:dyDescent="0.25">
      <c r="A24" s="99" t="s">
        <v>174</v>
      </c>
      <c r="B24" s="49">
        <v>15906526</v>
      </c>
      <c r="C24" s="49">
        <v>5363025</v>
      </c>
      <c r="D24" s="49">
        <v>2951397.7248742501</v>
      </c>
      <c r="E24" s="50">
        <f>VLOOKUP($A24,'Data shares'!$C:$FA,154)*100</f>
        <v>34.699999999999996</v>
      </c>
      <c r="F24" s="173">
        <f>C24/B24</f>
        <v>0.33715878627426255</v>
      </c>
    </row>
    <row r="25" spans="1:6" x14ac:dyDescent="0.25">
      <c r="A25" s="99" t="s">
        <v>176</v>
      </c>
      <c r="B25" s="49">
        <v>65701623</v>
      </c>
      <c r="C25" s="49">
        <v>22093500</v>
      </c>
      <c r="D25" s="49">
        <v>13488355.37352</v>
      </c>
      <c r="E25" s="50">
        <f>VLOOKUP($A25,'Data shares'!$C:$FA,154)*100</f>
        <v>34.32</v>
      </c>
      <c r="F25" s="173">
        <f>C25/B25</f>
        <v>0.33627023186322202</v>
      </c>
    </row>
    <row r="26" spans="1:6" x14ac:dyDescent="0.25">
      <c r="A26" s="99" t="s">
        <v>690</v>
      </c>
      <c r="B26" s="49">
        <v>5401993</v>
      </c>
      <c r="C26" s="49">
        <v>436850</v>
      </c>
      <c r="D26" s="49">
        <v>216989.792587</v>
      </c>
      <c r="E26" s="50">
        <f>VLOOKUP($A26,'Data shares'!$C:$FA,154)*100</f>
        <v>8.1100000000000012</v>
      </c>
      <c r="F26" s="173">
        <f>C26/B26</f>
        <v>8.0868301754556143E-2</v>
      </c>
    </row>
    <row r="27" spans="1:6" x14ac:dyDescent="0.25">
      <c r="A27" s="99" t="s">
        <v>177</v>
      </c>
      <c r="B27" s="49">
        <v>317526833</v>
      </c>
      <c r="C27" s="49">
        <v>121854000</v>
      </c>
      <c r="D27" s="49">
        <v>87585489.494287506</v>
      </c>
      <c r="E27" s="50"/>
      <c r="F27" s="173">
        <f>C27/B27</f>
        <v>0.38375969315323977</v>
      </c>
    </row>
    <row r="28" spans="1:6" x14ac:dyDescent="0.25">
      <c r="A28" s="99" t="s">
        <v>179</v>
      </c>
      <c r="B28" s="49">
        <v>144289555</v>
      </c>
      <c r="C28" s="49">
        <v>146725200</v>
      </c>
      <c r="D28" s="49">
        <v>91409538.515616</v>
      </c>
      <c r="E28" s="50">
        <f>VLOOKUP($A28,'Data shares'!$C:$FA,154)*100</f>
        <v>102.24</v>
      </c>
      <c r="F28" s="173">
        <f>C28/B28</f>
        <v>1.0168802585883643</v>
      </c>
    </row>
    <row r="29" spans="1:6" x14ac:dyDescent="0.25">
      <c r="A29" s="99" t="s">
        <v>180</v>
      </c>
      <c r="B29" s="49">
        <v>279476623</v>
      </c>
      <c r="C29" s="49">
        <v>180475425</v>
      </c>
      <c r="D29" s="49">
        <v>88013582.568785205</v>
      </c>
      <c r="E29" s="50">
        <f>VLOOKUP($A29,'Data shares'!$C:$FA,154)*100</f>
        <v>65.900000000000006</v>
      </c>
      <c r="F29" s="173">
        <f>C29/B29</f>
        <v>0.64576215020316741</v>
      </c>
    </row>
    <row r="30" spans="1:6" x14ac:dyDescent="0.25">
      <c r="A30" s="99" t="s">
        <v>602</v>
      </c>
      <c r="B30" s="49">
        <v>181770921</v>
      </c>
      <c r="C30" s="49">
        <v>91488800</v>
      </c>
      <c r="D30" s="49">
        <v>47637836.323427998</v>
      </c>
      <c r="E30" s="50">
        <f>VLOOKUP($A30,'Data shares'!$C:$FA,154)*100</f>
        <v>51.03</v>
      </c>
      <c r="F30" s="173">
        <f>C30/B30</f>
        <v>0.50331923003239887</v>
      </c>
    </row>
    <row r="31" spans="1:6" x14ac:dyDescent="0.25">
      <c r="A31" s="99" t="s">
        <v>670</v>
      </c>
      <c r="B31" s="49">
        <v>13786716</v>
      </c>
      <c r="C31" s="49">
        <v>21540400</v>
      </c>
      <c r="D31" s="49">
        <v>5744993.3501274996</v>
      </c>
      <c r="E31" s="50">
        <f>VLOOKUP($A31,'Data shares'!$C:$FA,154)*100</f>
        <v>163.25</v>
      </c>
      <c r="F31" s="173">
        <f>C31/B31</f>
        <v>1.5624025329890019</v>
      </c>
    </row>
    <row r="32" spans="1:6" x14ac:dyDescent="0.25">
      <c r="A32" s="99" t="s">
        <v>185</v>
      </c>
      <c r="B32" s="49">
        <v>535778534</v>
      </c>
      <c r="C32" s="49">
        <v>251786100</v>
      </c>
      <c r="D32" s="49">
        <v>112592183.851218</v>
      </c>
      <c r="E32" s="50">
        <f>VLOOKUP($A32,'Data shares'!$C:$FA,154)*100</f>
        <v>48.36</v>
      </c>
      <c r="F32" s="173">
        <f>C32/B32</f>
        <v>0.46994435951030467</v>
      </c>
    </row>
    <row r="33" spans="1:6" x14ac:dyDescent="0.25">
      <c r="A33" s="99" t="s">
        <v>187</v>
      </c>
      <c r="B33" s="49">
        <v>40107751</v>
      </c>
      <c r="C33" s="49">
        <v>12846500</v>
      </c>
      <c r="D33" s="49">
        <v>7322749.0525399996</v>
      </c>
      <c r="E33" s="50">
        <f>VLOOKUP($A33,'Data shares'!$C:$FA,154)*100</f>
        <v>32.86</v>
      </c>
      <c r="F33" s="173">
        <f>C33/B33</f>
        <v>0.32029968471680198</v>
      </c>
    </row>
    <row r="34" spans="1:6" x14ac:dyDescent="0.25">
      <c r="A34" s="99" t="s">
        <v>189</v>
      </c>
      <c r="B34" s="49">
        <v>367085962</v>
      </c>
      <c r="C34" s="49">
        <v>75025300</v>
      </c>
      <c r="D34" s="49">
        <v>53195778.982733503</v>
      </c>
      <c r="E34" s="50">
        <f>VLOOKUP($A34,'Data shares'!$C:$FA,154)*100</f>
        <v>20.76</v>
      </c>
      <c r="F34" s="173">
        <f>C34/B34</f>
        <v>0.204380738482176</v>
      </c>
    </row>
    <row r="35" spans="1:6" x14ac:dyDescent="0.25">
      <c r="A35" s="99" t="s">
        <v>190</v>
      </c>
      <c r="B35" s="49">
        <v>192361942</v>
      </c>
      <c r="C35" s="49">
        <v>205437750</v>
      </c>
      <c r="D35" s="49">
        <v>97510477.619729996</v>
      </c>
      <c r="E35" s="50">
        <f>VLOOKUP($A35,'Data shares'!$C:$FA,154)*100</f>
        <v>115.46000000000001</v>
      </c>
      <c r="F35" s="173">
        <f>C35/B35</f>
        <v>1.0679750259539385</v>
      </c>
    </row>
    <row r="36" spans="1:6" x14ac:dyDescent="0.25">
      <c r="A36" s="99" t="s">
        <v>191</v>
      </c>
      <c r="B36" s="49">
        <v>91057772</v>
      </c>
      <c r="C36" s="49">
        <v>79192500</v>
      </c>
      <c r="D36" s="49">
        <v>40199427.539750002</v>
      </c>
      <c r="E36" s="50">
        <f>VLOOKUP($A36,'Data shares'!$C:$FA,154)*100</f>
        <v>91.63</v>
      </c>
      <c r="F36" s="173">
        <f>C36/B36</f>
        <v>0.8696951205878396</v>
      </c>
    </row>
    <row r="37" spans="1:6" x14ac:dyDescent="0.25">
      <c r="A37" s="99" t="s">
        <v>678</v>
      </c>
      <c r="B37" s="49">
        <v>17213286</v>
      </c>
      <c r="C37" s="49">
        <v>5420350</v>
      </c>
      <c r="D37" s="49">
        <v>2348421.2282765</v>
      </c>
      <c r="E37" s="50">
        <f>VLOOKUP($A37,'Data shares'!$C:$FA,154)*100</f>
        <v>32.89</v>
      </c>
      <c r="F37" s="173">
        <f>C37/B37</f>
        <v>0.31489339107013037</v>
      </c>
    </row>
    <row r="38" spans="1:6" x14ac:dyDescent="0.25">
      <c r="A38" s="99" t="s">
        <v>192</v>
      </c>
      <c r="B38" s="49">
        <v>882048</v>
      </c>
      <c r="C38" s="49">
        <v>468350</v>
      </c>
      <c r="D38" s="49">
        <v>197502.6181005</v>
      </c>
      <c r="E38" s="50">
        <f>VLOOKUP($A38,'Data shares'!$C:$FA,154)*100</f>
        <v>54.02</v>
      </c>
      <c r="F38" s="173">
        <f>C38/B38</f>
        <v>0.5309801734145988</v>
      </c>
    </row>
    <row r="39" spans="1:6" x14ac:dyDescent="0.25">
      <c r="A39" s="99" t="s">
        <v>194</v>
      </c>
      <c r="B39" s="49">
        <v>306020745</v>
      </c>
      <c r="C39" s="49">
        <v>65927475</v>
      </c>
      <c r="D39" s="49">
        <v>36417348.625435501</v>
      </c>
      <c r="E39" s="50">
        <f>VLOOKUP($A39,'Data shares'!$C:$FA,154)*100</f>
        <v>22.13</v>
      </c>
      <c r="F39" s="173">
        <f>C39/B39</f>
        <v>0.21543465950323074</v>
      </c>
    </row>
    <row r="40" spans="1:6" x14ac:dyDescent="0.25">
      <c r="A40" s="99" t="s">
        <v>195</v>
      </c>
      <c r="B40" s="49">
        <v>16370935</v>
      </c>
      <c r="C40" s="49">
        <v>5860500</v>
      </c>
      <c r="D40" s="49">
        <v>3600333.0208075</v>
      </c>
      <c r="E40" s="50"/>
      <c r="F40" s="173">
        <f>C40/B40</f>
        <v>0.35798199675217085</v>
      </c>
    </row>
    <row r="41" spans="1:6" x14ac:dyDescent="0.25">
      <c r="A41" s="99" t="s">
        <v>584</v>
      </c>
      <c r="B41" s="49">
        <v>61094861</v>
      </c>
      <c r="C41" s="49">
        <v>26630250</v>
      </c>
      <c r="D41" s="49">
        <v>11656250.473353701</v>
      </c>
      <c r="E41" s="50">
        <f>VLOOKUP($A41,'Data shares'!$C:$FA,154)*100</f>
        <v>46.67</v>
      </c>
      <c r="F41" s="173">
        <f>C41/B41</f>
        <v>0.43588363348596537</v>
      </c>
    </row>
    <row r="42" spans="1:6" x14ac:dyDescent="0.25">
      <c r="A42" s="99" t="s">
        <v>611</v>
      </c>
      <c r="B42" s="49">
        <v>37122288</v>
      </c>
      <c r="C42" s="49">
        <v>13129500</v>
      </c>
      <c r="D42" s="49">
        <v>6557324.7104625003</v>
      </c>
      <c r="E42" s="50">
        <f>VLOOKUP($A42,'Data shares'!$C:$FA,154)*100</f>
        <v>35.68</v>
      </c>
      <c r="F42" s="173">
        <f>C42/B42</f>
        <v>0.35368240233468368</v>
      </c>
    </row>
    <row r="43" spans="1:6" x14ac:dyDescent="0.25">
      <c r="A43" s="99" t="s">
        <v>196</v>
      </c>
      <c r="B43" s="49">
        <v>504315430</v>
      </c>
      <c r="C43" s="49">
        <v>457974000</v>
      </c>
      <c r="D43" s="49">
        <v>177571484.23626</v>
      </c>
      <c r="E43" s="50">
        <f>VLOOKUP($A43,'Data shares'!$C:$FA,154)*100</f>
        <v>93.22</v>
      </c>
      <c r="F43" s="173">
        <f>C43/B43</f>
        <v>0.90811022775963846</v>
      </c>
    </row>
    <row r="44" spans="1:6" x14ac:dyDescent="0.25">
      <c r="A44" s="99" t="s">
        <v>597</v>
      </c>
      <c r="B44" s="49">
        <v>26647500</v>
      </c>
      <c r="C44" s="49">
        <v>25665200</v>
      </c>
      <c r="D44" s="49">
        <v>9476086.4914672505</v>
      </c>
      <c r="E44" s="50">
        <f>VLOOKUP($A44,'Data shares'!$C:$FA,154)*100</f>
        <v>99.27</v>
      </c>
      <c r="F44" s="173">
        <f>C44/B44</f>
        <v>0.96313725490196078</v>
      </c>
    </row>
    <row r="45" spans="1:6" x14ac:dyDescent="0.25">
      <c r="A45" s="99" t="s">
        <v>612</v>
      </c>
      <c r="B45" s="49">
        <v>103060454</v>
      </c>
      <c r="C45" s="49">
        <v>28718100</v>
      </c>
      <c r="D45" s="49">
        <v>13694108.943332</v>
      </c>
      <c r="E45" s="50">
        <f>VLOOKUP($A45,'Data shares'!$C:$FA,154)*100</f>
        <v>28.199999999999996</v>
      </c>
      <c r="F45" s="173">
        <f>C45/B45</f>
        <v>0.27865295450765237</v>
      </c>
    </row>
    <row r="46" spans="1:6" x14ac:dyDescent="0.25">
      <c r="A46" s="99" t="s">
        <v>198</v>
      </c>
      <c r="B46" s="49">
        <v>63257923</v>
      </c>
      <c r="C46" s="49">
        <v>18867500</v>
      </c>
      <c r="D46" s="49">
        <v>12827657.0891</v>
      </c>
      <c r="E46" s="50">
        <f>VLOOKUP($A46,'Data shares'!$C:$FA,154)*100</f>
        <v>30.29</v>
      </c>
      <c r="F46" s="173">
        <f>C46/B46</f>
        <v>0.29826303339109</v>
      </c>
    </row>
    <row r="47" spans="1:6" x14ac:dyDescent="0.25">
      <c r="A47" s="99" t="s">
        <v>199</v>
      </c>
      <c r="B47" s="49">
        <v>59297360</v>
      </c>
      <c r="C47" s="49">
        <v>24509250</v>
      </c>
      <c r="D47" s="49">
        <v>14330806.154820001</v>
      </c>
      <c r="E47" s="50">
        <f>VLOOKUP($A47,'Data shares'!$C:$FA,154)*100</f>
        <v>42.03</v>
      </c>
      <c r="F47" s="173">
        <f>C47/B47</f>
        <v>0.41332784461230654</v>
      </c>
    </row>
    <row r="48" spans="1:6" x14ac:dyDescent="0.25">
      <c r="A48" s="99" t="s">
        <v>200</v>
      </c>
      <c r="B48" s="49">
        <v>278206904</v>
      </c>
      <c r="C48" s="49">
        <v>114802650</v>
      </c>
      <c r="D48" s="49">
        <v>48283187.176656</v>
      </c>
      <c r="E48" s="50">
        <f>VLOOKUP($A48,'Data shares'!$C:$FA,154)*100</f>
        <v>42.13</v>
      </c>
      <c r="F48" s="173">
        <f>C48/B48</f>
        <v>0.41265205266077798</v>
      </c>
    </row>
    <row r="49" spans="1:6" x14ac:dyDescent="0.25">
      <c r="A49" s="99" t="s">
        <v>470</v>
      </c>
      <c r="B49" s="49">
        <v>50189409</v>
      </c>
      <c r="C49" s="49">
        <v>25272000</v>
      </c>
      <c r="D49" s="49">
        <v>13235101.717878699</v>
      </c>
      <c r="E49" s="50">
        <f>VLOOKUP($A49,'Data shares'!$C:$FA,154)*100</f>
        <v>52.89</v>
      </c>
      <c r="F49" s="173">
        <f>C49/B49</f>
        <v>0.50353252814752214</v>
      </c>
    </row>
    <row r="50" spans="1:6" x14ac:dyDescent="0.25">
      <c r="A50" s="99" t="s">
        <v>201</v>
      </c>
      <c r="B50" s="49">
        <v>19546143</v>
      </c>
      <c r="C50" s="49">
        <v>10749375</v>
      </c>
      <c r="D50" s="49">
        <v>6038725.0403092504</v>
      </c>
      <c r="E50" s="50">
        <f>VLOOKUP($A50,'Data shares'!$C:$FA,154)*100</f>
        <v>55.42</v>
      </c>
      <c r="F50" s="173">
        <f>C50/B50</f>
        <v>0.54994865227375034</v>
      </c>
    </row>
    <row r="51" spans="1:6" x14ac:dyDescent="0.25">
      <c r="A51" s="99" t="s">
        <v>202</v>
      </c>
      <c r="B51" s="49">
        <v>51639257</v>
      </c>
      <c r="C51" s="49">
        <v>54606250</v>
      </c>
      <c r="D51" s="49">
        <v>31022487.081</v>
      </c>
      <c r="E51" s="50">
        <f>VLOOKUP($A51,'Data shares'!$C:$FA,154)*100</f>
        <v>107.19000000000001</v>
      </c>
      <c r="F51" s="173">
        <f>C51/B51</f>
        <v>1.0574561520124117</v>
      </c>
    </row>
    <row r="52" spans="1:6" x14ac:dyDescent="0.25">
      <c r="A52" s="99" t="s">
        <v>523</v>
      </c>
      <c r="B52" s="49">
        <v>96587231</v>
      </c>
      <c r="C52" s="49">
        <v>88275600</v>
      </c>
      <c r="D52" s="49">
        <v>51398533.275930002</v>
      </c>
      <c r="E52" s="50">
        <f>VLOOKUP($A52,'Data shares'!$C:$FA,154)*100</f>
        <v>92.25</v>
      </c>
      <c r="F52" s="173">
        <f>C52/B52</f>
        <v>0.91394689635527493</v>
      </c>
    </row>
    <row r="53" spans="1:6" x14ac:dyDescent="0.25">
      <c r="A53" s="99" t="s">
        <v>203</v>
      </c>
      <c r="B53" s="49">
        <v>19131188</v>
      </c>
      <c r="C53" s="49">
        <v>5446000</v>
      </c>
      <c r="D53" s="49">
        <v>3435071.325654</v>
      </c>
      <c r="E53" s="50">
        <f>VLOOKUP($A53,'Data shares'!$C:$FA,154)*100</f>
        <v>29.2</v>
      </c>
      <c r="F53" s="173">
        <f>C53/B53</f>
        <v>0.28466606464794553</v>
      </c>
    </row>
    <row r="54" spans="1:6" x14ac:dyDescent="0.25">
      <c r="A54" s="99" t="s">
        <v>204</v>
      </c>
      <c r="B54" s="49">
        <v>89873278</v>
      </c>
      <c r="C54" s="49">
        <v>45853750</v>
      </c>
      <c r="D54" s="49">
        <v>25620197.974487498</v>
      </c>
      <c r="E54" s="50">
        <f>VLOOKUP($A54,'Data shares'!$C:$FA,154)*100</f>
        <v>51.470000000000006</v>
      </c>
      <c r="F54" s="173">
        <f>C54/B54</f>
        <v>0.51020449037143167</v>
      </c>
    </row>
    <row r="55" spans="1:6" x14ac:dyDescent="0.25">
      <c r="A55" s="99" t="s">
        <v>524</v>
      </c>
      <c r="B55" s="49">
        <v>12425041</v>
      </c>
      <c r="C55" s="49">
        <v>5454800</v>
      </c>
      <c r="D55" s="49">
        <v>2716959.9486380001</v>
      </c>
      <c r="E55" s="50">
        <f>VLOOKUP($A55,'Data shares'!$C:$FA,154)*100</f>
        <v>44.18</v>
      </c>
      <c r="F55" s="173">
        <f>C55/B55</f>
        <v>0.43901665998526684</v>
      </c>
    </row>
    <row r="56" spans="1:6" x14ac:dyDescent="0.25">
      <c r="A56" s="99" t="s">
        <v>600</v>
      </c>
      <c r="B56" s="49">
        <v>112112283</v>
      </c>
      <c r="C56" s="49">
        <v>41014450</v>
      </c>
      <c r="D56" s="49">
        <v>24462507.200943001</v>
      </c>
      <c r="E56" s="50"/>
      <c r="F56" s="173">
        <f>C56/B56</f>
        <v>0.36583368835687702</v>
      </c>
    </row>
    <row r="57" spans="1:6" x14ac:dyDescent="0.25">
      <c r="A57" s="99" t="s">
        <v>205</v>
      </c>
      <c r="B57" s="49">
        <v>14898112</v>
      </c>
      <c r="C57" s="49">
        <v>6308500</v>
      </c>
      <c r="D57" s="49">
        <v>3424855.0568050002</v>
      </c>
      <c r="E57" s="50">
        <f>VLOOKUP($A57,'Data shares'!$C:$FA,154)*100</f>
        <v>43.169999999999995</v>
      </c>
      <c r="F57" s="173">
        <f>C57/B57</f>
        <v>0.42344291679375212</v>
      </c>
    </row>
    <row r="58" spans="1:6" x14ac:dyDescent="0.25">
      <c r="A58" s="99" t="s">
        <v>512</v>
      </c>
      <c r="B58" s="49">
        <v>6452220</v>
      </c>
      <c r="C58" s="49">
        <v>6096350</v>
      </c>
      <c r="D58" s="49">
        <v>2347104.4512005001</v>
      </c>
      <c r="E58" s="50">
        <f>VLOOKUP($A58,'Data shares'!$C:$FA,154)*100</f>
        <v>97</v>
      </c>
      <c r="F58" s="173">
        <f>C58/B58</f>
        <v>0.94484534005350096</v>
      </c>
    </row>
    <row r="59" spans="1:6" x14ac:dyDescent="0.25">
      <c r="A59" s="99" t="s">
        <v>207</v>
      </c>
      <c r="B59" s="49">
        <v>96058266</v>
      </c>
      <c r="C59" s="49">
        <v>75089850</v>
      </c>
      <c r="D59" s="49">
        <v>49459924.454110503</v>
      </c>
      <c r="E59" s="50">
        <f>VLOOKUP($A59,'Data shares'!$C:$FA,154)*100</f>
        <v>79.14</v>
      </c>
      <c r="F59" s="173">
        <f>C59/B59</f>
        <v>0.78171148748406516</v>
      </c>
    </row>
    <row r="60" spans="1:6" x14ac:dyDescent="0.25">
      <c r="A60" s="99" t="s">
        <v>583</v>
      </c>
      <c r="B60" s="49">
        <v>18750186</v>
      </c>
      <c r="C60" s="49">
        <v>8824050</v>
      </c>
      <c r="D60" s="49">
        <v>4239309.2167785</v>
      </c>
      <c r="E60" s="50">
        <f>VLOOKUP($A60,'Data shares'!$C:$FA,154)*100</f>
        <v>47.83</v>
      </c>
      <c r="F60" s="173">
        <f>C60/B60</f>
        <v>0.47061133153559115</v>
      </c>
    </row>
    <row r="61" spans="1:6" x14ac:dyDescent="0.25">
      <c r="A61" s="99" t="s">
        <v>208</v>
      </c>
      <c r="B61" s="49">
        <v>91531454</v>
      </c>
      <c r="C61" s="49">
        <v>27240000</v>
      </c>
      <c r="D61" s="49">
        <v>16311512.536712499</v>
      </c>
      <c r="E61" s="50">
        <f>VLOOKUP($A61,'Data shares'!$C:$FA,154)*100</f>
        <v>30.349999999999998</v>
      </c>
      <c r="F61" s="173">
        <f>C61/B61</f>
        <v>0.29760261428819867</v>
      </c>
    </row>
    <row r="62" spans="1:6" x14ac:dyDescent="0.25">
      <c r="A62" s="99" t="s">
        <v>209</v>
      </c>
      <c r="B62" s="49">
        <v>19199175</v>
      </c>
      <c r="C62" s="49">
        <v>8452300</v>
      </c>
      <c r="D62" s="49">
        <v>3777235.8439949998</v>
      </c>
      <c r="E62" s="50">
        <f>VLOOKUP($A62,'Data shares'!$C:$FA,154)*100</f>
        <v>45.6</v>
      </c>
      <c r="F62" s="173">
        <f>C62/B62</f>
        <v>0.44024287501936932</v>
      </c>
    </row>
    <row r="63" spans="1:6" x14ac:dyDescent="0.25">
      <c r="A63" s="99" t="s">
        <v>666</v>
      </c>
      <c r="B63" s="49">
        <v>1251309857</v>
      </c>
      <c r="C63" s="49">
        <v>378935350</v>
      </c>
      <c r="D63" s="49">
        <v>247011570.21547699</v>
      </c>
      <c r="E63" s="50">
        <f>VLOOKUP($A63,'Data shares'!$C:$FA,154)*100</f>
        <v>30.869999999999997</v>
      </c>
      <c r="F63" s="173">
        <f>C63/B63</f>
        <v>0.30283094781055497</v>
      </c>
    </row>
    <row r="64" spans="1:6" x14ac:dyDescent="0.25">
      <c r="A64" s="99" t="s">
        <v>211</v>
      </c>
      <c r="B64" s="49">
        <v>68856800</v>
      </c>
      <c r="C64" s="49">
        <v>64234800</v>
      </c>
      <c r="D64" s="49">
        <v>26538401.296314001</v>
      </c>
      <c r="E64" s="50">
        <f>VLOOKUP($A64,'Data shares'!$C:$FA,154)*100</f>
        <v>94.61</v>
      </c>
      <c r="F64" s="173">
        <f>C64/B64</f>
        <v>0.93287518444075235</v>
      </c>
    </row>
    <row r="65" spans="1:6" x14ac:dyDescent="0.25">
      <c r="A65" s="99" t="s">
        <v>212</v>
      </c>
      <c r="B65" s="49">
        <v>320636733</v>
      </c>
      <c r="C65" s="49">
        <v>133650000</v>
      </c>
      <c r="D65" s="49">
        <v>60914747.000100002</v>
      </c>
      <c r="E65" s="50">
        <f>VLOOKUP($A65,'Data shares'!$C:$FA,154)*100</f>
        <v>43.120000000000005</v>
      </c>
      <c r="F65" s="173">
        <f>C65/B65</f>
        <v>0.41682685183796453</v>
      </c>
    </row>
    <row r="66" spans="1:6" x14ac:dyDescent="0.25">
      <c r="A66" s="99" t="s">
        <v>676</v>
      </c>
      <c r="B66" s="49">
        <v>77949604</v>
      </c>
      <c r="C66" s="49">
        <v>20068625</v>
      </c>
      <c r="D66" s="49">
        <v>12204740.064903701</v>
      </c>
      <c r="E66" s="50">
        <f>VLOOKUP($A66,'Data shares'!$C:$FA,154)*100</f>
        <v>26.240000000000002</v>
      </c>
      <c r="F66" s="173">
        <f>C66/B66</f>
        <v>0.25745640734749597</v>
      </c>
    </row>
    <row r="67" spans="1:6" x14ac:dyDescent="0.25">
      <c r="A67" s="99" t="s">
        <v>213</v>
      </c>
      <c r="B67" s="49">
        <v>435694919</v>
      </c>
      <c r="C67" s="49">
        <v>188215650</v>
      </c>
      <c r="D67" s="49">
        <v>114019752.410329</v>
      </c>
      <c r="E67" s="50">
        <f>VLOOKUP($A67,'Data shares'!$C:$FA,154)*100</f>
        <v>43.669999999999995</v>
      </c>
      <c r="F67" s="173">
        <f>C67/B67</f>
        <v>0.43198954541859141</v>
      </c>
    </row>
    <row r="68" spans="1:6" x14ac:dyDescent="0.25">
      <c r="A68" s="99" t="s">
        <v>214</v>
      </c>
      <c r="B68" s="49">
        <v>22585180</v>
      </c>
      <c r="C68" s="49">
        <v>15601500</v>
      </c>
      <c r="D68" s="49">
        <v>10620357.585532499</v>
      </c>
      <c r="E68" s="50">
        <f>VLOOKUP($A68,'Data shares'!$C:$FA,154)*100</f>
        <v>69.58</v>
      </c>
      <c r="F68" s="173">
        <f>C68/B68</f>
        <v>0.6907848420955689</v>
      </c>
    </row>
    <row r="69" spans="1:6" x14ac:dyDescent="0.25">
      <c r="A69" s="99" t="s">
        <v>631</v>
      </c>
      <c r="B69" s="49">
        <v>534704421</v>
      </c>
      <c r="C69" s="49">
        <v>288374400</v>
      </c>
      <c r="D69" s="49">
        <v>138901592.251021</v>
      </c>
      <c r="E69" s="50">
        <f>VLOOKUP($A69,'Data shares'!$C:$FA,154)*100</f>
        <v>54.990000000000009</v>
      </c>
      <c r="F69" s="173">
        <f>C69/B69</f>
        <v>0.53931553335707316</v>
      </c>
    </row>
    <row r="70" spans="1:6" x14ac:dyDescent="0.25">
      <c r="A70" s="99" t="s">
        <v>217</v>
      </c>
      <c r="B70" s="49">
        <v>72031016</v>
      </c>
      <c r="C70" s="49">
        <v>13166500</v>
      </c>
      <c r="D70" s="49">
        <v>8435988.4573299997</v>
      </c>
      <c r="E70" s="50">
        <f>VLOOKUP($A70,'Data shares'!$C:$FA,154)*100</f>
        <v>18.61</v>
      </c>
      <c r="F70" s="173">
        <f>C70/B70</f>
        <v>0.18278931398107726</v>
      </c>
    </row>
    <row r="71" spans="1:6" x14ac:dyDescent="0.25">
      <c r="A71" s="99" t="s">
        <v>218</v>
      </c>
      <c r="B71" s="49">
        <v>17263909</v>
      </c>
      <c r="C71" s="49">
        <v>17485600</v>
      </c>
      <c r="D71" s="49">
        <v>9822031.2735407501</v>
      </c>
      <c r="E71" s="50">
        <f>VLOOKUP($A71,'Data shares'!$C:$FA,154)*100</f>
        <v>102.57000000000001</v>
      </c>
      <c r="F71" s="173">
        <f>C71/B71</f>
        <v>1.0128412979934034</v>
      </c>
    </row>
    <row r="72" spans="1:6" x14ac:dyDescent="0.25">
      <c r="A72" s="99" t="s">
        <v>219</v>
      </c>
      <c r="B72" s="49">
        <v>38505832</v>
      </c>
      <c r="C72" s="49">
        <v>20992000</v>
      </c>
      <c r="D72" s="49">
        <v>14938673.559632501</v>
      </c>
      <c r="E72" s="50">
        <f>VLOOKUP($A72,'Data shares'!$C:$FA,154)*100</f>
        <v>55.08</v>
      </c>
      <c r="F72" s="173">
        <f>C72/B72</f>
        <v>0.54516417149485308</v>
      </c>
    </row>
    <row r="73" spans="1:6" x14ac:dyDescent="0.25">
      <c r="A73" s="99" t="s">
        <v>513</v>
      </c>
      <c r="B73" s="49">
        <v>28450886</v>
      </c>
      <c r="C73" s="49">
        <v>25070100</v>
      </c>
      <c r="D73" s="49">
        <v>9398385.9253649991</v>
      </c>
      <c r="E73" s="50">
        <f>VLOOKUP($A73,'Data shares'!$C:$FA,154)*100</f>
        <v>90.39</v>
      </c>
      <c r="F73" s="173">
        <f>C73/B73</f>
        <v>0.88117115227975673</v>
      </c>
    </row>
    <row r="74" spans="1:6" x14ac:dyDescent="0.25">
      <c r="A74" s="99" t="s">
        <v>220</v>
      </c>
      <c r="B74" s="49">
        <v>35667502</v>
      </c>
      <c r="C74" s="49">
        <v>15709500</v>
      </c>
      <c r="D74" s="49">
        <v>9978321.4566300008</v>
      </c>
      <c r="E74" s="50">
        <f>VLOOKUP($A74,'Data shares'!$C:$FA,154)*100</f>
        <v>44.42</v>
      </c>
      <c r="F74" s="173">
        <f>C74/B74</f>
        <v>0.44044295560703972</v>
      </c>
    </row>
    <row r="75" spans="1:6" x14ac:dyDescent="0.25">
      <c r="A75" s="99" t="s">
        <v>222</v>
      </c>
      <c r="B75" s="49">
        <v>106857976</v>
      </c>
      <c r="C75" s="49">
        <v>34963950</v>
      </c>
      <c r="D75" s="49">
        <v>19525987.6509565</v>
      </c>
      <c r="E75" s="50">
        <f>VLOOKUP($A75,'Data shares'!$C:$FA,154)*100</f>
        <v>33.369999999999997</v>
      </c>
      <c r="F75" s="173">
        <f>C75/B75</f>
        <v>0.32720018953007307</v>
      </c>
    </row>
    <row r="76" spans="1:6" x14ac:dyDescent="0.25">
      <c r="A76" s="99" t="s">
        <v>475</v>
      </c>
      <c r="B76" s="49">
        <v>30592324</v>
      </c>
      <c r="C76" s="49">
        <v>9658200</v>
      </c>
      <c r="D76" s="49">
        <v>6142254.3488910003</v>
      </c>
      <c r="E76" s="50">
        <f>VLOOKUP($A76,'Data shares'!$C:$FA,154)*100</f>
        <v>32.31</v>
      </c>
      <c r="F76" s="173">
        <f>C76/B76</f>
        <v>0.31570664588934139</v>
      </c>
    </row>
    <row r="77" spans="1:6" x14ac:dyDescent="0.25">
      <c r="A77" s="99" t="s">
        <v>224</v>
      </c>
      <c r="B77" s="49">
        <v>1330694977</v>
      </c>
      <c r="C77" s="49">
        <v>357649050</v>
      </c>
      <c r="D77" s="49">
        <v>257522114.48643899</v>
      </c>
      <c r="E77" s="50">
        <f>VLOOKUP($A77,'Data shares'!$C:$FA,154)*100</f>
        <v>27.310000000000002</v>
      </c>
      <c r="F77" s="173">
        <f>C77/B77</f>
        <v>0.26876861803920371</v>
      </c>
    </row>
    <row r="78" spans="1:6" x14ac:dyDescent="0.25">
      <c r="A78" s="99" t="s">
        <v>225</v>
      </c>
      <c r="B78" s="49">
        <v>128849634</v>
      </c>
      <c r="C78" s="49">
        <v>60179900</v>
      </c>
      <c r="D78" s="49">
        <v>38246726.864687003</v>
      </c>
      <c r="E78" s="50">
        <f>VLOOKUP($A78,'Data shares'!$C:$FA,154)*100</f>
        <v>47.660000000000004</v>
      </c>
      <c r="F78" s="173">
        <f>C78/B78</f>
        <v>0.46705526536458769</v>
      </c>
    </row>
    <row r="79" spans="1:6" x14ac:dyDescent="0.25">
      <c r="A79" s="99" t="s">
        <v>226</v>
      </c>
      <c r="B79" s="49">
        <v>19586951</v>
      </c>
      <c r="C79" s="49">
        <v>8388900</v>
      </c>
      <c r="D79" s="49">
        <v>3631718.4251069999</v>
      </c>
      <c r="E79" s="50">
        <f>VLOOKUP($A79,'Data shares'!$C:$FA,154)*100</f>
        <v>45.53</v>
      </c>
      <c r="F79" s="173">
        <f>C79/B79</f>
        <v>0.42829024282544026</v>
      </c>
    </row>
    <row r="80" spans="1:6" x14ac:dyDescent="0.25">
      <c r="A80" s="99" t="s">
        <v>228</v>
      </c>
      <c r="B80" s="49">
        <v>212176873</v>
      </c>
      <c r="C80" s="49">
        <v>69062000</v>
      </c>
      <c r="D80" s="49">
        <v>41790363.986014001</v>
      </c>
      <c r="E80" s="50">
        <f>VLOOKUP($A80,'Data shares'!$C:$FA,154)*100</f>
        <v>33.18</v>
      </c>
      <c r="F80" s="173">
        <f>C80/B80</f>
        <v>0.32549259032580802</v>
      </c>
    </row>
    <row r="81" spans="1:6" x14ac:dyDescent="0.25">
      <c r="A81" s="99" t="s">
        <v>229</v>
      </c>
      <c r="B81" s="49">
        <v>143933168</v>
      </c>
      <c r="C81" s="49">
        <v>64745325</v>
      </c>
      <c r="D81" s="49">
        <v>38291741.792777203</v>
      </c>
      <c r="E81" s="50">
        <f>VLOOKUP($A81,'Data shares'!$C:$FA,154)*100</f>
        <v>45.62</v>
      </c>
      <c r="F81" s="173">
        <f>C81/B81</f>
        <v>0.44982908317560272</v>
      </c>
    </row>
    <row r="82" spans="1:6" x14ac:dyDescent="0.25">
      <c r="A82" s="99" t="s">
        <v>230</v>
      </c>
      <c r="B82" s="49">
        <v>91001773</v>
      </c>
      <c r="C82" s="49">
        <v>24090000</v>
      </c>
      <c r="D82" s="49">
        <v>15193289.294966999</v>
      </c>
      <c r="E82" s="50">
        <f>VLOOKUP($A82,'Data shares'!$C:$FA,154)*100</f>
        <v>27.089999999999996</v>
      </c>
      <c r="F82" s="173">
        <f>C82/B82</f>
        <v>0.26472011704651072</v>
      </c>
    </row>
    <row r="83" spans="1:6" x14ac:dyDescent="0.25">
      <c r="A83" s="99" t="s">
        <v>667</v>
      </c>
      <c r="B83" s="49">
        <v>161247058</v>
      </c>
      <c r="C83" s="49">
        <v>140679000</v>
      </c>
      <c r="D83" s="49">
        <v>36009303.198076203</v>
      </c>
      <c r="E83" s="50">
        <f>VLOOKUP($A83,'Data shares'!$C:$FA,154)*100</f>
        <v>89.37</v>
      </c>
      <c r="F83" s="173">
        <f>C83/B83</f>
        <v>0.87244382468050985</v>
      </c>
    </row>
    <row r="84" spans="1:6" x14ac:dyDescent="0.25">
      <c r="A84" s="99" t="s">
        <v>608</v>
      </c>
      <c r="B84" s="49">
        <v>75071250</v>
      </c>
      <c r="C84" s="49">
        <v>93881025</v>
      </c>
      <c r="D84" s="49">
        <v>37544966.473283201</v>
      </c>
      <c r="E84" s="50">
        <f>VLOOKUP($A84,'Data shares'!$C:$FA,154)*100</f>
        <v>127.99000000000001</v>
      </c>
      <c r="F84" s="173">
        <f>C84/B84</f>
        <v>1.2505589689794696</v>
      </c>
    </row>
    <row r="85" spans="1:6" x14ac:dyDescent="0.25">
      <c r="A85" s="99" t="s">
        <v>232</v>
      </c>
      <c r="B85" s="49">
        <v>580601807</v>
      </c>
      <c r="C85" s="49">
        <v>181661200</v>
      </c>
      <c r="D85" s="49">
        <v>127475672.640596</v>
      </c>
      <c r="E85" s="50">
        <f>VLOOKUP($A85,'Data shares'!$C:$FA,154)*100</f>
        <v>31.669999999999998</v>
      </c>
      <c r="F85" s="173">
        <f>C85/B85</f>
        <v>0.31288431728907795</v>
      </c>
    </row>
    <row r="86" spans="1:6" x14ac:dyDescent="0.25">
      <c r="A86" s="99" t="s">
        <v>472</v>
      </c>
      <c r="B86" s="49">
        <v>28747897</v>
      </c>
      <c r="C86" s="49">
        <v>8197150</v>
      </c>
      <c r="D86" s="49">
        <v>5670186.0289847497</v>
      </c>
      <c r="E86" s="50"/>
      <c r="F86" s="173">
        <f>C86/B86</f>
        <v>0.28513911817619214</v>
      </c>
    </row>
    <row r="87" spans="1:6" x14ac:dyDescent="0.25">
      <c r="A87" s="99" t="s">
        <v>233</v>
      </c>
      <c r="B87" s="49">
        <v>58746582</v>
      </c>
      <c r="C87" s="49">
        <v>20612700</v>
      </c>
      <c r="D87" s="49">
        <v>15634442.984727699</v>
      </c>
      <c r="E87" s="50">
        <f>VLOOKUP($A87,'Data shares'!$C:$FA,154)*100</f>
        <v>35.32</v>
      </c>
      <c r="F87" s="173">
        <f>C87/B87</f>
        <v>0.3508748815377889</v>
      </c>
    </row>
    <row r="88" spans="1:6" x14ac:dyDescent="0.25">
      <c r="A88" s="99" t="s">
        <v>234</v>
      </c>
      <c r="B88" s="49">
        <v>12037179660</v>
      </c>
      <c r="C88" s="49">
        <v>9803296575</v>
      </c>
      <c r="D88" s="49">
        <v>6268080046.5509701</v>
      </c>
      <c r="E88" s="50">
        <f>VLOOKUP($A88,'Data shares'!$C:$FA,154)*100</f>
        <v>82.46</v>
      </c>
      <c r="F88" s="173">
        <f>C88/B88</f>
        <v>0.81441806568499786</v>
      </c>
    </row>
    <row r="89" spans="1:6" x14ac:dyDescent="0.25">
      <c r="A89" s="99" t="s">
        <v>235</v>
      </c>
      <c r="B89" s="49">
        <v>936861183</v>
      </c>
      <c r="C89" s="49">
        <v>519743175</v>
      </c>
      <c r="D89" s="49">
        <v>274510710.96564299</v>
      </c>
      <c r="E89" s="50">
        <f>VLOOKUP($A89,'Data shares'!$C:$FA,154)*100</f>
        <v>56.589999999999996</v>
      </c>
      <c r="F89" s="173">
        <f>C89/B89</f>
        <v>0.55477074344748467</v>
      </c>
    </row>
    <row r="90" spans="1:6" x14ac:dyDescent="0.25">
      <c r="A90" s="99" t="s">
        <v>514</v>
      </c>
      <c r="B90" s="49">
        <v>133395043</v>
      </c>
      <c r="C90" s="49">
        <v>200066250</v>
      </c>
      <c r="D90" s="49">
        <v>76304197.021312505</v>
      </c>
      <c r="E90" s="50">
        <f>VLOOKUP($A90,'Data shares'!$C:$FA,154)*100</f>
        <v>153.44999999999999</v>
      </c>
      <c r="F90" s="173">
        <f>C90/B90</f>
        <v>1.4998027325498144</v>
      </c>
    </row>
    <row r="91" spans="1:6" x14ac:dyDescent="0.25">
      <c r="A91" s="99" t="s">
        <v>501</v>
      </c>
      <c r="B91" s="49">
        <v>132129624</v>
      </c>
      <c r="C91" s="49">
        <v>43901000</v>
      </c>
      <c r="D91" s="49">
        <v>25534162.240279999</v>
      </c>
      <c r="E91" s="50">
        <f>VLOOKUP($A91,'Data shares'!$C:$FA,154)*100</f>
        <v>33.92</v>
      </c>
      <c r="F91" s="173">
        <f>C91/B91</f>
        <v>0.33225705690345414</v>
      </c>
    </row>
    <row r="92" spans="1:6" x14ac:dyDescent="0.25">
      <c r="A92" s="99" t="s">
        <v>578</v>
      </c>
      <c r="B92" s="49">
        <v>52862157</v>
      </c>
      <c r="C92" s="49">
        <v>18243000</v>
      </c>
      <c r="D92" s="49">
        <v>9002822.1297200006</v>
      </c>
      <c r="E92" s="50">
        <f>VLOOKUP($A92,'Data shares'!$C:$FA,154)*100</f>
        <v>35.480000000000004</v>
      </c>
      <c r="F92" s="173">
        <f>C92/B92</f>
        <v>0.34510510042183862</v>
      </c>
    </row>
    <row r="93" spans="1:6" x14ac:dyDescent="0.25">
      <c r="A93" s="99" t="s">
        <v>238</v>
      </c>
      <c r="B93" s="49">
        <v>33874835</v>
      </c>
      <c r="C93" s="49">
        <v>14962650</v>
      </c>
      <c r="D93" s="49">
        <v>9303054.7966185007</v>
      </c>
      <c r="E93" s="50">
        <f>VLOOKUP($A93,'Data shares'!$C:$FA,154)*100</f>
        <v>44.879999999999995</v>
      </c>
      <c r="F93" s="173">
        <f>C93/B93</f>
        <v>0.44170399649179104</v>
      </c>
    </row>
    <row r="94" spans="1:6" x14ac:dyDescent="0.25">
      <c r="A94" s="99" t="s">
        <v>239</v>
      </c>
      <c r="B94" s="49">
        <v>93808799</v>
      </c>
      <c r="C94" s="49">
        <v>49866600</v>
      </c>
      <c r="D94" s="49">
        <v>31749060.241640002</v>
      </c>
      <c r="E94" s="50">
        <f>VLOOKUP($A94,'Data shares'!$C:$FA,154)*100</f>
        <v>54.02</v>
      </c>
      <c r="F94" s="173">
        <f>C94/B94</f>
        <v>0.53157700057539381</v>
      </c>
    </row>
    <row r="95" spans="1:6" x14ac:dyDescent="0.25">
      <c r="A95" s="99" t="s">
        <v>473</v>
      </c>
      <c r="B95" s="49">
        <v>193623116</v>
      </c>
      <c r="C95" s="49">
        <v>119778600</v>
      </c>
      <c r="D95" s="49">
        <v>77732880.134586006</v>
      </c>
      <c r="E95" s="50">
        <f>VLOOKUP($A95,'Data shares'!$C:$FA,154)*100</f>
        <v>62.519999999999996</v>
      </c>
      <c r="F95" s="173">
        <f>C95/B95</f>
        <v>0.61861725229130182</v>
      </c>
    </row>
    <row r="96" spans="1:6" x14ac:dyDescent="0.25">
      <c r="A96" s="99" t="s">
        <v>240</v>
      </c>
      <c r="B96" s="49">
        <v>368703409</v>
      </c>
      <c r="C96" s="49">
        <v>144398000</v>
      </c>
      <c r="D96" s="49">
        <v>77504697.124531999</v>
      </c>
      <c r="E96" s="50">
        <f>VLOOKUP($A96,'Data shares'!$C:$FA,154)*100</f>
        <v>40.489999999999995</v>
      </c>
      <c r="F96" s="173">
        <f>C96/B96</f>
        <v>0.39163727938300674</v>
      </c>
    </row>
    <row r="97" spans="1:6" x14ac:dyDescent="0.25">
      <c r="A97" s="99" t="s">
        <v>668</v>
      </c>
      <c r="B97" s="49">
        <v>144708707</v>
      </c>
      <c r="C97" s="49">
        <v>144547975</v>
      </c>
      <c r="D97" s="49">
        <v>83815923.429452494</v>
      </c>
      <c r="E97" s="50">
        <f>VLOOKUP($A97,'Data shares'!$C:$FA,154)*100</f>
        <v>101.27999999999999</v>
      </c>
      <c r="F97" s="173">
        <f>C97/B97</f>
        <v>0.99888927208782263</v>
      </c>
    </row>
    <row r="98" spans="1:6" x14ac:dyDescent="0.25">
      <c r="A98" s="99" t="s">
        <v>241</v>
      </c>
      <c r="B98" s="49">
        <v>684903861</v>
      </c>
      <c r="C98" s="49">
        <v>197442375</v>
      </c>
      <c r="D98" s="49">
        <v>101716179.47361</v>
      </c>
      <c r="E98" s="50">
        <f>VLOOKUP($A98,'Data shares'!$C:$FA,154)*100</f>
        <v>29.439999999999998</v>
      </c>
      <c r="F98" s="173">
        <f>C98/B98</f>
        <v>0.28827750322756612</v>
      </c>
    </row>
    <row r="99" spans="1:6" x14ac:dyDescent="0.25">
      <c r="A99" s="99" t="s">
        <v>490</v>
      </c>
      <c r="B99" s="49">
        <v>32504261</v>
      </c>
      <c r="C99" s="49">
        <v>41874875</v>
      </c>
      <c r="D99" s="49">
        <v>17249705.845435001</v>
      </c>
      <c r="E99" s="50">
        <f>VLOOKUP($A99,'Data shares'!$C:$FA,154)*100</f>
        <v>131.09</v>
      </c>
      <c r="F99" s="173">
        <f>C99/B99</f>
        <v>1.2882887877377061</v>
      </c>
    </row>
    <row r="100" spans="1:6" x14ac:dyDescent="0.25">
      <c r="A100" s="99" t="s">
        <v>664</v>
      </c>
      <c r="B100" s="49">
        <v>119011160</v>
      </c>
      <c r="C100" s="49">
        <v>145521000</v>
      </c>
      <c r="D100" s="49">
        <v>59173618.434308998</v>
      </c>
      <c r="E100" s="50">
        <f>VLOOKUP($A100,'Data shares'!$C:$FA,154)*100</f>
        <v>124.83</v>
      </c>
      <c r="F100" s="173">
        <f>C100/B100</f>
        <v>1.2227508747919102</v>
      </c>
    </row>
    <row r="101" spans="1:6" x14ac:dyDescent="0.25">
      <c r="A101" s="99" t="s">
        <v>592</v>
      </c>
      <c r="B101" s="49">
        <v>200960551</v>
      </c>
      <c r="C101" s="49">
        <v>217502250</v>
      </c>
      <c r="D101" s="49">
        <v>59961517.971830003</v>
      </c>
      <c r="E101" s="50">
        <f>VLOOKUP($A101,'Data shares'!$C:$FA,154)*100</f>
        <v>110.9</v>
      </c>
      <c r="F101" s="173">
        <f>C101/B101</f>
        <v>1.0823131650350621</v>
      </c>
    </row>
    <row r="102" spans="1:6" x14ac:dyDescent="0.25">
      <c r="A102" s="99" t="s">
        <v>242</v>
      </c>
      <c r="B102" s="49">
        <v>1252401670</v>
      </c>
      <c r="C102" s="49">
        <v>475756800</v>
      </c>
      <c r="D102" s="49">
        <v>204857660.00713599</v>
      </c>
      <c r="E102" s="50">
        <f>VLOOKUP($A102,'Data shares'!$C:$FA,154)*100</f>
        <v>38.879999999999995</v>
      </c>
      <c r="F102" s="173">
        <f>C102/B102</f>
        <v>0.37987557138916944</v>
      </c>
    </row>
    <row r="103" spans="1:6" x14ac:dyDescent="0.25">
      <c r="A103" s="99" t="s">
        <v>243</v>
      </c>
      <c r="B103" s="49">
        <v>48257090</v>
      </c>
      <c r="C103" s="49">
        <v>19873125</v>
      </c>
      <c r="D103" s="49">
        <v>11273006.4366062</v>
      </c>
      <c r="E103" s="50">
        <f>VLOOKUP($A103,'Data shares'!$C:$FA,154)*100</f>
        <v>41.91</v>
      </c>
      <c r="F103" s="173">
        <f>C103/B103</f>
        <v>0.41181772460792809</v>
      </c>
    </row>
    <row r="104" spans="1:6" x14ac:dyDescent="0.25">
      <c r="A104" s="99" t="s">
        <v>570</v>
      </c>
      <c r="B104" s="49">
        <v>355358091</v>
      </c>
      <c r="C104" s="49">
        <v>293249450</v>
      </c>
      <c r="D104" s="49">
        <v>158227578.066154</v>
      </c>
      <c r="E104" s="50">
        <f>VLOOKUP($A104,'Data shares'!$C:$FA,154)*100</f>
        <v>84.399999999999991</v>
      </c>
      <c r="F104" s="173">
        <f>C104/B104</f>
        <v>0.82522238110514834</v>
      </c>
    </row>
    <row r="105" spans="1:6" x14ac:dyDescent="0.25">
      <c r="A105" s="99" t="s">
        <v>580</v>
      </c>
      <c r="B105" s="49">
        <v>80385888</v>
      </c>
      <c r="C105" s="49">
        <v>48386000</v>
      </c>
      <c r="D105" s="49">
        <v>32611769.983320002</v>
      </c>
      <c r="E105" s="50">
        <f>VLOOKUP($A105,'Data shares'!$C:$FA,154)*100</f>
        <v>60.440000000000005</v>
      </c>
      <c r="F105" s="173">
        <f>C105/B105</f>
        <v>0.60192157110959577</v>
      </c>
    </row>
    <row r="106" spans="1:6" x14ac:dyDescent="0.25">
      <c r="A106" s="99" t="s">
        <v>244</v>
      </c>
      <c r="B106" s="49">
        <v>133434355</v>
      </c>
      <c r="C106" s="49">
        <v>65097675</v>
      </c>
      <c r="D106" s="49">
        <v>52722518.315141201</v>
      </c>
      <c r="E106" s="50">
        <f>VLOOKUP($A106,'Data shares'!$C:$FA,154)*100</f>
        <v>49.17</v>
      </c>
      <c r="F106" s="173">
        <f>C106/B106</f>
        <v>0.48786292705503015</v>
      </c>
    </row>
    <row r="107" spans="1:6" x14ac:dyDescent="0.25">
      <c r="A107" s="99" t="s">
        <v>245</v>
      </c>
      <c r="B107" s="49">
        <v>58761693</v>
      </c>
      <c r="C107" s="49">
        <v>50966250</v>
      </c>
      <c r="D107" s="49">
        <v>22003061.236187499</v>
      </c>
      <c r="E107" s="50">
        <f>VLOOKUP($A107,'Data shares'!$C:$FA,154)*100</f>
        <v>89.95</v>
      </c>
      <c r="F107" s="173">
        <f>C107/B107</f>
        <v>0.86733801219784457</v>
      </c>
    </row>
    <row r="108" spans="1:6" x14ac:dyDescent="0.25">
      <c r="A108" s="99" t="s">
        <v>582</v>
      </c>
      <c r="B108" s="49">
        <v>57654984</v>
      </c>
      <c r="C108" s="49">
        <v>72318900</v>
      </c>
      <c r="D108" s="49">
        <v>26967064.627347201</v>
      </c>
      <c r="E108" s="50">
        <f>VLOOKUP($A108,'Data shares'!$C:$FA,154)*100</f>
        <v>128.18</v>
      </c>
      <c r="F108" s="173">
        <f>C108/B108</f>
        <v>1.2543390871463949</v>
      </c>
    </row>
    <row r="109" spans="1:6" x14ac:dyDescent="0.25">
      <c r="A109" s="99" t="s">
        <v>675</v>
      </c>
      <c r="B109" s="49">
        <v>4679418</v>
      </c>
      <c r="C109" s="49">
        <v>8497700</v>
      </c>
      <c r="D109" s="49">
        <v>3783516.071308</v>
      </c>
      <c r="E109" s="50">
        <f>VLOOKUP($A109,'Data shares'!$C:$FA,154)*100</f>
        <v>186.29</v>
      </c>
      <c r="F109" s="173">
        <f>C109/B109</f>
        <v>1.815973695874145</v>
      </c>
    </row>
    <row r="110" spans="1:6" x14ac:dyDescent="0.25">
      <c r="A110" s="99" t="s">
        <v>610</v>
      </c>
      <c r="B110" s="49">
        <v>8553821</v>
      </c>
      <c r="C110" s="49">
        <v>2858275</v>
      </c>
      <c r="D110" s="49">
        <v>1390346.94155525</v>
      </c>
      <c r="E110" s="50"/>
      <c r="F110" s="173">
        <f>C110/B110</f>
        <v>0.33415183693930467</v>
      </c>
    </row>
    <row r="111" spans="1:6" x14ac:dyDescent="0.25">
      <c r="A111" s="99" t="s">
        <v>682</v>
      </c>
      <c r="B111" s="49">
        <v>19924232</v>
      </c>
      <c r="C111" s="49">
        <v>8804000</v>
      </c>
      <c r="D111" s="49">
        <v>3906945.6845399998</v>
      </c>
      <c r="E111" s="50">
        <f>VLOOKUP($A111,'Data shares'!$C:$FA,154)*100</f>
        <v>44.79</v>
      </c>
      <c r="F111" s="173">
        <f>C111/B111</f>
        <v>0.44187399544434136</v>
      </c>
    </row>
    <row r="112" spans="1:6" x14ac:dyDescent="0.25">
      <c r="A112" s="99" t="s">
        <v>246</v>
      </c>
      <c r="B112" s="49">
        <v>781025350</v>
      </c>
      <c r="C112" s="49">
        <v>270466000</v>
      </c>
      <c r="D112" s="49">
        <v>195472110.13251999</v>
      </c>
      <c r="E112" s="50">
        <f>VLOOKUP($A112,'Data shares'!$C:$FA,154)*100</f>
        <v>35.19</v>
      </c>
      <c r="F112" s="173">
        <f>C112/B112</f>
        <v>0.34629605812410569</v>
      </c>
    </row>
    <row r="113" spans="1:6" x14ac:dyDescent="0.25">
      <c r="A113" s="99" t="s">
        <v>577</v>
      </c>
      <c r="B113" s="49">
        <v>24589408</v>
      </c>
      <c r="C113" s="49">
        <v>12649275</v>
      </c>
      <c r="D113" s="49">
        <v>4300437.44276175</v>
      </c>
      <c r="E113" s="50">
        <f>VLOOKUP($A113,'Data shares'!$C:$FA,154)*100</f>
        <v>52.72</v>
      </c>
      <c r="F113" s="173">
        <f>C113/B113</f>
        <v>0.51441966394636263</v>
      </c>
    </row>
    <row r="114" spans="1:6" x14ac:dyDescent="0.25">
      <c r="A114" s="99" t="s">
        <v>535</v>
      </c>
      <c r="B114" s="49">
        <v>58629477</v>
      </c>
      <c r="C114" s="49">
        <v>37443350</v>
      </c>
      <c r="D114" s="49">
        <v>17084444.447692499</v>
      </c>
      <c r="E114" s="50">
        <f>VLOOKUP($A114,'Data shares'!$C:$FA,154)*100</f>
        <v>65.58</v>
      </c>
      <c r="F114" s="173">
        <f>C114/B114</f>
        <v>0.63864376617243235</v>
      </c>
    </row>
    <row r="115" spans="1:6" x14ac:dyDescent="0.25">
      <c r="A115" s="99" t="s">
        <v>248</v>
      </c>
      <c r="B115" s="49">
        <v>45183075</v>
      </c>
      <c r="C115" s="49">
        <v>52267000</v>
      </c>
      <c r="D115" s="49">
        <v>31409589.697310001</v>
      </c>
      <c r="E115" s="50">
        <f>VLOOKUP($A115,'Data shares'!$C:$FA,154)*100</f>
        <v>116.86000000000001</v>
      </c>
      <c r="F115" s="173">
        <f>C115/B115</f>
        <v>1.156782711225387</v>
      </c>
    </row>
    <row r="116" spans="1:6" x14ac:dyDescent="0.25">
      <c r="A116" s="99" t="s">
        <v>607</v>
      </c>
      <c r="B116" s="49">
        <v>33206238</v>
      </c>
      <c r="C116" s="49">
        <v>29206800</v>
      </c>
      <c r="D116" s="49">
        <v>11260684.991955001</v>
      </c>
      <c r="E116" s="50">
        <f>VLOOKUP($A116,'Data shares'!$C:$FA,154)*100</f>
        <v>91</v>
      </c>
      <c r="F116" s="173">
        <f>C116/B116</f>
        <v>0.87955763010552412</v>
      </c>
    </row>
    <row r="117" spans="1:6" x14ac:dyDescent="0.25">
      <c r="A117" s="99" t="s">
        <v>588</v>
      </c>
      <c r="B117" s="49">
        <v>42126960</v>
      </c>
      <c r="C117" s="49">
        <v>14749650</v>
      </c>
      <c r="D117" s="49">
        <v>7666346.9864159999</v>
      </c>
      <c r="E117" s="50">
        <f>VLOOKUP($A117,'Data shares'!$C:$FA,154)*100</f>
        <v>35.43</v>
      </c>
      <c r="F117" s="173">
        <f>C117/B117</f>
        <v>0.35012376872197759</v>
      </c>
    </row>
    <row r="118" spans="1:6" x14ac:dyDescent="0.25">
      <c r="A118" s="99" t="s">
        <v>249</v>
      </c>
      <c r="B118" s="49">
        <v>136109374</v>
      </c>
      <c r="C118" s="49">
        <v>29853425</v>
      </c>
      <c r="D118" s="49">
        <v>15956414.9987025</v>
      </c>
      <c r="E118" s="50">
        <f>VLOOKUP($A118,'Data shares'!$C:$FA,154)*100</f>
        <v>22.36</v>
      </c>
      <c r="F118" s="173">
        <f>C118/B118</f>
        <v>0.21933408495435444</v>
      </c>
    </row>
    <row r="119" spans="1:6" x14ac:dyDescent="0.25">
      <c r="A119" s="99" t="s">
        <v>565</v>
      </c>
      <c r="B119" s="49">
        <v>127100972</v>
      </c>
      <c r="C119" s="49">
        <v>110369250</v>
      </c>
      <c r="D119" s="49">
        <v>50220116.314649999</v>
      </c>
      <c r="E119" s="50">
        <f>VLOOKUP($A119,'Data shares'!$C:$FA,154)*100</f>
        <v>88.29</v>
      </c>
      <c r="F119" s="173">
        <f>C119/B119</f>
        <v>0.86835881947464577</v>
      </c>
    </row>
    <row r="120" spans="1:6" x14ac:dyDescent="0.25">
      <c r="A120" s="99" t="s">
        <v>561</v>
      </c>
      <c r="B120" s="49">
        <v>9672091</v>
      </c>
      <c r="C120" s="49">
        <v>4513050</v>
      </c>
      <c r="D120" s="49">
        <v>2072351.108124</v>
      </c>
      <c r="E120" s="50">
        <f>VLOOKUP($A120,'Data shares'!$C:$FA,154)*100</f>
        <v>47.47</v>
      </c>
      <c r="F120" s="173">
        <f>C120/B120</f>
        <v>0.46660541138415673</v>
      </c>
    </row>
    <row r="121" spans="1:6" x14ac:dyDescent="0.25">
      <c r="A121" s="99" t="s">
        <v>250</v>
      </c>
      <c r="B121" s="49">
        <v>36381777</v>
      </c>
      <c r="C121" s="49">
        <v>14348850</v>
      </c>
      <c r="D121" s="49">
        <v>7876288.9554080004</v>
      </c>
      <c r="E121" s="50">
        <f>VLOOKUP($A121,'Data shares'!$C:$FA,154)*100</f>
        <v>40.39</v>
      </c>
      <c r="F121" s="173">
        <f>C121/B121</f>
        <v>0.39439662334250469</v>
      </c>
    </row>
    <row r="122" spans="1:6" x14ac:dyDescent="0.25">
      <c r="A122" s="99" t="s">
        <v>251</v>
      </c>
      <c r="B122" s="49">
        <v>95452027</v>
      </c>
      <c r="C122" s="49">
        <v>32701400</v>
      </c>
      <c r="D122" s="49">
        <v>20616481.201786</v>
      </c>
      <c r="E122" s="50">
        <f>VLOOKUP($A122,'Data shares'!$C:$FA,154)*100</f>
        <v>35.03</v>
      </c>
      <c r="F122" s="173">
        <f>C122/B122</f>
        <v>0.34259513420285981</v>
      </c>
    </row>
    <row r="123" spans="1:6" x14ac:dyDescent="0.25">
      <c r="A123" s="99" t="s">
        <v>253</v>
      </c>
      <c r="B123" s="49">
        <v>82205057</v>
      </c>
      <c r="C123" s="49">
        <v>91029000</v>
      </c>
      <c r="D123" s="49">
        <v>41794741.627020001</v>
      </c>
      <c r="E123" s="50">
        <f>VLOOKUP($A123,'Data shares'!$C:$FA,154)*100</f>
        <v>112.75999999999999</v>
      </c>
      <c r="F123" s="173">
        <f>C123/B123</f>
        <v>1.1073406347738437</v>
      </c>
    </row>
    <row r="124" spans="1:6" x14ac:dyDescent="0.25">
      <c r="A124" s="99" t="s">
        <v>671</v>
      </c>
      <c r="B124" s="49">
        <v>16919681</v>
      </c>
      <c r="C124" s="49">
        <v>5053725</v>
      </c>
      <c r="D124" s="49">
        <v>2664425.6320432499</v>
      </c>
      <c r="E124" s="50">
        <f>VLOOKUP($A124,'Data shares'!$C:$FA,154)*100</f>
        <v>30.349999999999998</v>
      </c>
      <c r="F124" s="173">
        <f>C124/B124</f>
        <v>0.29868914195249896</v>
      </c>
    </row>
    <row r="125" spans="1:6" x14ac:dyDescent="0.25">
      <c r="A125" s="99" t="s">
        <v>254</v>
      </c>
      <c r="B125" s="49">
        <v>79442217</v>
      </c>
      <c r="C125" s="49">
        <v>37686000</v>
      </c>
      <c r="D125" s="49">
        <v>29052253.391123999</v>
      </c>
      <c r="E125" s="50">
        <f>VLOOKUP($A125,'Data shares'!$C:$FA,154)*100</f>
        <v>47.870000000000005</v>
      </c>
      <c r="F125" s="173">
        <f>C125/B125</f>
        <v>0.47438253139385572</v>
      </c>
    </row>
    <row r="126" spans="1:6" x14ac:dyDescent="0.25">
      <c r="A126" s="99" t="s">
        <v>255</v>
      </c>
      <c r="B126" s="49">
        <v>17687048</v>
      </c>
      <c r="C126" s="49">
        <v>7469250</v>
      </c>
      <c r="D126" s="49">
        <v>3486721.1881295</v>
      </c>
      <c r="E126" s="50">
        <f>VLOOKUP($A126,'Data shares'!$C:$FA,154)*100</f>
        <v>43.59</v>
      </c>
      <c r="F126" s="173">
        <f>C126/B126</f>
        <v>0.42230054444359511</v>
      </c>
    </row>
    <row r="127" spans="1:6" x14ac:dyDescent="0.25">
      <c r="A127" s="99" t="s">
        <v>603</v>
      </c>
      <c r="B127" s="49">
        <v>111218809</v>
      </c>
      <c r="C127" s="49">
        <v>23140425</v>
      </c>
      <c r="D127" s="49">
        <v>16023737.283403501</v>
      </c>
      <c r="E127" s="50">
        <f>VLOOKUP($A127,'Data shares'!$C:$FA,154)*100</f>
        <v>21.07</v>
      </c>
      <c r="F127" s="173">
        <f>C127/B127</f>
        <v>0.20806215430701114</v>
      </c>
    </row>
    <row r="128" spans="1:6" x14ac:dyDescent="0.25">
      <c r="A128" s="99" t="s">
        <v>672</v>
      </c>
      <c r="B128" s="49">
        <v>11364224</v>
      </c>
      <c r="C128" s="49">
        <v>10787800</v>
      </c>
      <c r="D128" s="49">
        <v>4393098.4051200002</v>
      </c>
      <c r="E128" s="50"/>
      <c r="F128" s="173">
        <f>C128/B128</f>
        <v>0.94927731097169499</v>
      </c>
    </row>
    <row r="129" spans="1:6" x14ac:dyDescent="0.25">
      <c r="A129" s="99" t="s">
        <v>517</v>
      </c>
      <c r="B129" s="49">
        <v>38177110</v>
      </c>
      <c r="C129" s="49">
        <v>41112500</v>
      </c>
      <c r="D129" s="49">
        <v>13769020.9984312</v>
      </c>
      <c r="E129" s="50">
        <f>VLOOKUP($A129,'Data shares'!$C:$FA,154)*100</f>
        <v>113.71</v>
      </c>
      <c r="F129" s="173">
        <f>C129/B129</f>
        <v>1.0768887430190499</v>
      </c>
    </row>
    <row r="130" spans="1:6" x14ac:dyDescent="0.25">
      <c r="A130" s="99" t="s">
        <v>257</v>
      </c>
      <c r="B130" s="49">
        <v>33919851</v>
      </c>
      <c r="C130" s="49">
        <v>13484800</v>
      </c>
      <c r="D130" s="49">
        <v>9506086.5881040003</v>
      </c>
      <c r="E130" s="50">
        <f>VLOOKUP($A130,'Data shares'!$C:$FA,154)*100</f>
        <v>40.26</v>
      </c>
      <c r="F130" s="173">
        <f>C130/B130</f>
        <v>0.39754891611994403</v>
      </c>
    </row>
    <row r="131" spans="1:6" x14ac:dyDescent="0.25">
      <c r="A131" s="99" t="s">
        <v>559</v>
      </c>
      <c r="B131" s="49">
        <v>606151620</v>
      </c>
      <c r="C131" s="49">
        <v>297438600</v>
      </c>
      <c r="D131" s="49">
        <v>163160238.45965099</v>
      </c>
      <c r="E131" s="50">
        <f>VLOOKUP($A131,'Data shares'!$C:$FA,154)*100</f>
        <v>50.18</v>
      </c>
      <c r="F131" s="173">
        <f>C131/B131</f>
        <v>0.49070000010888365</v>
      </c>
    </row>
    <row r="132" spans="1:6" x14ac:dyDescent="0.25">
      <c r="A132" s="99" t="s">
        <v>487</v>
      </c>
      <c r="B132" s="49">
        <v>17093933</v>
      </c>
      <c r="C132" s="49">
        <v>7519050</v>
      </c>
      <c r="D132" s="49">
        <v>5142485.4241392501</v>
      </c>
      <c r="E132" s="50">
        <f>VLOOKUP($A132,'Data shares'!$C:$FA,154)*100</f>
        <v>44.379999999999995</v>
      </c>
      <c r="F132" s="173">
        <f>C132/B132</f>
        <v>0.43986658892368419</v>
      </c>
    </row>
    <row r="133" spans="1:6" x14ac:dyDescent="0.25">
      <c r="A133" s="99" t="s">
        <v>262</v>
      </c>
      <c r="B133" s="49">
        <v>14790848</v>
      </c>
      <c r="C133" s="49">
        <v>10780275</v>
      </c>
      <c r="D133" s="49">
        <v>4874508.1004042504</v>
      </c>
      <c r="E133" s="50">
        <f>VLOOKUP($A133,'Data shares'!$C:$FA,154)*100</f>
        <v>74.239999999999995</v>
      </c>
      <c r="F133" s="173">
        <f>C133/B133</f>
        <v>0.72884766309544924</v>
      </c>
    </row>
    <row r="134" spans="1:6" x14ac:dyDescent="0.25">
      <c r="A134" s="99" t="s">
        <v>263</v>
      </c>
      <c r="B134" s="49">
        <v>134225816</v>
      </c>
      <c r="C134" s="49">
        <v>146838750</v>
      </c>
      <c r="D134" s="49">
        <v>57678987.689099997</v>
      </c>
      <c r="E134" s="50">
        <f>VLOOKUP($A134,'Data shares'!$C:$FA,154)*100</f>
        <v>112.02000000000001</v>
      </c>
      <c r="F134" s="173">
        <f>C134/B134</f>
        <v>1.0939680187900664</v>
      </c>
    </row>
    <row r="135" spans="1:6" x14ac:dyDescent="0.25">
      <c r="A135" s="99" t="s">
        <v>264</v>
      </c>
      <c r="B135" s="49">
        <v>45110207</v>
      </c>
      <c r="C135" s="49">
        <v>17169000</v>
      </c>
      <c r="D135" s="49">
        <v>10558860.4479037</v>
      </c>
      <c r="E135" s="50">
        <f>VLOOKUP($A135,'Data shares'!$C:$FA,154)*100</f>
        <v>38.450000000000003</v>
      </c>
      <c r="F135" s="173">
        <f>C135/B135</f>
        <v>0.38060122402009816</v>
      </c>
    </row>
    <row r="136" spans="1:6" x14ac:dyDescent="0.25">
      <c r="A136" s="99" t="s">
        <v>550</v>
      </c>
      <c r="B136" s="49">
        <v>154894704</v>
      </c>
      <c r="C136" s="49">
        <v>155155000</v>
      </c>
      <c r="D136" s="49">
        <v>85190143.180480003</v>
      </c>
      <c r="E136" s="50">
        <f>VLOOKUP($A136,'Data shares'!$C:$FA,154)*100</f>
        <v>101.46</v>
      </c>
      <c r="F136" s="173">
        <f>C136/B136</f>
        <v>1.0016804706247413</v>
      </c>
    </row>
    <row r="137" spans="1:6" x14ac:dyDescent="0.25">
      <c r="A137" s="99" t="s">
        <v>265</v>
      </c>
      <c r="B137" s="49">
        <v>71801274</v>
      </c>
      <c r="C137" s="49">
        <v>24539000</v>
      </c>
      <c r="D137" s="49">
        <v>16272816.674175</v>
      </c>
      <c r="E137" s="50">
        <f>VLOOKUP($A137,'Data shares'!$C:$FA,154)*100</f>
        <v>34.489999999999995</v>
      </c>
      <c r="F137" s="173">
        <f>C137/B137</f>
        <v>0.34176273808177832</v>
      </c>
    </row>
    <row r="138" spans="1:6" x14ac:dyDescent="0.25">
      <c r="A138" s="99" t="s">
        <v>585</v>
      </c>
      <c r="B138" s="49">
        <v>491233252</v>
      </c>
      <c r="C138" s="49">
        <v>168672000</v>
      </c>
      <c r="D138" s="49">
        <v>92600434.975871995</v>
      </c>
      <c r="E138" s="50">
        <f>VLOOKUP($A138,'Data shares'!$C:$FA,154)*100</f>
        <v>34.729999999999997</v>
      </c>
      <c r="F138" s="173">
        <f>C138/B138</f>
        <v>0.34336437794728114</v>
      </c>
    </row>
    <row r="139" spans="1:6" x14ac:dyDescent="0.25">
      <c r="A139" s="99" t="s">
        <v>267</v>
      </c>
      <c r="B139" s="49">
        <v>517037525</v>
      </c>
      <c r="C139" s="49">
        <v>519108750</v>
      </c>
      <c r="D139" s="49">
        <v>308527743.24949503</v>
      </c>
      <c r="E139" s="50">
        <f>VLOOKUP($A139,'Data shares'!$C:$FA,154)*100</f>
        <v>101.52000000000001</v>
      </c>
      <c r="F139" s="173">
        <f>C139/B139</f>
        <v>1.0040059471505478</v>
      </c>
    </row>
    <row r="140" spans="1:6" x14ac:dyDescent="0.25">
      <c r="A140" s="99" t="s">
        <v>268</v>
      </c>
      <c r="B140" s="49">
        <v>474131988</v>
      </c>
      <c r="C140" s="49">
        <v>215299500</v>
      </c>
      <c r="D140" s="49">
        <v>99164952.402164996</v>
      </c>
      <c r="E140" s="50"/>
      <c r="F140" s="173">
        <f>C140/B140</f>
        <v>0.45409190995145426</v>
      </c>
    </row>
    <row r="141" spans="1:6" x14ac:dyDescent="0.25">
      <c r="A141" s="99" t="s">
        <v>684</v>
      </c>
      <c r="B141" s="49">
        <v>12267678</v>
      </c>
      <c r="C141" s="49">
        <v>4631000</v>
      </c>
      <c r="D141" s="49">
        <v>1788047.485235</v>
      </c>
      <c r="E141" s="50">
        <f>VLOOKUP($A141,'Data shares'!$C:$FA,154)*100</f>
        <v>39.489999999999995</v>
      </c>
      <c r="F141" s="173">
        <f>C141/B141</f>
        <v>0.37749605100492528</v>
      </c>
    </row>
    <row r="142" spans="1:6" x14ac:dyDescent="0.25">
      <c r="A142" s="99" t="s">
        <v>613</v>
      </c>
      <c r="B142" s="49">
        <v>205483040</v>
      </c>
      <c r="C142" s="49">
        <v>81306250</v>
      </c>
      <c r="D142" s="49">
        <v>44533306.2283125</v>
      </c>
      <c r="E142" s="50">
        <f>VLOOKUP($A142,'Data shares'!$C:$FA,154)*100</f>
        <v>40.660000000000004</v>
      </c>
      <c r="F142" s="173">
        <f>C142/B142</f>
        <v>0.3956835075050476</v>
      </c>
    </row>
    <row r="143" spans="1:6" x14ac:dyDescent="0.25">
      <c r="A143" s="99" t="s">
        <v>528</v>
      </c>
      <c r="B143" s="49">
        <v>17614093</v>
      </c>
      <c r="C143" s="49">
        <v>9510900</v>
      </c>
      <c r="D143" s="49">
        <v>5132573.3831294999</v>
      </c>
      <c r="E143" s="50">
        <f>VLOOKUP($A143,'Data shares'!$C:$FA,154)*100</f>
        <v>54.55</v>
      </c>
      <c r="F143" s="173">
        <f>C143/B143</f>
        <v>0.53995967887758967</v>
      </c>
    </row>
    <row r="144" spans="1:6" x14ac:dyDescent="0.25">
      <c r="A144" s="99" t="s">
        <v>518</v>
      </c>
      <c r="B144" s="49">
        <v>3582756</v>
      </c>
      <c r="C144" s="49">
        <v>2366850</v>
      </c>
      <c r="D144" s="49">
        <v>1223694.0068647501</v>
      </c>
      <c r="E144" s="50">
        <f>VLOOKUP($A144,'Data shares'!$C:$FA,154)*100</f>
        <v>67.2</v>
      </c>
      <c r="F144" s="173">
        <f>C144/B144</f>
        <v>0.66062271614366153</v>
      </c>
    </row>
    <row r="145" spans="1:6" x14ac:dyDescent="0.25">
      <c r="A145" s="99" t="s">
        <v>587</v>
      </c>
      <c r="B145" s="49">
        <v>102006452</v>
      </c>
      <c r="C145" s="49">
        <v>41319600</v>
      </c>
      <c r="D145" s="49">
        <v>19544577.929296002</v>
      </c>
      <c r="E145" s="50">
        <f>VLOOKUP($A145,'Data shares'!$C:$FA,154)*100</f>
        <v>41.53</v>
      </c>
      <c r="F145" s="173">
        <f>C145/B145</f>
        <v>0.40506849507911519</v>
      </c>
    </row>
    <row r="146" spans="1:6" x14ac:dyDescent="0.25">
      <c r="A146" s="99" t="s">
        <v>269</v>
      </c>
      <c r="B146" s="49">
        <v>517141211</v>
      </c>
      <c r="C146" s="49">
        <v>228683250</v>
      </c>
      <c r="D146" s="49">
        <v>104071216.996305</v>
      </c>
      <c r="E146" s="50">
        <f>VLOOKUP($A146,'Data shares'!$C:$FA,154)*100</f>
        <v>44.98</v>
      </c>
      <c r="F146" s="173">
        <f>C146/B146</f>
        <v>0.44220658716754252</v>
      </c>
    </row>
    <row r="147" spans="1:6" x14ac:dyDescent="0.25">
      <c r="A147" s="99" t="s">
        <v>270</v>
      </c>
      <c r="B147" s="49">
        <v>955549</v>
      </c>
      <c r="C147" s="49">
        <v>492780</v>
      </c>
      <c r="D147" s="49">
        <v>240045.60536054999</v>
      </c>
      <c r="E147" s="50">
        <f>VLOOKUP($A147,'Data shares'!$C:$FA,154)*100</f>
        <v>52.449999999999996</v>
      </c>
      <c r="F147" s="173">
        <f>C147/B147</f>
        <v>0.51570353796613255</v>
      </c>
    </row>
    <row r="148" spans="1:6" x14ac:dyDescent="0.25">
      <c r="A148" s="99" t="s">
        <v>665</v>
      </c>
      <c r="B148" s="49">
        <v>50886533</v>
      </c>
      <c r="C148" s="49">
        <v>48164400</v>
      </c>
      <c r="D148" s="49">
        <v>22430916.406512</v>
      </c>
      <c r="E148" s="50">
        <f>VLOOKUP($A148,'Data shares'!$C:$FA,154)*100</f>
        <v>95.06</v>
      </c>
      <c r="F148" s="173">
        <f>C148/B148</f>
        <v>0.94650582699355834</v>
      </c>
    </row>
    <row r="149" spans="1:6" x14ac:dyDescent="0.25">
      <c r="A149" s="99" t="s">
        <v>575</v>
      </c>
      <c r="B149" s="49">
        <v>95799519</v>
      </c>
      <c r="C149" s="49">
        <v>35500350</v>
      </c>
      <c r="D149" s="49">
        <v>17021721.548731498</v>
      </c>
      <c r="E149" s="50">
        <f>VLOOKUP($A149,'Data shares'!$C:$FA,154)*100</f>
        <v>38.11</v>
      </c>
      <c r="F149" s="173">
        <f>C149/B149</f>
        <v>0.37056918834843</v>
      </c>
    </row>
    <row r="150" spans="1:6" x14ac:dyDescent="0.25">
      <c r="A150" s="99" t="s">
        <v>529</v>
      </c>
      <c r="B150" s="49">
        <v>15732422</v>
      </c>
      <c r="C150" s="49">
        <v>4853600</v>
      </c>
      <c r="D150" s="49">
        <v>2503380.8088969998</v>
      </c>
      <c r="E150" s="50">
        <f>VLOOKUP($A150,'Data shares'!$C:$FA,154)*100</f>
        <v>32.35</v>
      </c>
      <c r="F150" s="173">
        <f>C150/B150</f>
        <v>0.30850939543828659</v>
      </c>
    </row>
    <row r="151" spans="1:6" x14ac:dyDescent="0.25">
      <c r="A151" s="99" t="s">
        <v>272</v>
      </c>
      <c r="B151" s="49">
        <v>108255733</v>
      </c>
      <c r="C151" s="49">
        <v>71008700</v>
      </c>
      <c r="D151" s="49">
        <v>38169453.924248002</v>
      </c>
      <c r="E151" s="50">
        <f>VLOOKUP($A151,'Data shares'!$C:$FA,154)*100</f>
        <v>66.820000000000007</v>
      </c>
      <c r="F151" s="173">
        <f>C151/B151</f>
        <v>0.65593477622104324</v>
      </c>
    </row>
    <row r="152" spans="1:6" x14ac:dyDescent="0.25">
      <c r="A152" s="99" t="s">
        <v>273</v>
      </c>
      <c r="B152" s="49">
        <v>217835555</v>
      </c>
      <c r="C152" s="49">
        <v>122370300</v>
      </c>
      <c r="D152" s="49">
        <v>63884218.677864</v>
      </c>
      <c r="E152" s="50">
        <f>VLOOKUP($A152,'Data shares'!$C:$FA,154)*100</f>
        <v>57.320000000000007</v>
      </c>
      <c r="F152" s="173">
        <f>C152/B152</f>
        <v>0.56175540306080884</v>
      </c>
    </row>
    <row r="153" spans="1:6" x14ac:dyDescent="0.25">
      <c r="A153" s="99" t="s">
        <v>679</v>
      </c>
      <c r="B153" s="49">
        <v>24030912</v>
      </c>
      <c r="C153" s="49">
        <v>23076450</v>
      </c>
      <c r="D153" s="49">
        <v>9369242.6987820007</v>
      </c>
      <c r="E153" s="50">
        <f>VLOOKUP($A153,'Data shares'!$C:$FA,154)*100</f>
        <v>98.009999999999991</v>
      </c>
      <c r="F153" s="173">
        <f>C153/B153</f>
        <v>0.9602819069039078</v>
      </c>
    </row>
    <row r="154" spans="1:6" x14ac:dyDescent="0.25">
      <c r="A154" s="99" t="s">
        <v>645</v>
      </c>
      <c r="B154" s="49">
        <v>19533471</v>
      </c>
      <c r="C154" s="49">
        <v>7108150</v>
      </c>
      <c r="D154" s="49">
        <v>4702674.2235305002</v>
      </c>
      <c r="E154" s="50">
        <f>VLOOKUP($A154,'Data shares'!$C:$FA,154)*100</f>
        <v>36.61</v>
      </c>
      <c r="F154" s="173">
        <f>C154/B154</f>
        <v>0.36389589950500861</v>
      </c>
    </row>
    <row r="155" spans="1:6" x14ac:dyDescent="0.25">
      <c r="A155" s="99" t="s">
        <v>274</v>
      </c>
      <c r="B155" s="49">
        <v>31214205</v>
      </c>
      <c r="C155" s="49">
        <v>11795500</v>
      </c>
      <c r="D155" s="49">
        <v>8322182.8266949998</v>
      </c>
      <c r="E155" s="50">
        <f>VLOOKUP($A155,'Data shares'!$C:$FA,154)*100</f>
        <v>38.06</v>
      </c>
      <c r="F155" s="173">
        <f>C155/B155</f>
        <v>0.37788884900320224</v>
      </c>
    </row>
    <row r="156" spans="1:6" x14ac:dyDescent="0.25">
      <c r="A156" s="99" t="s">
        <v>483</v>
      </c>
      <c r="B156" s="49">
        <v>10712372</v>
      </c>
      <c r="C156" s="49">
        <v>6535725</v>
      </c>
      <c r="D156" s="49">
        <v>3085443.16169775</v>
      </c>
      <c r="E156" s="50">
        <f>VLOOKUP($A156,'Data shares'!$C:$FA,154)*100</f>
        <v>62.73</v>
      </c>
      <c r="F156" s="173">
        <f>C156/B156</f>
        <v>0.61010997377611609</v>
      </c>
    </row>
    <row r="157" spans="1:6" x14ac:dyDescent="0.25">
      <c r="A157" s="99" t="s">
        <v>275</v>
      </c>
      <c r="B157" s="49">
        <v>515822637</v>
      </c>
      <c r="C157" s="49">
        <v>437856000</v>
      </c>
      <c r="D157" s="49">
        <v>213242479.55816001</v>
      </c>
      <c r="E157" s="50"/>
      <c r="F157" s="173">
        <f>C157/B157</f>
        <v>0.84884991195142134</v>
      </c>
    </row>
    <row r="158" spans="1:6" x14ac:dyDescent="0.25">
      <c r="A158" s="99" t="s">
        <v>669</v>
      </c>
      <c r="B158" s="49">
        <v>28118603</v>
      </c>
      <c r="C158" s="49">
        <v>19231550</v>
      </c>
      <c r="D158" s="49">
        <v>13314043.353968499</v>
      </c>
      <c r="E158" s="50">
        <f>VLOOKUP($A158,'Data shares'!$C:$FA,154)*100</f>
        <v>69.33</v>
      </c>
      <c r="F158" s="173">
        <f>C158/B158</f>
        <v>0.6839440067488417</v>
      </c>
    </row>
    <row r="159" spans="1:6" x14ac:dyDescent="0.25">
      <c r="A159" s="99" t="s">
        <v>573</v>
      </c>
      <c r="B159" s="49">
        <v>60642005</v>
      </c>
      <c r="C159" s="49">
        <v>15879850</v>
      </c>
      <c r="D159" s="49">
        <v>8895785.5525630005</v>
      </c>
      <c r="E159" s="50">
        <f>VLOOKUP($A159,'Data shares'!$C:$FA,154)*100</f>
        <v>26.71</v>
      </c>
      <c r="F159" s="173">
        <f>C159/B159</f>
        <v>0.26186221910044039</v>
      </c>
    </row>
    <row r="160" spans="1:6" x14ac:dyDescent="0.25">
      <c r="A160" s="99" t="s">
        <v>519</v>
      </c>
      <c r="B160" s="49">
        <v>8688405</v>
      </c>
      <c r="C160" s="49">
        <v>4840500</v>
      </c>
      <c r="D160" s="49">
        <v>3048758.8555549998</v>
      </c>
      <c r="E160" s="50">
        <f>VLOOKUP($A160,'Data shares'!$C:$FA,154)*100</f>
        <v>56.489999999999995</v>
      </c>
      <c r="F160" s="173">
        <f>C160/B160</f>
        <v>0.55712181925221027</v>
      </c>
    </row>
    <row r="161" spans="1:6" x14ac:dyDescent="0.25">
      <c r="A161" s="99" t="s">
        <v>276</v>
      </c>
      <c r="B161" s="49">
        <v>678857930</v>
      </c>
      <c r="C161" s="49">
        <v>189101300</v>
      </c>
      <c r="D161" s="49">
        <v>96169845.335108995</v>
      </c>
      <c r="E161" s="50">
        <f>VLOOKUP($A161,'Data shares'!$C:$FA,154)*100</f>
        <v>28.49</v>
      </c>
      <c r="F161" s="173">
        <f>C161/B161</f>
        <v>0.27855798929829101</v>
      </c>
    </row>
    <row r="162" spans="1:6" x14ac:dyDescent="0.25">
      <c r="A162" s="99" t="s">
        <v>686</v>
      </c>
      <c r="B162" s="49">
        <v>1917916</v>
      </c>
      <c r="C162" s="49">
        <v>947800</v>
      </c>
      <c r="D162" s="49">
        <v>377304.40075299999</v>
      </c>
      <c r="E162" s="50">
        <f>VLOOKUP($A162,'Data shares'!$C:$FA,154)*100</f>
        <v>50.79</v>
      </c>
      <c r="F162" s="173">
        <f>C162/B162</f>
        <v>0.49418222695884489</v>
      </c>
    </row>
    <row r="163" spans="1:6" x14ac:dyDescent="0.25">
      <c r="A163" s="99" t="s">
        <v>677</v>
      </c>
      <c r="B163" s="49">
        <v>107697729</v>
      </c>
      <c r="C163" s="49">
        <v>40341000</v>
      </c>
      <c r="D163" s="49">
        <v>15555398.208866199</v>
      </c>
      <c r="E163" s="50">
        <f>VLOOKUP($A163,'Data shares'!$C:$FA,154)*100</f>
        <v>39.090000000000003</v>
      </c>
      <c r="F163" s="173">
        <f>C163/B163</f>
        <v>0.37457614356937835</v>
      </c>
    </row>
    <row r="164" spans="1:6" x14ac:dyDescent="0.25">
      <c r="A164" s="99" t="s">
        <v>689</v>
      </c>
      <c r="B164" s="49">
        <v>23923093</v>
      </c>
      <c r="C164" s="49">
        <v>11742650</v>
      </c>
      <c r="D164" s="49">
        <v>4685169.0632959995</v>
      </c>
      <c r="E164" s="50">
        <f>VLOOKUP($A164,'Data shares'!$C:$FA,154)*100</f>
        <v>49.919999999999995</v>
      </c>
      <c r="F164" s="173">
        <f>C164/B164</f>
        <v>0.49084999167958759</v>
      </c>
    </row>
    <row r="165" spans="1:6" x14ac:dyDescent="0.25">
      <c r="A165" s="99" t="s">
        <v>605</v>
      </c>
      <c r="B165" s="49">
        <v>22697169</v>
      </c>
      <c r="C165" s="49">
        <v>6890850</v>
      </c>
      <c r="D165" s="49">
        <v>3718333.674567</v>
      </c>
      <c r="E165" s="50">
        <f>VLOOKUP($A165,'Data shares'!$C:$FA,154)*100</f>
        <v>30.880000000000003</v>
      </c>
      <c r="F165" s="173">
        <f>C165/B165</f>
        <v>0.30359953701714959</v>
      </c>
    </row>
    <row r="166" spans="1:6" x14ac:dyDescent="0.25">
      <c r="A166" s="99" t="s">
        <v>279</v>
      </c>
      <c r="B166" s="49">
        <v>91953095</v>
      </c>
      <c r="C166" s="49">
        <v>118957725</v>
      </c>
      <c r="D166" s="49">
        <v>58119136.874682702</v>
      </c>
      <c r="E166" s="50">
        <f>VLOOKUP($A166,'Data shares'!$C:$FA,154)*100</f>
        <v>131.72</v>
      </c>
      <c r="F166" s="173">
        <f>C166/B166</f>
        <v>1.2936783150148454</v>
      </c>
    </row>
    <row r="167" spans="1:6" x14ac:dyDescent="0.25">
      <c r="A167" s="99" t="s">
        <v>280</v>
      </c>
      <c r="B167" s="49">
        <v>187084550</v>
      </c>
      <c r="C167" s="49">
        <v>169738800</v>
      </c>
      <c r="D167" s="49">
        <v>83356836.111499995</v>
      </c>
      <c r="E167" s="50">
        <f>VLOOKUP($A167,'Data shares'!$C:$FA,154)*100</f>
        <v>93.52000000000001</v>
      </c>
      <c r="F167" s="173">
        <f>C167/B167</f>
        <v>0.90728389917820584</v>
      </c>
    </row>
    <row r="168" spans="1:6" x14ac:dyDescent="0.25">
      <c r="A168" s="99" t="s">
        <v>281</v>
      </c>
      <c r="B168" s="49">
        <v>664266681</v>
      </c>
      <c r="C168" s="49">
        <v>190315000</v>
      </c>
      <c r="D168" s="49">
        <v>113981920.97409999</v>
      </c>
      <c r="E168" s="50">
        <f>VLOOKUP($A168,'Data shares'!$C:$FA,154)*100</f>
        <v>29.360000000000003</v>
      </c>
      <c r="F168" s="173">
        <f>C168/B168</f>
        <v>0.28650390790863706</v>
      </c>
    </row>
    <row r="169" spans="1:6" x14ac:dyDescent="0.25">
      <c r="A169" s="99" t="s">
        <v>674</v>
      </c>
      <c r="B169" s="49">
        <v>84941460</v>
      </c>
      <c r="C169" s="49">
        <v>160616050</v>
      </c>
      <c r="D169" s="49">
        <v>57187649.178885497</v>
      </c>
      <c r="E169" s="50">
        <f>VLOOKUP($A169,'Data shares'!$C:$FA,154)*100</f>
        <v>193.71</v>
      </c>
      <c r="F169" s="173">
        <f>C169/B169</f>
        <v>1.8909028641607997</v>
      </c>
    </row>
    <row r="170" spans="1:6" x14ac:dyDescent="0.25">
      <c r="A170" s="99" t="s">
        <v>282</v>
      </c>
      <c r="B170" s="49">
        <v>216861410</v>
      </c>
      <c r="C170" s="49">
        <v>262654800</v>
      </c>
      <c r="D170" s="49">
        <v>183976149.849987</v>
      </c>
      <c r="E170" s="50">
        <f>VLOOKUP($A170,'Data shares'!$C:$FA,154)*100</f>
        <v>122.73</v>
      </c>
      <c r="F170" s="173">
        <f>C170/B170</f>
        <v>1.2111643099618323</v>
      </c>
    </row>
    <row r="171" spans="1:6" x14ac:dyDescent="0.25">
      <c r="A171" s="99" t="s">
        <v>685</v>
      </c>
      <c r="B171" s="49">
        <v>122326971</v>
      </c>
      <c r="C171" s="49">
        <v>158695800</v>
      </c>
      <c r="D171" s="49">
        <v>92690284.179654002</v>
      </c>
      <c r="E171" s="50">
        <f>VLOOKUP($A171,'Data shares'!$C:$FA,154)*100</f>
        <v>132.95999999999998</v>
      </c>
      <c r="F171" s="173">
        <f>C171/B171</f>
        <v>1.2973083425731191</v>
      </c>
    </row>
    <row r="172" spans="1:6" x14ac:dyDescent="0.25">
      <c r="A172" s="99" t="s">
        <v>536</v>
      </c>
      <c r="B172" s="49">
        <v>44836888</v>
      </c>
      <c r="C172" s="49">
        <v>34382400</v>
      </c>
      <c r="D172" s="49">
        <v>18419252.752408002</v>
      </c>
      <c r="E172" s="50">
        <f>VLOOKUP($A172,'Data shares'!$C:$FA,154)*100</f>
        <v>77.78</v>
      </c>
      <c r="F172" s="173">
        <f>C172/B172</f>
        <v>0.76683288099745017</v>
      </c>
    </row>
    <row r="173" spans="1:6" x14ac:dyDescent="0.25">
      <c r="A173" s="99" t="s">
        <v>462</v>
      </c>
      <c r="B173" s="49">
        <v>44756800</v>
      </c>
      <c r="C173" s="49">
        <v>17235375</v>
      </c>
      <c r="D173" s="49">
        <v>10683039.888075</v>
      </c>
      <c r="E173" s="50">
        <f>VLOOKUP($A173,'Data shares'!$C:$FA,154)*100</f>
        <v>38.979999999999997</v>
      </c>
      <c r="F173" s="173">
        <f>C173/B173</f>
        <v>0.38508952829514176</v>
      </c>
    </row>
    <row r="174" spans="1:6" x14ac:dyDescent="0.25">
      <c r="A174" s="99" t="s">
        <v>283</v>
      </c>
      <c r="B174" s="49">
        <v>436949195</v>
      </c>
      <c r="C174" s="49">
        <v>205377000</v>
      </c>
      <c r="D174" s="49">
        <v>70779733.817385003</v>
      </c>
      <c r="E174" s="50">
        <f>VLOOKUP($A174,'Data shares'!$C:$FA,154)*100</f>
        <v>49.059999999999995</v>
      </c>
      <c r="F174" s="173">
        <f>C174/B174</f>
        <v>0.47002489614381826</v>
      </c>
    </row>
    <row r="175" spans="1:6" x14ac:dyDescent="0.25">
      <c r="A175" s="99" t="s">
        <v>284</v>
      </c>
      <c r="B175" s="49">
        <v>1568093</v>
      </c>
      <c r="C175" s="49">
        <v>545925</v>
      </c>
      <c r="D175" s="49">
        <v>320631.53104949999</v>
      </c>
      <c r="E175" s="50">
        <f>VLOOKUP($A175,'Data shares'!$C:$FA,154)*100</f>
        <v>35.480000000000004</v>
      </c>
      <c r="F175" s="173">
        <f>C175/B175</f>
        <v>0.34814580512762955</v>
      </c>
    </row>
    <row r="176" spans="1:6" x14ac:dyDescent="0.25">
      <c r="A176" s="99" t="s">
        <v>562</v>
      </c>
      <c r="B176" s="49">
        <v>210513975</v>
      </c>
      <c r="C176" s="49">
        <v>56934075</v>
      </c>
      <c r="D176" s="49">
        <v>37560646.150227703</v>
      </c>
      <c r="E176" s="50">
        <f>VLOOKUP($A176,'Data shares'!$C:$FA,154)*100</f>
        <v>27.560000000000002</v>
      </c>
      <c r="F176" s="173">
        <f>C176/B176</f>
        <v>0.27045270984978553</v>
      </c>
    </row>
    <row r="177" spans="1:6" x14ac:dyDescent="0.25">
      <c r="A177" s="99" t="s">
        <v>285</v>
      </c>
      <c r="B177" s="49">
        <v>13354588</v>
      </c>
      <c r="C177" s="49">
        <v>5331200</v>
      </c>
      <c r="D177" s="49">
        <v>2511951.5506732501</v>
      </c>
      <c r="E177" s="50">
        <f>VLOOKUP($A177,'Data shares'!$C:$FA,154)*100</f>
        <v>41.449999999999996</v>
      </c>
      <c r="F177" s="173">
        <f>C177/B177</f>
        <v>0.39920362949422328</v>
      </c>
    </row>
    <row r="178" spans="1:6" x14ac:dyDescent="0.25">
      <c r="A178" s="99" t="s">
        <v>646</v>
      </c>
      <c r="B178" s="49">
        <v>3644817</v>
      </c>
      <c r="C178" s="49">
        <v>1722550</v>
      </c>
      <c r="D178" s="49">
        <v>868616.39268449997</v>
      </c>
      <c r="E178" s="50">
        <f>VLOOKUP($A178,'Data shares'!$C:$FA,154)*100</f>
        <v>48.3</v>
      </c>
      <c r="F178" s="173">
        <f>C178/B178</f>
        <v>0.47260260254492886</v>
      </c>
    </row>
    <row r="179" spans="1:6" x14ac:dyDescent="0.25">
      <c r="A179" s="99" t="s">
        <v>614</v>
      </c>
      <c r="B179" s="49">
        <v>67126548</v>
      </c>
      <c r="C179" s="49">
        <v>22994475</v>
      </c>
      <c r="D179" s="49">
        <v>13340755.9880017</v>
      </c>
      <c r="E179" s="50">
        <f>VLOOKUP($A179,'Data shares'!$C:$FA,154)*100</f>
        <v>34.549999999999997</v>
      </c>
      <c r="F179" s="173">
        <f>C179/B179</f>
        <v>0.34255411137781133</v>
      </c>
    </row>
    <row r="180" spans="1:6" x14ac:dyDescent="0.25">
      <c r="A180" s="99" t="s">
        <v>286</v>
      </c>
      <c r="B180" s="49">
        <v>18529108</v>
      </c>
      <c r="C180" s="49">
        <v>5665600</v>
      </c>
      <c r="D180" s="49">
        <v>3591684.4461340001</v>
      </c>
      <c r="E180" s="50">
        <f>VLOOKUP($A180,'Data shares'!$C:$FA,154)*100</f>
        <v>31.380000000000003</v>
      </c>
      <c r="F180" s="173">
        <f>C180/B180</f>
        <v>0.30576755232901659</v>
      </c>
    </row>
    <row r="181" spans="1:6" x14ac:dyDescent="0.25">
      <c r="A181" s="99" t="s">
        <v>288</v>
      </c>
      <c r="B181" s="49">
        <v>109220043</v>
      </c>
      <c r="C181" s="49">
        <v>44955750</v>
      </c>
      <c r="D181" s="49">
        <v>24828957.648603499</v>
      </c>
      <c r="E181" s="50">
        <f>VLOOKUP($A181,'Data shares'!$C:$FA,154)*100</f>
        <v>41.78</v>
      </c>
      <c r="F181" s="173">
        <f>C181/B181</f>
        <v>0.41160714430409079</v>
      </c>
    </row>
    <row r="182" spans="1:6" x14ac:dyDescent="0.25">
      <c r="A182" s="99" t="s">
        <v>574</v>
      </c>
      <c r="B182" s="49">
        <v>9736357</v>
      </c>
      <c r="C182" s="49">
        <v>2961700</v>
      </c>
      <c r="D182" s="49">
        <v>1536054.3663989999</v>
      </c>
      <c r="E182" s="50">
        <f>VLOOKUP($A182,'Data shares'!$C:$FA,154)*100</f>
        <v>30.79</v>
      </c>
      <c r="F182" s="173">
        <f>C182/B182</f>
        <v>0.30418974982121139</v>
      </c>
    </row>
    <row r="183" spans="1:6" x14ac:dyDescent="0.25">
      <c r="A183" s="99" t="s">
        <v>683</v>
      </c>
      <c r="B183" s="49">
        <v>1814982173</v>
      </c>
      <c r="C183" s="49">
        <v>614801050</v>
      </c>
      <c r="D183" s="49">
        <v>263850307.18065801</v>
      </c>
      <c r="E183" s="50">
        <f>VLOOKUP($A183,'Data shares'!$C:$FA,154)*100</f>
        <v>34.880000000000003</v>
      </c>
      <c r="F183" s="173">
        <f>C183/B183</f>
        <v>0.33873668796635614</v>
      </c>
    </row>
    <row r="184" spans="1:6" x14ac:dyDescent="0.25">
      <c r="A184" s="99" t="s">
        <v>692</v>
      </c>
      <c r="B184" s="49">
        <v>375529891</v>
      </c>
      <c r="C184" s="49">
        <v>54161900</v>
      </c>
      <c r="D184" s="49">
        <v>35520766.261863999</v>
      </c>
      <c r="E184" s="50">
        <f>VLOOKUP($A184,'Data shares'!$C:$FA,154)*100</f>
        <v>14.66</v>
      </c>
      <c r="F184" s="173">
        <f>C184/B184</f>
        <v>0.14422793311012358</v>
      </c>
    </row>
    <row r="185" spans="1:6" x14ac:dyDescent="0.25">
      <c r="A185" s="99" t="s">
        <v>520</v>
      </c>
      <c r="B185" s="49">
        <v>24733183</v>
      </c>
      <c r="C185" s="49">
        <v>25800000</v>
      </c>
      <c r="D185" s="49">
        <v>9567738.26877</v>
      </c>
      <c r="E185" s="50">
        <f>VLOOKUP($A185,'Data shares'!$C:$FA,154)*100</f>
        <v>106.21000000000001</v>
      </c>
      <c r="F185" s="173">
        <f>C185/B185</f>
        <v>1.0431330249729684</v>
      </c>
    </row>
    <row r="186" spans="1:6" x14ac:dyDescent="0.25">
      <c r="A186" s="99" t="s">
        <v>291</v>
      </c>
      <c r="B186" s="49">
        <v>65472326</v>
      </c>
      <c r="C186" s="49">
        <v>21090300</v>
      </c>
      <c r="D186" s="49">
        <v>13368454.048647501</v>
      </c>
      <c r="E186" s="50">
        <f>VLOOKUP($A186,'Data shares'!$C:$FA,154)*100</f>
        <v>32.82</v>
      </c>
      <c r="F186" s="173">
        <f>C186/B186</f>
        <v>0.3221254121932372</v>
      </c>
    </row>
    <row r="187" spans="1:6" x14ac:dyDescent="0.25">
      <c r="A187" s="99" t="s">
        <v>604</v>
      </c>
      <c r="B187" s="49">
        <v>5241546</v>
      </c>
      <c r="C187" s="49">
        <v>3810800</v>
      </c>
      <c r="D187" s="49">
        <v>1182184.8231240001</v>
      </c>
      <c r="E187" s="50"/>
      <c r="F187" s="173">
        <f>C187/B187</f>
        <v>0.72703740461306643</v>
      </c>
    </row>
    <row r="188" spans="1:6" x14ac:dyDescent="0.25">
      <c r="A188" s="99" t="s">
        <v>293</v>
      </c>
      <c r="B188" s="49">
        <v>202215001</v>
      </c>
      <c r="C188" s="49">
        <v>117899500</v>
      </c>
      <c r="D188" s="49">
        <v>52571696.067504004</v>
      </c>
      <c r="E188" s="50">
        <f>VLOOKUP($A188,'Data shares'!$C:$FA,154)*100</f>
        <v>59.589999999999996</v>
      </c>
      <c r="F188" s="173">
        <f>C188/B188</f>
        <v>0.5830403254801062</v>
      </c>
    </row>
    <row r="189" spans="1:6" x14ac:dyDescent="0.25">
      <c r="A189" s="99" t="s">
        <v>294</v>
      </c>
      <c r="B189" s="49">
        <v>872935214</v>
      </c>
      <c r="C189" s="49">
        <v>464310000</v>
      </c>
      <c r="D189" s="49">
        <v>228417994.69010499</v>
      </c>
      <c r="E189" s="50">
        <f>VLOOKUP($A189,'Data shares'!$C:$FA,154)*100</f>
        <v>54.43</v>
      </c>
      <c r="F189" s="173">
        <f>C189/B189</f>
        <v>0.53189514244982672</v>
      </c>
    </row>
    <row r="190" spans="1:6" x14ac:dyDescent="0.25">
      <c r="A190" s="99" t="s">
        <v>663</v>
      </c>
      <c r="B190" s="49">
        <v>25116370</v>
      </c>
      <c r="C190" s="49">
        <v>20568000</v>
      </c>
      <c r="D190" s="49">
        <v>9651614.5282240007</v>
      </c>
      <c r="E190" s="50">
        <f>VLOOKUP($A190,'Data shares'!$C:$FA,154)*100</f>
        <v>83.15</v>
      </c>
      <c r="F190" s="173">
        <f>C190/B190</f>
        <v>0.81890814636032194</v>
      </c>
    </row>
    <row r="191" spans="1:6" x14ac:dyDescent="0.25">
      <c r="A191" s="99" t="s">
        <v>295</v>
      </c>
      <c r="B191" s="49">
        <v>126444612</v>
      </c>
      <c r="C191" s="49">
        <v>58850225</v>
      </c>
      <c r="D191" s="49">
        <v>25990720.378763001</v>
      </c>
      <c r="E191" s="50">
        <f>VLOOKUP($A191,'Data shares'!$C:$FA,154)*100</f>
        <v>48.65</v>
      </c>
      <c r="F191" s="173">
        <f>C191/B191</f>
        <v>0.46542295530947575</v>
      </c>
    </row>
    <row r="192" spans="1:6" x14ac:dyDescent="0.25">
      <c r="A192" s="99" t="s">
        <v>296</v>
      </c>
      <c r="B192" s="49">
        <v>80031540</v>
      </c>
      <c r="C192" s="49">
        <v>31766400</v>
      </c>
      <c r="D192" s="49">
        <v>17142666.455958001</v>
      </c>
      <c r="E192" s="50">
        <f>VLOOKUP($A192,'Data shares'!$C:$FA,154)*100</f>
        <v>40.61</v>
      </c>
      <c r="F192" s="173">
        <f>C192/B192</f>
        <v>0.39692351290503719</v>
      </c>
    </row>
    <row r="193" spans="1:6" x14ac:dyDescent="0.25">
      <c r="A193" s="99" t="s">
        <v>595</v>
      </c>
      <c r="B193" s="49">
        <v>15879795</v>
      </c>
      <c r="C193" s="49">
        <v>6075400</v>
      </c>
      <c r="D193" s="49">
        <v>3490488.7631879998</v>
      </c>
      <c r="E193" s="50"/>
      <c r="F193" s="173">
        <f>C193/B193</f>
        <v>0.38258680291527691</v>
      </c>
    </row>
    <row r="194" spans="1:6" x14ac:dyDescent="0.25">
      <c r="A194" s="99" t="s">
        <v>297</v>
      </c>
      <c r="B194" s="49">
        <v>45680146</v>
      </c>
      <c r="C194" s="49">
        <v>21971775</v>
      </c>
      <c r="D194" s="49">
        <v>10910562.4770415</v>
      </c>
      <c r="E194" s="50">
        <f>VLOOKUP($A194,'Data shares'!$C:$FA,154)*100</f>
        <v>50.519999999999996</v>
      </c>
      <c r="F194" s="173">
        <f>C194/B194</f>
        <v>0.48099178579683172</v>
      </c>
    </row>
    <row r="195" spans="1:6" x14ac:dyDescent="0.25">
      <c r="A195" s="99" t="s">
        <v>688</v>
      </c>
      <c r="B195" s="49">
        <v>317235726</v>
      </c>
      <c r="C195" s="49">
        <v>149350400</v>
      </c>
      <c r="D195" s="49">
        <v>79833933.481775999</v>
      </c>
      <c r="E195" s="50">
        <f>VLOOKUP($A195,'Data shares'!$C:$FA,154)*100</f>
        <v>48.120000000000005</v>
      </c>
      <c r="F195" s="173">
        <f>C195/B195</f>
        <v>0.47078682430616281</v>
      </c>
    </row>
    <row r="196" spans="1:6" x14ac:dyDescent="0.25">
      <c r="A196" s="99" t="s">
        <v>298</v>
      </c>
      <c r="B196" s="49">
        <v>10726004</v>
      </c>
      <c r="C196" s="49">
        <v>3849500</v>
      </c>
      <c r="D196" s="49">
        <v>2848918.7836825</v>
      </c>
      <c r="E196" s="50">
        <f>VLOOKUP($A196,'Data shares'!$C:$FA,154)*100</f>
        <v>36.520000000000003</v>
      </c>
      <c r="F196" s="173">
        <f>C196/B196</f>
        <v>0.35889414175120576</v>
      </c>
    </row>
    <row r="197" spans="1:6" x14ac:dyDescent="0.25">
      <c r="A197" s="99" t="s">
        <v>299</v>
      </c>
      <c r="B197" s="49">
        <v>24646022</v>
      </c>
      <c r="C197" s="49">
        <v>10300725</v>
      </c>
      <c r="D197" s="49">
        <v>4619752.0846292498</v>
      </c>
      <c r="E197" s="50">
        <f>VLOOKUP($A197,'Data shares'!$C:$FA,154)*100</f>
        <v>42.66</v>
      </c>
      <c r="F197" s="173">
        <f>C197/B197</f>
        <v>0.41794675830444361</v>
      </c>
    </row>
    <row r="198" spans="1:6" x14ac:dyDescent="0.25">
      <c r="A198" s="99" t="s">
        <v>482</v>
      </c>
      <c r="B198" s="49">
        <v>33590487</v>
      </c>
      <c r="C198" s="49">
        <v>14112300</v>
      </c>
      <c r="D198" s="49">
        <v>7368385.1158769997</v>
      </c>
      <c r="E198" s="50"/>
      <c r="F198" s="173">
        <f>C198/B198</f>
        <v>0.42012787727668255</v>
      </c>
    </row>
    <row r="199" spans="1:6" x14ac:dyDescent="0.25">
      <c r="A199" s="99" t="s">
        <v>300</v>
      </c>
      <c r="B199" s="49">
        <v>31634588</v>
      </c>
      <c r="C199" s="49">
        <v>11510625</v>
      </c>
      <c r="D199" s="49">
        <v>8376065.3082662504</v>
      </c>
      <c r="E199" s="50">
        <f>VLOOKUP($A199,'Data shares'!$C:$FA,154)*100</f>
        <v>36.97</v>
      </c>
      <c r="F199" s="173">
        <f>C199/B199</f>
        <v>0.36386201710608657</v>
      </c>
    </row>
    <row r="200" spans="1:6" x14ac:dyDescent="0.25">
      <c r="A200" s="99" t="s">
        <v>302</v>
      </c>
      <c r="B200" s="49">
        <v>11955674</v>
      </c>
      <c r="C200" s="49">
        <v>3541650</v>
      </c>
      <c r="D200" s="49">
        <v>2432663.7425124999</v>
      </c>
      <c r="E200" s="50">
        <f>VLOOKUP($A200,'Data shares'!$C:$FA,154)*100</f>
        <v>30.4</v>
      </c>
      <c r="F200" s="173">
        <f>C200/B200</f>
        <v>0.29623173064103286</v>
      </c>
    </row>
    <row r="201" spans="1:6" x14ac:dyDescent="0.25">
      <c r="A201" s="99" t="s">
        <v>593</v>
      </c>
      <c r="B201" s="49">
        <v>289041713</v>
      </c>
      <c r="C201" s="49">
        <v>130626000</v>
      </c>
      <c r="D201" s="49">
        <v>60099999.5478765</v>
      </c>
      <c r="E201" s="50">
        <f>VLOOKUP($A201,'Data shares'!$C:$FA,154)*100</f>
        <v>46.42</v>
      </c>
      <c r="F201" s="173">
        <f>C201/B201</f>
        <v>0.45192785028920723</v>
      </c>
    </row>
    <row r="202" spans="1:6" x14ac:dyDescent="0.25">
      <c r="A202" s="99" t="s">
        <v>569</v>
      </c>
      <c r="B202" s="49">
        <v>37091426</v>
      </c>
      <c r="C202" s="49">
        <v>15276000</v>
      </c>
      <c r="D202" s="49">
        <v>9604890.6284200009</v>
      </c>
      <c r="E202" s="50">
        <f>VLOOKUP($A202,'Data shares'!$C:$FA,154)*100</f>
        <v>41.63</v>
      </c>
      <c r="F202" s="173">
        <f>C202/B202</f>
        <v>0.41184720156081356</v>
      </c>
    </row>
    <row r="203" spans="1:6" x14ac:dyDescent="0.25">
      <c r="A203" s="99" t="s">
        <v>673</v>
      </c>
      <c r="B203" s="49">
        <v>27292222</v>
      </c>
      <c r="C203" s="49">
        <v>9493000</v>
      </c>
      <c r="D203" s="49">
        <v>6419333.1030235002</v>
      </c>
      <c r="E203" s="50">
        <f>VLOOKUP($A203,'Data shares'!$C:$FA,154)*100</f>
        <v>35.21</v>
      </c>
      <c r="F203" s="173">
        <f>C203/B203</f>
        <v>0.34782803686706049</v>
      </c>
    </row>
    <row r="204" spans="1:6" x14ac:dyDescent="0.25">
      <c r="A204" s="99" t="s">
        <v>303</v>
      </c>
      <c r="B204" s="49">
        <v>84228583</v>
      </c>
      <c r="C204" s="49">
        <v>49618745</v>
      </c>
      <c r="D204" s="49">
        <v>26446030.322187599</v>
      </c>
      <c r="E204" s="50">
        <f>VLOOKUP($A204,'Data shares'!$C:$FA,154)*100</f>
        <v>59.8</v>
      </c>
      <c r="F204" s="173">
        <f>C204/B204</f>
        <v>0.58909628100950007</v>
      </c>
    </row>
    <row r="205" spans="1:6" x14ac:dyDescent="0.25">
      <c r="A205" s="99" t="s">
        <v>586</v>
      </c>
      <c r="B205" s="49">
        <v>205761118</v>
      </c>
      <c r="C205" s="49">
        <v>79284375</v>
      </c>
      <c r="D205" s="49">
        <v>42875314.035063699</v>
      </c>
      <c r="E205" s="50">
        <f>VLOOKUP($A205,'Data shares'!$C:$FA,154)*100</f>
        <v>39</v>
      </c>
      <c r="F205" s="173">
        <f>C205/B205</f>
        <v>0.38532243492183982</v>
      </c>
    </row>
    <row r="206" spans="1:6" x14ac:dyDescent="0.25">
      <c r="A206" s="99" t="s">
        <v>304</v>
      </c>
      <c r="B206" s="49">
        <v>255091106</v>
      </c>
      <c r="C206" s="49">
        <v>170082700</v>
      </c>
      <c r="D206" s="49">
        <v>80093215.981750995</v>
      </c>
      <c r="E206" s="50">
        <f>VLOOKUP($A206,'Data shares'!$C:$FA,154)*100</f>
        <v>68.239999999999995</v>
      </c>
      <c r="F206" s="173">
        <f>C206/B206</f>
        <v>0.66675276401051786</v>
      </c>
    </row>
    <row r="207" spans="1:6" x14ac:dyDescent="0.25">
      <c r="A207" s="99" t="s">
        <v>305</v>
      </c>
      <c r="B207" s="49">
        <v>34594689</v>
      </c>
      <c r="C207" s="49">
        <v>18099750</v>
      </c>
      <c r="D207" s="49">
        <v>10320492.39474</v>
      </c>
      <c r="E207" s="50">
        <f>VLOOKUP($A207,'Data shares'!$C:$FA,154)*100</f>
        <v>54.54</v>
      </c>
      <c r="F207" s="173">
        <f>C207/B207</f>
        <v>0.52319447068883895</v>
      </c>
    </row>
    <row r="208" spans="1:6" x14ac:dyDescent="0.25">
      <c r="A208" s="99" t="s">
        <v>691</v>
      </c>
      <c r="B208" s="49">
        <v>15436318</v>
      </c>
      <c r="C208" s="49">
        <v>4863425</v>
      </c>
      <c r="D208" s="49">
        <v>2013452.4678012501</v>
      </c>
      <c r="E208" s="50">
        <f>VLOOKUP($A208,'Data shares'!$C:$FA,154)*100</f>
        <v>32.019999999999996</v>
      </c>
      <c r="F208" s="173">
        <f>C208/B208</f>
        <v>0.31506379954079722</v>
      </c>
    </row>
    <row r="209" spans="1:6" x14ac:dyDescent="0.25">
      <c r="A209" s="99" t="s">
        <v>306</v>
      </c>
      <c r="B209" s="49">
        <v>358423198</v>
      </c>
      <c r="C209" s="49">
        <v>306333000</v>
      </c>
      <c r="D209" s="49">
        <v>119360672.87864999</v>
      </c>
      <c r="E209" s="50">
        <f>VLOOKUP($A209,'Data shares'!$C:$FA,154)*100</f>
        <v>88.26</v>
      </c>
      <c r="F209" s="173">
        <f>C209/B209</f>
        <v>0.85466845257041646</v>
      </c>
    </row>
    <row r="210" spans="1:6" x14ac:dyDescent="0.25">
      <c r="A210" s="99" t="s">
        <v>590</v>
      </c>
      <c r="B210" s="49">
        <v>3547322779</v>
      </c>
      <c r="C210" s="49">
        <v>1738147900</v>
      </c>
      <c r="D210" s="49">
        <v>932900191.621207</v>
      </c>
      <c r="E210" s="50">
        <f>VLOOKUP($A210,'Data shares'!$C:$FA,154)*100</f>
        <v>50.029999999999994</v>
      </c>
      <c r="F210" s="173">
        <f>C210/B210</f>
        <v>0.48998865011375947</v>
      </c>
    </row>
    <row r="211" spans="1:6" x14ac:dyDescent="0.25">
      <c r="A211" s="99" t="s">
        <v>557</v>
      </c>
      <c r="B211" s="49">
        <v>37741451</v>
      </c>
      <c r="C211" s="49">
        <v>25580700</v>
      </c>
      <c r="D211" s="49">
        <v>10393740.166742999</v>
      </c>
      <c r="E211" s="50">
        <f>VLOOKUP($A211,'Data shares'!$C:$FA,154)*100</f>
        <v>70.25</v>
      </c>
      <c r="F211" s="173">
        <f>C211/B211</f>
        <v>0.677787931364907</v>
      </c>
    </row>
    <row r="212" spans="1:6" x14ac:dyDescent="0.25">
      <c r="A212" s="99"/>
      <c r="B212" s="49"/>
      <c r="C212" s="49"/>
      <c r="D212" s="49"/>
      <c r="E212" s="50"/>
      <c r="F212" s="173"/>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1">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topLeftCell="A229" zoomScaleNormal="100" workbookViewId="0">
      <selection activeCell="J26" sqref="J26"/>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2" t="s">
        <v>420</v>
      </c>
      <c r="B4" s="323"/>
      <c r="C4" s="323"/>
      <c r="D4" s="323"/>
      <c r="E4" s="323"/>
      <c r="F4" s="323"/>
      <c r="G4" s="323"/>
      <c r="H4" s="323"/>
      <c r="I4" s="323"/>
      <c r="J4" s="323"/>
      <c r="K4" s="323"/>
      <c r="L4" s="323"/>
      <c r="M4" s="323"/>
      <c r="N4" s="324"/>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5" t="s">
        <v>380</v>
      </c>
      <c r="B3" s="326"/>
      <c r="C3" s="326"/>
      <c r="D3" s="326"/>
      <c r="E3" s="326"/>
      <c r="F3" s="326"/>
      <c r="G3" s="327"/>
    </row>
    <row r="4" spans="1:7" s="72" customFormat="1" x14ac:dyDescent="0.25">
      <c r="A4" s="108" t="s">
        <v>330</v>
      </c>
      <c r="B4" s="328" t="s">
        <v>380</v>
      </c>
      <c r="C4" s="328"/>
      <c r="D4" s="328"/>
      <c r="E4" s="328"/>
      <c r="F4" s="328"/>
      <c r="G4" s="328"/>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5.1100000000000003</v>
      </c>
      <c r="F6" s="49">
        <f>VLOOKUP($A6,'Data shares'!$C:$FA,129)</f>
        <v>612250</v>
      </c>
      <c r="G6" s="17"/>
    </row>
    <row r="7" spans="1:7" x14ac:dyDescent="0.25">
      <c r="A7" s="101" t="s">
        <v>228</v>
      </c>
      <c r="B7" s="17">
        <v>292206563</v>
      </c>
      <c r="C7" s="17">
        <v>71903525</v>
      </c>
      <c r="D7" s="17">
        <f t="shared" ref="D7:D70" si="0">C7</f>
        <v>71903525</v>
      </c>
      <c r="E7" s="49">
        <f>VLOOKUP($A7,'Data shares'!$C:$FA,128)*100</f>
        <v>6.17</v>
      </c>
      <c r="F7" s="49">
        <f>VLOOKUP($A7,'Data shares'!$C:$FA,129)</f>
        <v>2415700</v>
      </c>
      <c r="G7" s="17"/>
    </row>
    <row r="8" spans="1:7" x14ac:dyDescent="0.25">
      <c r="A8" s="101" t="s">
        <v>200</v>
      </c>
      <c r="B8" s="17">
        <v>417418754</v>
      </c>
      <c r="C8" s="17">
        <v>109662000</v>
      </c>
      <c r="D8" s="17">
        <f t="shared" si="0"/>
        <v>109662000</v>
      </c>
      <c r="E8" s="49">
        <f>VLOOKUP($A8,'Data shares'!$C:$FA,128)*100</f>
        <v>4.3600000000000003</v>
      </c>
      <c r="F8" s="49">
        <f>VLOOKUP($A8,'Data shares'!$C:$FA,129)</f>
        <v>1906200</v>
      </c>
      <c r="G8" s="17"/>
    </row>
    <row r="9" spans="1:7" x14ac:dyDescent="0.25">
      <c r="A9" s="101" t="s">
        <v>214</v>
      </c>
      <c r="B9" s="17">
        <v>30110093</v>
      </c>
      <c r="C9" s="17">
        <v>10703050</v>
      </c>
      <c r="D9" s="17">
        <f t="shared" si="0"/>
        <v>10703050</v>
      </c>
      <c r="E9" s="49">
        <f>VLOOKUP($A9,'Data shares'!$C:$FA,128)*100</f>
        <v>0.86999999999999988</v>
      </c>
      <c r="F9" s="49">
        <f>VLOOKUP($A9,'Data shares'!$C:$FA,129)</f>
        <v>96375</v>
      </c>
      <c r="G9" s="17"/>
    </row>
    <row r="10" spans="1:7" x14ac:dyDescent="0.25">
      <c r="A10" s="101" t="s">
        <v>243</v>
      </c>
      <c r="B10" s="17">
        <v>80699820</v>
      </c>
      <c r="C10" s="17">
        <v>65367500</v>
      </c>
      <c r="D10" s="17">
        <f t="shared" si="0"/>
        <v>65367500</v>
      </c>
      <c r="E10" s="49">
        <f>VLOOKUP($A10,'Data shares'!$C:$FA,128)*100</f>
        <v>3.1399999999999997</v>
      </c>
      <c r="F10" s="49">
        <f>VLOOKUP($A10,'Data shares'!$C:$FA,129)</f>
        <v>346875</v>
      </c>
      <c r="G10" s="17"/>
    </row>
    <row r="11" spans="1:7" x14ac:dyDescent="0.25">
      <c r="A11" s="101" t="s">
        <v>231</v>
      </c>
      <c r="B11" s="17">
        <v>80556813</v>
      </c>
      <c r="C11" s="17">
        <v>62967200</v>
      </c>
      <c r="D11" s="17">
        <f t="shared" si="0"/>
        <v>62967200</v>
      </c>
      <c r="E11" s="49">
        <f>VLOOKUP($A11,'Data shares'!$C:$FA,128)*100</f>
        <v>6.81</v>
      </c>
      <c r="F11" s="49">
        <f>VLOOKUP($A11,'Data shares'!$C:$FA,129)</f>
        <v>2605725</v>
      </c>
      <c r="G11" s="17"/>
    </row>
    <row r="12" spans="1:7" x14ac:dyDescent="0.25">
      <c r="A12" s="101" t="s">
        <v>195</v>
      </c>
      <c r="B12" s="17">
        <v>23823080</v>
      </c>
      <c r="C12" s="17">
        <v>2862400</v>
      </c>
      <c r="D12" s="17">
        <f t="shared" si="0"/>
        <v>2862400</v>
      </c>
      <c r="E12" s="49">
        <f>VLOOKUP($A12,'Data shares'!$C:$FA,128)*100</f>
        <v>0.69</v>
      </c>
      <c r="F12" s="49">
        <f>VLOOKUP($A12,'Data shares'!$C:$FA,129)</f>
        <v>21000</v>
      </c>
      <c r="G12" s="17"/>
    </row>
    <row r="13" spans="1:7" x14ac:dyDescent="0.25">
      <c r="A13" s="101" t="s">
        <v>304</v>
      </c>
      <c r="B13" s="17">
        <v>223492679</v>
      </c>
      <c r="C13" s="17">
        <v>98465300</v>
      </c>
      <c r="D13" s="17">
        <f t="shared" si="0"/>
        <v>98465300</v>
      </c>
      <c r="E13" s="49">
        <f>VLOOKUP($A13,'Data shares'!$C:$FA,128)*100</f>
        <v>8.2900000000000009</v>
      </c>
      <c r="F13" s="49">
        <f>VLOOKUP($A13,'Data shares'!$C:$FA,129)</f>
        <v>6721750</v>
      </c>
      <c r="G13" s="17"/>
    </row>
    <row r="14" spans="1:7" x14ac:dyDescent="0.25">
      <c r="A14" s="101" t="s">
        <v>167</v>
      </c>
      <c r="B14" s="17">
        <v>282181803</v>
      </c>
      <c r="C14" s="17">
        <v>95526000</v>
      </c>
      <c r="D14" s="17">
        <f t="shared" si="0"/>
        <v>95526000</v>
      </c>
      <c r="E14" s="49">
        <f>VLOOKUP($A14,'Data shares'!$C:$FA,128)*100</f>
        <v>9.06</v>
      </c>
      <c r="F14" s="49">
        <f>VLOOKUP($A14,'Data shares'!$C:$FA,129)</f>
        <v>12585000</v>
      </c>
      <c r="G14" s="17"/>
    </row>
    <row r="15" spans="1:7" x14ac:dyDescent="0.25">
      <c r="A15" s="101" t="s">
        <v>222</v>
      </c>
      <c r="B15" s="17">
        <v>214194964</v>
      </c>
      <c r="C15" s="17">
        <v>37437400</v>
      </c>
      <c r="D15" s="17">
        <f t="shared" si="0"/>
        <v>37437400</v>
      </c>
      <c r="E15" s="49">
        <f>VLOOKUP($A15,'Data shares'!$C:$FA,128)*100</f>
        <v>4.91</v>
      </c>
      <c r="F15" s="49">
        <f>VLOOKUP($A15,'Data shares'!$C:$FA,129)</f>
        <v>886550</v>
      </c>
      <c r="G15" s="17"/>
    </row>
    <row r="16" spans="1:7" x14ac:dyDescent="0.25">
      <c r="A16" s="101" t="s">
        <v>290</v>
      </c>
      <c r="B16" s="17">
        <v>31601465</v>
      </c>
      <c r="C16" s="17">
        <v>13192000</v>
      </c>
      <c r="D16" s="17">
        <f t="shared" si="0"/>
        <v>13192000</v>
      </c>
      <c r="E16" s="49">
        <f>VLOOKUP($A16,'Data shares'!$C:$FA,128)*100</f>
        <v>7.93</v>
      </c>
      <c r="F16" s="49">
        <f>VLOOKUP($A16,'Data shares'!$C:$FA,129)</f>
        <v>761000</v>
      </c>
      <c r="G16" s="17"/>
    </row>
    <row r="17" spans="1:7" x14ac:dyDescent="0.25">
      <c r="A17" s="101" t="s">
        <v>500</v>
      </c>
      <c r="B17" s="17">
        <v>24930381</v>
      </c>
      <c r="C17" s="17">
        <v>1925625</v>
      </c>
      <c r="D17" s="17">
        <f t="shared" si="0"/>
        <v>1925625</v>
      </c>
      <c r="E17" s="49">
        <f>VLOOKUP($A17,'Data shares'!$C:$FA,128)*100</f>
        <v>5.57</v>
      </c>
      <c r="F17" s="49">
        <f>VLOOKUP($A17,'Data shares'!$C:$FA,129)</f>
        <v>1710000</v>
      </c>
      <c r="G17" s="17"/>
    </row>
    <row r="18" spans="1:7" x14ac:dyDescent="0.25">
      <c r="A18" s="101" t="s">
        <v>491</v>
      </c>
      <c r="B18" s="17">
        <v>53841317</v>
      </c>
      <c r="C18" s="17">
        <v>9268750</v>
      </c>
      <c r="D18" s="17">
        <f t="shared" si="0"/>
        <v>9268750</v>
      </c>
      <c r="E18" s="49">
        <f>VLOOKUP($A18,'Data shares'!$C:$FA,128)*100</f>
        <v>2.02</v>
      </c>
      <c r="F18" s="49">
        <f>VLOOKUP($A18,'Data shares'!$C:$FA,129)</f>
        <v>332000</v>
      </c>
      <c r="G18" s="17"/>
    </row>
    <row r="19" spans="1:7" x14ac:dyDescent="0.25">
      <c r="A19" s="101" t="s">
        <v>257</v>
      </c>
      <c r="B19" s="17">
        <v>43771086</v>
      </c>
      <c r="C19" s="17">
        <v>2865850</v>
      </c>
      <c r="D19" s="17">
        <f t="shared" si="0"/>
        <v>2865850</v>
      </c>
      <c r="E19" s="49">
        <f>VLOOKUP($A19,'Data shares'!$C:$FA,128)*100</f>
        <v>0.67999999999999994</v>
      </c>
      <c r="F19" s="49">
        <f>VLOOKUP($A19,'Data shares'!$C:$FA,129)</f>
        <v>67200</v>
      </c>
      <c r="G19" s="17"/>
    </row>
    <row r="20" spans="1:7" x14ac:dyDescent="0.25">
      <c r="A20" s="101" t="s">
        <v>259</v>
      </c>
      <c r="B20" s="17">
        <v>12838406</v>
      </c>
      <c r="C20" s="17">
        <v>3561800</v>
      </c>
      <c r="D20" s="17">
        <f t="shared" si="0"/>
        <v>3561800</v>
      </c>
      <c r="E20" s="49">
        <f>VLOOKUP($A20,'Data shares'!$C:$FA,128)*100</f>
        <v>4.68</v>
      </c>
      <c r="F20" s="49">
        <f>VLOOKUP($A20,'Data shares'!$C:$FA,129)</f>
        <v>91680</v>
      </c>
      <c r="G20" s="17"/>
    </row>
    <row r="21" spans="1:7" x14ac:dyDescent="0.25">
      <c r="A21" s="101" t="s">
        <v>212</v>
      </c>
      <c r="B21" s="17">
        <v>393764205</v>
      </c>
      <c r="C21" s="17">
        <v>124730000</v>
      </c>
      <c r="D21" s="17">
        <f t="shared" si="0"/>
        <v>124730000</v>
      </c>
      <c r="E21" s="49">
        <f>VLOOKUP($A21,'Data shares'!$C:$FA,128)*100</f>
        <v>6.5299999999999994</v>
      </c>
      <c r="F21" s="49">
        <f>VLOOKUP($A21,'Data shares'!$C:$FA,129)</f>
        <v>3740000</v>
      </c>
      <c r="G21" s="17"/>
    </row>
    <row r="22" spans="1:7" x14ac:dyDescent="0.25">
      <c r="A22" s="101" t="s">
        <v>209</v>
      </c>
      <c r="B22" s="17">
        <v>27768950</v>
      </c>
      <c r="C22" s="17">
        <v>5371100</v>
      </c>
      <c r="D22" s="17">
        <f t="shared" si="0"/>
        <v>5371100</v>
      </c>
      <c r="E22" s="49">
        <f>VLOOKUP($A22,'Data shares'!$C:$FA,128)*100</f>
        <v>6.18</v>
      </c>
      <c r="F22" s="49">
        <f>VLOOKUP($A22,'Data shares'!$C:$FA,129)</f>
        <v>96700</v>
      </c>
      <c r="G22" s="17"/>
    </row>
    <row r="23" spans="1:7" x14ac:dyDescent="0.25">
      <c r="A23" s="101" t="s">
        <v>501</v>
      </c>
      <c r="B23" s="17">
        <v>155792872</v>
      </c>
      <c r="C23" s="17">
        <v>50166406</v>
      </c>
      <c r="D23" s="17">
        <f t="shared" si="0"/>
        <v>50166406</v>
      </c>
      <c r="E23" s="49">
        <f>VLOOKUP($A23,'Data shares'!$C:$FA,128)*100</f>
        <v>3.17</v>
      </c>
      <c r="F23" s="49">
        <f>VLOOKUP($A23,'Data shares'!$C:$FA,129)</f>
        <v>780000</v>
      </c>
      <c r="G23" s="17"/>
    </row>
    <row r="24" spans="1:7" x14ac:dyDescent="0.25">
      <c r="A24" s="101" t="s">
        <v>276</v>
      </c>
      <c r="B24" s="17">
        <v>678857930</v>
      </c>
      <c r="C24" s="17">
        <v>84677374</v>
      </c>
      <c r="D24" s="17">
        <f t="shared" si="0"/>
        <v>84677374</v>
      </c>
      <c r="E24" s="49">
        <f>VLOOKUP($A24,'Data shares'!$C:$FA,128)*100</f>
        <v>4.05</v>
      </c>
      <c r="F24" s="49">
        <f>VLOOKUP($A24,'Data shares'!$C:$FA,129)</f>
        <v>3243300</v>
      </c>
      <c r="G24" s="17"/>
    </row>
    <row r="25" spans="1:7" x14ac:dyDescent="0.25">
      <c r="A25" s="101" t="s">
        <v>210</v>
      </c>
      <c r="B25" s="17">
        <v>14114257</v>
      </c>
      <c r="C25" s="17">
        <v>11000000</v>
      </c>
      <c r="D25" s="17">
        <f t="shared" si="0"/>
        <v>11000000</v>
      </c>
      <c r="E25" s="49">
        <f>VLOOKUP($A25,'Data shares'!$C:$FA,128)*100</f>
        <v>6.18</v>
      </c>
      <c r="F25" s="49">
        <f>VLOOKUP($A25,'Data shares'!$C:$FA,129)</f>
        <v>96700</v>
      </c>
      <c r="G25" s="17"/>
    </row>
    <row r="26" spans="1:7" x14ac:dyDescent="0.25">
      <c r="A26" s="101" t="s">
        <v>267</v>
      </c>
      <c r="B26" s="17">
        <v>229794455</v>
      </c>
      <c r="C26" s="17">
        <v>133289800</v>
      </c>
      <c r="D26" s="17">
        <f t="shared" si="0"/>
        <v>133289800</v>
      </c>
      <c r="E26" s="49">
        <f>VLOOKUP($A26,'Data shares'!$C:$FA,128)*100</f>
        <v>4.21</v>
      </c>
      <c r="F26" s="49">
        <f>VLOOKUP($A26,'Data shares'!$C:$FA,129)</f>
        <v>14094000</v>
      </c>
      <c r="G26" s="17"/>
    </row>
    <row r="27" spans="1:7" x14ac:dyDescent="0.25">
      <c r="A27" s="101" t="s">
        <v>533</v>
      </c>
      <c r="B27" s="17">
        <v>61337685</v>
      </c>
      <c r="C27" s="17">
        <v>24741600</v>
      </c>
      <c r="D27" s="17">
        <f t="shared" si="0"/>
        <v>24741600</v>
      </c>
      <c r="E27" s="49">
        <f>VLOOKUP($A27,'Data shares'!$C:$FA,128)*100</f>
        <v>2.1</v>
      </c>
      <c r="F27" s="49">
        <f>VLOOKUP($A27,'Data shares'!$C:$FA,129)</f>
        <v>213900</v>
      </c>
      <c r="G27" s="17"/>
    </row>
    <row r="28" spans="1:7" x14ac:dyDescent="0.25">
      <c r="A28" s="101" t="s">
        <v>502</v>
      </c>
      <c r="B28" s="17">
        <v>5165920</v>
      </c>
      <c r="C28" s="17">
        <v>1179400</v>
      </c>
      <c r="D28" s="17">
        <f t="shared" si="0"/>
        <v>1179400</v>
      </c>
      <c r="E28" s="49">
        <f>VLOOKUP($A28,'Data shares'!$C:$FA,128)*100</f>
        <v>6.7299999999999995</v>
      </c>
      <c r="F28" s="49">
        <f>VLOOKUP($A28,'Data shares'!$C:$FA,129)</f>
        <v>709375</v>
      </c>
      <c r="G28" s="17"/>
    </row>
    <row r="29" spans="1:7" x14ac:dyDescent="0.25">
      <c r="A29" s="101" t="s">
        <v>474</v>
      </c>
      <c r="B29" s="17">
        <v>7339737</v>
      </c>
      <c r="C29" s="17">
        <v>979625</v>
      </c>
      <c r="D29" s="17">
        <f t="shared" si="0"/>
        <v>979625</v>
      </c>
      <c r="E29" s="49">
        <f>VLOOKUP($A29,'Data shares'!$C:$FA,128)*100</f>
        <v>14.34</v>
      </c>
      <c r="F29" s="49">
        <f>VLOOKUP($A29,'Data shares'!$C:$FA,129)</f>
        <v>629425</v>
      </c>
      <c r="G29" s="17"/>
    </row>
    <row r="30" spans="1:7" x14ac:dyDescent="0.25">
      <c r="A30" s="101" t="s">
        <v>158</v>
      </c>
      <c r="B30" s="17">
        <v>17078428</v>
      </c>
      <c r="C30" s="17">
        <v>3648750</v>
      </c>
      <c r="D30" s="17">
        <f t="shared" si="0"/>
        <v>3648750</v>
      </c>
      <c r="E30" s="49">
        <f>VLOOKUP($A30,'Data shares'!$C:$FA,128)*100</f>
        <v>2.48</v>
      </c>
      <c r="F30" s="49">
        <f>VLOOKUP($A30,'Data shares'!$C:$FA,129)</f>
        <v>1565500</v>
      </c>
      <c r="G30" s="17"/>
    </row>
    <row r="31" spans="1:7" x14ac:dyDescent="0.25">
      <c r="A31" s="101" t="s">
        <v>268</v>
      </c>
      <c r="B31" s="17">
        <v>948263976</v>
      </c>
      <c r="C31" s="17">
        <v>170042400</v>
      </c>
      <c r="D31" s="17">
        <f t="shared" si="0"/>
        <v>170042400</v>
      </c>
      <c r="E31" s="49">
        <f>VLOOKUP($A31,'Data shares'!$C:$FA,128)*100</f>
        <v>3.7900000000000005</v>
      </c>
      <c r="F31" s="49">
        <f>VLOOKUP($A31,'Data shares'!$C:$FA,129)</f>
        <v>3066000</v>
      </c>
      <c r="G31" s="17"/>
    </row>
    <row r="32" spans="1:7" x14ac:dyDescent="0.25">
      <c r="A32" s="101" t="s">
        <v>557</v>
      </c>
      <c r="B32" s="17">
        <v>51441633</v>
      </c>
      <c r="C32" s="17">
        <v>26329600</v>
      </c>
      <c r="D32" s="17">
        <f t="shared" si="0"/>
        <v>26329600</v>
      </c>
      <c r="E32" s="49">
        <f>VLOOKUP($A32,'Data shares'!$C:$FA,128)*100</f>
        <v>6.59</v>
      </c>
      <c r="F32" s="49">
        <f>VLOOKUP($A32,'Data shares'!$C:$FA,129)</f>
        <v>618300</v>
      </c>
      <c r="G32" s="17"/>
    </row>
    <row r="33" spans="1:7" x14ac:dyDescent="0.25">
      <c r="A33" s="101" t="s">
        <v>549</v>
      </c>
      <c r="B33" s="17">
        <v>319287188</v>
      </c>
      <c r="C33" s="17">
        <v>149780000</v>
      </c>
      <c r="D33" s="17">
        <f t="shared" si="0"/>
        <v>149780000</v>
      </c>
      <c r="E33" s="49">
        <f>VLOOKUP($A33,'Data shares'!$C:$FA,128)*100</f>
        <v>7.3800000000000008</v>
      </c>
      <c r="F33" s="49">
        <f>VLOOKUP($A33,'Data shares'!$C:$FA,129)</f>
        <v>445146300</v>
      </c>
      <c r="G33" s="17"/>
    </row>
    <row r="34" spans="1:7" x14ac:dyDescent="0.25">
      <c r="A34" s="101" t="s">
        <v>536</v>
      </c>
      <c r="B34" s="17">
        <v>57585215</v>
      </c>
      <c r="C34" s="17">
        <v>5314000</v>
      </c>
      <c r="D34" s="17">
        <f t="shared" si="0"/>
        <v>5314000</v>
      </c>
      <c r="E34" s="49">
        <f>VLOOKUP($A34,'Data shares'!$C:$FA,128)*100</f>
        <v>11.469999999999999</v>
      </c>
      <c r="F34" s="49">
        <f>VLOOKUP($A34,'Data shares'!$C:$FA,129)</f>
        <v>2079200</v>
      </c>
      <c r="G34" s="17"/>
    </row>
    <row r="35" spans="1:7" x14ac:dyDescent="0.25">
      <c r="A35" s="101" t="s">
        <v>270</v>
      </c>
      <c r="B35" s="17">
        <v>1178038</v>
      </c>
      <c r="C35" s="17">
        <v>100890</v>
      </c>
      <c r="D35" s="17">
        <f t="shared" si="0"/>
        <v>100890</v>
      </c>
      <c r="E35" s="49">
        <f>VLOOKUP($A35,'Data shares'!$C:$FA,128)*100</f>
        <v>9.5399999999999991</v>
      </c>
      <c r="F35" s="49">
        <f>VLOOKUP($A35,'Data shares'!$C:$FA,129)</f>
        <v>25950</v>
      </c>
      <c r="G35" s="17"/>
    </row>
    <row r="36" spans="1:7" x14ac:dyDescent="0.25">
      <c r="A36" s="101" t="s">
        <v>258</v>
      </c>
      <c r="B36" s="17">
        <v>13335005</v>
      </c>
      <c r="C36" s="17">
        <v>5970600</v>
      </c>
      <c r="D36" s="17">
        <f t="shared" si="0"/>
        <v>5970600</v>
      </c>
      <c r="E36" s="49">
        <f>VLOOKUP($A36,'Data shares'!$C:$FA,128)*100</f>
        <v>0.67999999999999994</v>
      </c>
      <c r="F36" s="49">
        <f>VLOOKUP($A36,'Data shares'!$C:$FA,129)</f>
        <v>67200</v>
      </c>
      <c r="G36" s="17"/>
    </row>
    <row r="37" spans="1:7" x14ac:dyDescent="0.25">
      <c r="A37" s="101" t="s">
        <v>301</v>
      </c>
      <c r="B37" s="17">
        <v>14428803</v>
      </c>
      <c r="C37" s="17">
        <v>2171400</v>
      </c>
      <c r="D37" s="17">
        <f t="shared" si="0"/>
        <v>2171400</v>
      </c>
      <c r="E37" s="49">
        <f>VLOOKUP($A37,'Data shares'!$C:$FA,128)*100</f>
        <v>1.5</v>
      </c>
      <c r="F37" s="49">
        <f>VLOOKUP($A37,'Data shares'!$C:$FA,129)</f>
        <v>116550</v>
      </c>
      <c r="G37" s="17"/>
    </row>
    <row r="38" spans="1:7" x14ac:dyDescent="0.25">
      <c r="A38" s="101" t="s">
        <v>283</v>
      </c>
      <c r="B38" s="17">
        <v>747713393</v>
      </c>
      <c r="C38" s="17">
        <v>158166000</v>
      </c>
      <c r="D38" s="17">
        <f t="shared" si="0"/>
        <v>158166000</v>
      </c>
      <c r="E38" s="49">
        <f>VLOOKUP($A38,'Data shares'!$C:$FA,128)*100</f>
        <v>13.270000000000001</v>
      </c>
      <c r="F38" s="49">
        <f>VLOOKUP($A38,'Data shares'!$C:$FA,129)</f>
        <v>6960000</v>
      </c>
      <c r="G38" s="17"/>
    </row>
    <row r="39" spans="1:7" x14ac:dyDescent="0.25">
      <c r="A39" s="101" t="s">
        <v>281</v>
      </c>
      <c r="B39" s="17">
        <v>648405756</v>
      </c>
      <c r="C39" s="17">
        <v>61815500</v>
      </c>
      <c r="D39" s="17">
        <f t="shared" si="0"/>
        <v>61815500</v>
      </c>
      <c r="E39" s="49">
        <f>VLOOKUP($A39,'Data shares'!$C:$FA,128)*100</f>
        <v>13.200000000000001</v>
      </c>
      <c r="F39" s="49">
        <f>VLOOKUP($A39,'Data shares'!$C:$FA,129)</f>
        <v>13966500</v>
      </c>
      <c r="G39" s="17"/>
    </row>
    <row r="40" spans="1:7" x14ac:dyDescent="0.25">
      <c r="A40" s="101" t="s">
        <v>198</v>
      </c>
      <c r="B40" s="17">
        <v>79546680</v>
      </c>
      <c r="C40" s="17">
        <v>13283750</v>
      </c>
      <c r="D40" s="17">
        <f t="shared" si="0"/>
        <v>13283750</v>
      </c>
      <c r="E40" s="49">
        <f>VLOOKUP($A40,'Data shares'!$C:$FA,128)*100</f>
        <v>1.6400000000000001</v>
      </c>
      <c r="F40" s="49">
        <f>VLOOKUP($A40,'Data shares'!$C:$FA,129)</f>
        <v>200625</v>
      </c>
      <c r="G40" s="17"/>
    </row>
    <row r="41" spans="1:7" x14ac:dyDescent="0.25">
      <c r="A41" s="101" t="s">
        <v>299</v>
      </c>
      <c r="B41" s="17">
        <v>44634693</v>
      </c>
      <c r="C41" s="17">
        <v>3805500</v>
      </c>
      <c r="D41" s="17">
        <f t="shared" si="0"/>
        <v>3805500</v>
      </c>
      <c r="E41" s="49">
        <f>VLOOKUP($A41,'Data shares'!$C:$FA,128)*100</f>
        <v>3.52</v>
      </c>
      <c r="F41" s="49">
        <f>VLOOKUP($A41,'Data shares'!$C:$FA,129)</f>
        <v>59500</v>
      </c>
      <c r="G41" s="17"/>
    </row>
    <row r="42" spans="1:7" x14ac:dyDescent="0.25">
      <c r="A42" s="101" t="s">
        <v>273</v>
      </c>
      <c r="B42" s="17">
        <v>232357926</v>
      </c>
      <c r="C42" s="17">
        <v>67053000</v>
      </c>
      <c r="D42" s="17">
        <f t="shared" si="0"/>
        <v>67053000</v>
      </c>
      <c r="E42" s="49">
        <f>VLOOKUP($A42,'Data shares'!$C:$FA,128)*100</f>
        <v>15.409999999999998</v>
      </c>
      <c r="F42" s="49">
        <f>VLOOKUP($A42,'Data shares'!$C:$FA,129)</f>
        <v>10372700</v>
      </c>
      <c r="G42" s="17"/>
    </row>
    <row r="43" spans="1:7" x14ac:dyDescent="0.25">
      <c r="A43" s="101" t="s">
        <v>207</v>
      </c>
      <c r="B43" s="17">
        <v>124016568</v>
      </c>
      <c r="C43" s="17">
        <v>57530550</v>
      </c>
      <c r="D43" s="17">
        <f t="shared" si="0"/>
        <v>57530550</v>
      </c>
      <c r="E43" s="49">
        <f>VLOOKUP($A43,'Data shares'!$C:$FA,128)*100</f>
        <v>3.61</v>
      </c>
      <c r="F43" s="49">
        <f>VLOOKUP($A43,'Data shares'!$C:$FA,129)</f>
        <v>1726725</v>
      </c>
      <c r="G43" s="17"/>
    </row>
    <row r="44" spans="1:7" x14ac:dyDescent="0.25">
      <c r="A44" s="101" t="s">
        <v>191</v>
      </c>
      <c r="B44" s="17">
        <v>92946457</v>
      </c>
      <c r="C44" s="17">
        <v>36478000</v>
      </c>
      <c r="D44" s="17">
        <f t="shared" si="0"/>
        <v>36478000</v>
      </c>
      <c r="E44" s="49">
        <f>VLOOKUP($A44,'Data shares'!$C:$FA,128)*100</f>
        <v>3.94</v>
      </c>
      <c r="F44" s="49">
        <f>VLOOKUP($A44,'Data shares'!$C:$FA,129)</f>
        <v>1672500</v>
      </c>
      <c r="G44" s="17"/>
    </row>
    <row r="45" spans="1:7" x14ac:dyDescent="0.25">
      <c r="A45" s="101" t="s">
        <v>288</v>
      </c>
      <c r="B45" s="17">
        <v>218440087</v>
      </c>
      <c r="C45" s="17">
        <v>44080400</v>
      </c>
      <c r="D45" s="17">
        <f t="shared" si="0"/>
        <v>44080400</v>
      </c>
      <c r="E45" s="49">
        <f>VLOOKUP($A45,'Data shares'!$C:$FA,128)*100</f>
        <v>1.87</v>
      </c>
      <c r="F45" s="49">
        <f>VLOOKUP($A45,'Data shares'!$C:$FA,129)</f>
        <v>420700</v>
      </c>
      <c r="G45" s="17"/>
    </row>
    <row r="46" spans="1:7" x14ac:dyDescent="0.25">
      <c r="A46" s="101" t="s">
        <v>275</v>
      </c>
      <c r="B46" s="17">
        <v>591377974</v>
      </c>
      <c r="C46" s="17">
        <v>493488000</v>
      </c>
      <c r="D46" s="17">
        <f t="shared" si="0"/>
        <v>493488000</v>
      </c>
      <c r="E46" s="49">
        <f>VLOOKUP($A46,'Data shares'!$C:$FA,128)*100</f>
        <v>6.65</v>
      </c>
      <c r="F46" s="49">
        <f>VLOOKUP($A46,'Data shares'!$C:$FA,129)</f>
        <v>13648000</v>
      </c>
      <c r="G46" s="17"/>
    </row>
    <row r="47" spans="1:7" x14ac:dyDescent="0.25">
      <c r="A47" s="101" t="s">
        <v>277</v>
      </c>
      <c r="B47" s="17">
        <v>10116165</v>
      </c>
      <c r="C47" s="17">
        <v>7378910</v>
      </c>
      <c r="D47" s="17">
        <f t="shared" si="0"/>
        <v>7378910</v>
      </c>
      <c r="E47" s="49">
        <f>VLOOKUP($A47,'Data shares'!$C:$FA,128)*100</f>
        <v>2.19</v>
      </c>
      <c r="F47" s="49">
        <f>VLOOKUP($A47,'Data shares'!$C:$FA,129)</f>
        <v>81000</v>
      </c>
      <c r="G47" s="17"/>
    </row>
    <row r="48" spans="1:7" x14ac:dyDescent="0.25">
      <c r="A48" s="101" t="s">
        <v>196</v>
      </c>
      <c r="B48" s="17">
        <v>134484114</v>
      </c>
      <c r="C48" s="17">
        <v>73278000</v>
      </c>
      <c r="D48" s="17">
        <f t="shared" si="0"/>
        <v>73278000</v>
      </c>
      <c r="E48" s="49">
        <f>VLOOKUP($A48,'Data shares'!$C:$FA,128)*100</f>
        <v>9.0399999999999991</v>
      </c>
      <c r="F48" s="49">
        <f>VLOOKUP($A48,'Data shares'!$C:$FA,129)</f>
        <v>15957000</v>
      </c>
      <c r="G48" s="17"/>
    </row>
    <row r="49" spans="1:7" x14ac:dyDescent="0.25">
      <c r="A49" s="101" t="s">
        <v>287</v>
      </c>
      <c r="B49" s="17">
        <v>40005132</v>
      </c>
      <c r="C49" s="17">
        <v>6264400</v>
      </c>
      <c r="D49" s="17">
        <f t="shared" si="0"/>
        <v>6264400</v>
      </c>
      <c r="E49" s="49">
        <f>VLOOKUP($A49,'Data shares'!$C:$FA,128)*100</f>
        <v>2.06</v>
      </c>
      <c r="F49" s="49">
        <f>VLOOKUP($A49,'Data shares'!$C:$FA,129)</f>
        <v>72400</v>
      </c>
      <c r="G49" s="17"/>
    </row>
    <row r="50" spans="1:7" x14ac:dyDescent="0.25">
      <c r="A50" s="101" t="s">
        <v>553</v>
      </c>
      <c r="B50" s="17">
        <v>10595418</v>
      </c>
      <c r="C50" s="17">
        <v>250250</v>
      </c>
      <c r="D50" s="17">
        <f t="shared" si="0"/>
        <v>250250</v>
      </c>
      <c r="E50" s="49">
        <f>VLOOKUP($A50,'Data shares'!$C:$FA,128)*100</f>
        <v>14.02</v>
      </c>
      <c r="F50" s="49">
        <f>VLOOKUP($A50,'Data shares'!$C:$FA,129)</f>
        <v>305500</v>
      </c>
      <c r="G50" s="17"/>
    </row>
    <row r="51" spans="1:7" x14ac:dyDescent="0.25">
      <c r="A51" s="101" t="s">
        <v>519</v>
      </c>
      <c r="B51" s="17">
        <v>9516271</v>
      </c>
      <c r="C51" s="17">
        <v>1000800</v>
      </c>
      <c r="D51" s="17">
        <f t="shared" si="0"/>
        <v>1000800</v>
      </c>
      <c r="E51" s="49">
        <f>VLOOKUP($A51,'Data shares'!$C:$FA,128)*100</f>
        <v>1.9</v>
      </c>
      <c r="F51" s="49">
        <f>VLOOKUP($A51,'Data shares'!$C:$FA,129)</f>
        <v>53125</v>
      </c>
      <c r="G51" s="17"/>
    </row>
    <row r="52" spans="1:7" x14ac:dyDescent="0.25">
      <c r="A52" s="101" t="s">
        <v>550</v>
      </c>
      <c r="B52" s="17">
        <v>137684181</v>
      </c>
      <c r="C52" s="17">
        <v>42696000</v>
      </c>
      <c r="D52" s="17">
        <f t="shared" si="0"/>
        <v>42696000</v>
      </c>
      <c r="E52" s="49">
        <f>VLOOKUP($A52,'Data shares'!$C:$FA,128)*100</f>
        <v>8.35</v>
      </c>
      <c r="F52" s="49">
        <f>VLOOKUP($A52,'Data shares'!$C:$FA,129)</f>
        <v>6363500</v>
      </c>
      <c r="G52" s="17"/>
    </row>
    <row r="53" spans="1:7" x14ac:dyDescent="0.25">
      <c r="A53" s="101" t="s">
        <v>284</v>
      </c>
      <c r="B53" s="17">
        <v>2702190</v>
      </c>
      <c r="C53" s="17">
        <v>250575</v>
      </c>
      <c r="D53" s="17">
        <f t="shared" si="0"/>
        <v>250575</v>
      </c>
      <c r="E53" s="49">
        <f>VLOOKUP($A53,'Data shares'!$C:$FA,128)*100</f>
        <v>6.2600000000000007</v>
      </c>
      <c r="F53" s="49">
        <f>VLOOKUP($A53,'Data shares'!$C:$FA,129)</f>
        <v>16525</v>
      </c>
      <c r="G53" s="17"/>
    </row>
    <row r="54" spans="1:7" x14ac:dyDescent="0.25">
      <c r="A54" s="101" t="s">
        <v>488</v>
      </c>
      <c r="B54" s="17">
        <v>5499709</v>
      </c>
      <c r="C54" s="17">
        <v>1097600</v>
      </c>
      <c r="D54" s="17">
        <f t="shared" si="0"/>
        <v>1097600</v>
      </c>
      <c r="E54" s="49">
        <f>VLOOKUP($A54,'Data shares'!$C:$FA,128)*100</f>
        <v>4.41</v>
      </c>
      <c r="F54" s="49">
        <f>VLOOKUP($A54,'Data shares'!$C:$FA,129)</f>
        <v>60300</v>
      </c>
      <c r="G54" s="17"/>
    </row>
    <row r="55" spans="1:7" x14ac:dyDescent="0.25">
      <c r="A55" s="101" t="s">
        <v>523</v>
      </c>
      <c r="B55" s="17">
        <v>118085392</v>
      </c>
      <c r="C55" s="17">
        <v>6549400</v>
      </c>
      <c r="D55" s="17">
        <f t="shared" si="0"/>
        <v>6549400</v>
      </c>
      <c r="E55" s="49">
        <f>VLOOKUP($A55,'Data shares'!$C:$FA,128)*100</f>
        <v>3.5700000000000003</v>
      </c>
      <c r="F55" s="49">
        <f>VLOOKUP($A55,'Data shares'!$C:$FA,129)</f>
        <v>1909800</v>
      </c>
      <c r="G55" s="17"/>
    </row>
    <row r="56" spans="1:7" x14ac:dyDescent="0.25">
      <c r="A56" s="101" t="s">
        <v>485</v>
      </c>
      <c r="B56" s="17">
        <v>6917069</v>
      </c>
      <c r="C56" s="17">
        <v>762075</v>
      </c>
      <c r="D56" s="17">
        <f t="shared" si="0"/>
        <v>762075</v>
      </c>
      <c r="E56" s="49">
        <f>VLOOKUP($A56,'Data shares'!$C:$FA,128)*100</f>
        <v>3.6700000000000004</v>
      </c>
      <c r="F56" s="49">
        <f>VLOOKUP($A56,'Data shares'!$C:$FA,129)</f>
        <v>357000</v>
      </c>
      <c r="G56" s="17"/>
    </row>
    <row r="57" spans="1:7" x14ac:dyDescent="0.25">
      <c r="A57" s="101" t="s">
        <v>178</v>
      </c>
      <c r="B57" s="17">
        <v>16125398</v>
      </c>
      <c r="C57" s="17">
        <v>1552600</v>
      </c>
      <c r="D57" s="17">
        <f t="shared" si="0"/>
        <v>1552600</v>
      </c>
      <c r="E57" s="49">
        <f>VLOOKUP($A57,'Data shares'!$C:$FA,128)*100</f>
        <v>5.9700000000000006</v>
      </c>
      <c r="F57" s="49">
        <f>VLOOKUP($A57,'Data shares'!$C:$FA,129)</f>
        <v>5029500</v>
      </c>
      <c r="G57" s="17"/>
    </row>
    <row r="58" spans="1:7" x14ac:dyDescent="0.25">
      <c r="A58" s="101" t="s">
        <v>240</v>
      </c>
      <c r="B58" s="17">
        <v>727896180</v>
      </c>
      <c r="C58" s="17">
        <v>46526100</v>
      </c>
      <c r="D58" s="17">
        <f t="shared" si="0"/>
        <v>46526100</v>
      </c>
      <c r="E58" s="49">
        <f>VLOOKUP($A58,'Data shares'!$C:$FA,128)*100</f>
        <v>7.4399999999999995</v>
      </c>
      <c r="F58" s="49">
        <f>VLOOKUP($A58,'Data shares'!$C:$FA,129)</f>
        <v>5052800</v>
      </c>
      <c r="G58" s="17"/>
    </row>
    <row r="59" spans="1:7" x14ac:dyDescent="0.25">
      <c r="A59" s="101" t="s">
        <v>202</v>
      </c>
      <c r="B59" s="17">
        <v>55081874</v>
      </c>
      <c r="C59" s="17">
        <v>10856000</v>
      </c>
      <c r="D59" s="17">
        <f t="shared" si="0"/>
        <v>10856000</v>
      </c>
      <c r="E59" s="49">
        <f>VLOOKUP($A59,'Data shares'!$C:$FA,128)*100</f>
        <v>5.57</v>
      </c>
      <c r="F59" s="49">
        <f>VLOOKUP($A59,'Data shares'!$C:$FA,129)</f>
        <v>1710000</v>
      </c>
      <c r="G59" s="17"/>
    </row>
    <row r="60" spans="1:7" x14ac:dyDescent="0.25">
      <c r="A60" s="101" t="s">
        <v>245</v>
      </c>
      <c r="B60" s="17">
        <v>15273675</v>
      </c>
      <c r="C60" s="17">
        <v>5077125</v>
      </c>
      <c r="D60" s="17">
        <f t="shared" si="0"/>
        <v>5077125</v>
      </c>
      <c r="E60" s="49">
        <f>VLOOKUP($A60,'Data shares'!$C:$FA,128)*100</f>
        <v>11.05</v>
      </c>
      <c r="F60" s="49">
        <f>VLOOKUP($A60,'Data shares'!$C:$FA,129)</f>
        <v>1963750</v>
      </c>
      <c r="G60" s="17"/>
    </row>
    <row r="61" spans="1:7" x14ac:dyDescent="0.25">
      <c r="A61" s="101" t="s">
        <v>173</v>
      </c>
      <c r="B61" s="17">
        <v>541823383</v>
      </c>
      <c r="C61" s="17">
        <v>95378400</v>
      </c>
      <c r="D61" s="17">
        <f t="shared" si="0"/>
        <v>95378400</v>
      </c>
      <c r="E61" s="49">
        <f>VLOOKUP($A61,'Data shares'!$C:$FA,128)*100</f>
        <v>5.86</v>
      </c>
      <c r="F61" s="49">
        <f>VLOOKUP($A61,'Data shares'!$C:$FA,129)</f>
        <v>3956250</v>
      </c>
      <c r="G61" s="17"/>
    </row>
    <row r="62" spans="1:7" x14ac:dyDescent="0.25">
      <c r="A62" s="101" t="s">
        <v>234</v>
      </c>
      <c r="B62" s="17">
        <v>1606294231</v>
      </c>
      <c r="C62" s="17">
        <v>1302000000</v>
      </c>
      <c r="D62" s="17">
        <f t="shared" si="0"/>
        <v>1302000000</v>
      </c>
      <c r="E62" s="49">
        <f>VLOOKUP($A62,'Data shares'!$C:$FA,128)*100</f>
        <v>7.3800000000000008</v>
      </c>
      <c r="F62" s="49">
        <f>VLOOKUP($A62,'Data shares'!$C:$FA,129)</f>
        <v>445146300</v>
      </c>
      <c r="G62" s="17"/>
    </row>
    <row r="63" spans="1:7" x14ac:dyDescent="0.25">
      <c r="A63" s="101" t="s">
        <v>235</v>
      </c>
      <c r="B63" s="17">
        <v>789260827</v>
      </c>
      <c r="C63" s="17">
        <v>462303900</v>
      </c>
      <c r="D63" s="17">
        <f t="shared" si="0"/>
        <v>462303900</v>
      </c>
      <c r="E63" s="49">
        <f>VLOOKUP($A63,'Data shares'!$C:$FA,128)*100</f>
        <v>8.4699999999999989</v>
      </c>
      <c r="F63" s="49">
        <f>VLOOKUP($A63,'Data shares'!$C:$FA,129)</f>
        <v>20961500</v>
      </c>
      <c r="G63" s="17"/>
    </row>
    <row r="64" spans="1:7" x14ac:dyDescent="0.25">
      <c r="A64" s="101" t="s">
        <v>482</v>
      </c>
      <c r="B64" s="17">
        <v>44785930</v>
      </c>
      <c r="C64" s="17">
        <v>4025925</v>
      </c>
      <c r="D64" s="17">
        <f t="shared" si="0"/>
        <v>4025925</v>
      </c>
      <c r="E64" s="49">
        <f>VLOOKUP($A64,'Data shares'!$C:$FA,128)*100</f>
        <v>5.91</v>
      </c>
      <c r="F64" s="49">
        <f>VLOOKUP($A64,'Data shares'!$C:$FA,129)</f>
        <v>433700</v>
      </c>
      <c r="G64" s="17"/>
    </row>
    <row r="65" spans="1:7" x14ac:dyDescent="0.25">
      <c r="A65" s="101" t="s">
        <v>475</v>
      </c>
      <c r="B65" s="17">
        <v>13287700</v>
      </c>
      <c r="C65" s="17">
        <v>3968400</v>
      </c>
      <c r="D65" s="17">
        <f t="shared" si="0"/>
        <v>3968400</v>
      </c>
      <c r="E65" s="49">
        <f>VLOOKUP($A65,'Data shares'!$C:$FA,128)*100</f>
        <v>1.77</v>
      </c>
      <c r="F65" s="49">
        <f>VLOOKUP($A65,'Data shares'!$C:$FA,129)</f>
        <v>106200</v>
      </c>
      <c r="G65" s="17"/>
    </row>
    <row r="66" spans="1:7" x14ac:dyDescent="0.25">
      <c r="A66" s="101" t="s">
        <v>306</v>
      </c>
      <c r="B66" s="17">
        <v>292716179</v>
      </c>
      <c r="C66" s="17">
        <v>57797600</v>
      </c>
      <c r="D66" s="17">
        <f t="shared" si="0"/>
        <v>57797600</v>
      </c>
      <c r="E66" s="49">
        <f>VLOOKUP($A66,'Data shares'!$C:$FA,128)*100</f>
        <v>22.67</v>
      </c>
      <c r="F66" s="49">
        <f>VLOOKUP($A66,'Data shares'!$C:$FA,129)</f>
        <v>34470000</v>
      </c>
      <c r="G66" s="17"/>
    </row>
    <row r="67" spans="1:7" x14ac:dyDescent="0.25">
      <c r="A67" s="101" t="s">
        <v>262</v>
      </c>
      <c r="B67" s="17">
        <v>21376133</v>
      </c>
      <c r="C67" s="17">
        <v>5958375</v>
      </c>
      <c r="D67" s="17">
        <f t="shared" si="0"/>
        <v>5958375</v>
      </c>
      <c r="E67" s="49">
        <f>VLOOKUP($A67,'Data shares'!$C:$FA,128)*100</f>
        <v>3.8600000000000003</v>
      </c>
      <c r="F67" s="49">
        <f>VLOOKUP($A67,'Data shares'!$C:$FA,129)</f>
        <v>157300</v>
      </c>
      <c r="G67" s="17"/>
    </row>
    <row r="68" spans="1:7" x14ac:dyDescent="0.25">
      <c r="A68" s="101" t="s">
        <v>174</v>
      </c>
      <c r="B68" s="17">
        <v>26775498</v>
      </c>
      <c r="C68" s="17">
        <v>3494750</v>
      </c>
      <c r="D68" s="17">
        <f t="shared" si="0"/>
        <v>3494750</v>
      </c>
      <c r="E68" s="49">
        <f>VLOOKUP($A68,'Data shares'!$C:$FA,128)*100</f>
        <v>3.9</v>
      </c>
      <c r="F68" s="49">
        <f>VLOOKUP($A68,'Data shares'!$C:$FA,129)</f>
        <v>98775</v>
      </c>
      <c r="G68" s="17"/>
    </row>
    <row r="69" spans="1:7" x14ac:dyDescent="0.25">
      <c r="A69" s="101" t="s">
        <v>286</v>
      </c>
      <c r="B69" s="17">
        <v>29168705</v>
      </c>
      <c r="C69" s="17">
        <v>6373125</v>
      </c>
      <c r="D69" s="17">
        <f t="shared" si="0"/>
        <v>6373125</v>
      </c>
      <c r="E69" s="49">
        <f>VLOOKUP($A69,'Data shares'!$C:$FA,128)*100</f>
        <v>2.06</v>
      </c>
      <c r="F69" s="49">
        <f>VLOOKUP($A69,'Data shares'!$C:$FA,129)</f>
        <v>72400</v>
      </c>
      <c r="G69" s="17"/>
    </row>
    <row r="70" spans="1:7" x14ac:dyDescent="0.25">
      <c r="A70" s="101" t="s">
        <v>297</v>
      </c>
      <c r="B70" s="17">
        <v>83636848</v>
      </c>
      <c r="C70" s="17">
        <v>13455750</v>
      </c>
      <c r="D70" s="17">
        <f t="shared" si="0"/>
        <v>13455750</v>
      </c>
      <c r="E70" s="49">
        <f>VLOOKUP($A70,'Data shares'!$C:$FA,128)*100</f>
        <v>5.91</v>
      </c>
      <c r="F70" s="49">
        <f>VLOOKUP($A70,'Data shares'!$C:$FA,129)</f>
        <v>558425</v>
      </c>
      <c r="G70" s="17"/>
    </row>
    <row r="71" spans="1:7" x14ac:dyDescent="0.25">
      <c r="A71" s="101" t="s">
        <v>302</v>
      </c>
      <c r="B71" s="17">
        <v>23058222</v>
      </c>
      <c r="C71" s="17">
        <v>3980500</v>
      </c>
      <c r="D71" s="17">
        <f t="shared" ref="D71:D134" si="1">C71</f>
        <v>3980500</v>
      </c>
      <c r="E71" s="49">
        <f>VLOOKUP($A71,'Data shares'!$C:$FA,128)*100</f>
        <v>7.68</v>
      </c>
      <c r="F71" s="49">
        <f>VLOOKUP($A71,'Data shares'!$C:$FA,129)</f>
        <v>179800</v>
      </c>
      <c r="G71" s="17"/>
    </row>
    <row r="72" spans="1:7" x14ac:dyDescent="0.25">
      <c r="A72" s="101" t="s">
        <v>307</v>
      </c>
      <c r="B72" s="17">
        <v>184439886</v>
      </c>
      <c r="C72" s="17">
        <v>122460000</v>
      </c>
      <c r="D72" s="17">
        <f t="shared" si="1"/>
        <v>122460000</v>
      </c>
      <c r="E72" s="49">
        <f>VLOOKUP($A72,'Data shares'!$C:$FA,128)*100</f>
        <v>11.23</v>
      </c>
      <c r="F72" s="49">
        <f>VLOOKUP($A72,'Data shares'!$C:$FA,129)</f>
        <v>110498300</v>
      </c>
      <c r="G72" s="17"/>
    </row>
    <row r="73" spans="1:7" x14ac:dyDescent="0.25">
      <c r="A73" s="101" t="s">
        <v>177</v>
      </c>
      <c r="B73" s="17">
        <v>52956314</v>
      </c>
      <c r="C73" s="17">
        <v>7784625</v>
      </c>
      <c r="D73" s="17">
        <f t="shared" si="1"/>
        <v>7784625</v>
      </c>
      <c r="E73" s="49">
        <f>VLOOKUP($A73,'Data shares'!$C:$FA,128)*100</f>
        <v>5.9700000000000006</v>
      </c>
      <c r="F73" s="49">
        <f>VLOOKUP($A73,'Data shares'!$C:$FA,129)</f>
        <v>5029500</v>
      </c>
      <c r="G73" s="17"/>
    </row>
    <row r="74" spans="1:7" x14ac:dyDescent="0.25">
      <c r="A74" s="101" t="s">
        <v>545</v>
      </c>
      <c r="B74" s="17">
        <v>23498849</v>
      </c>
      <c r="C74" s="17">
        <v>15745600</v>
      </c>
      <c r="D74" s="17">
        <f t="shared" si="1"/>
        <v>15745600</v>
      </c>
      <c r="E74" s="49">
        <f>VLOOKUP($A74,'Data shares'!$C:$FA,128)*100</f>
        <v>5.9700000000000006</v>
      </c>
      <c r="F74" s="49">
        <f>VLOOKUP($A74,'Data shares'!$C:$FA,129)</f>
        <v>5029500</v>
      </c>
      <c r="G74" s="17"/>
    </row>
    <row r="75" spans="1:7" x14ac:dyDescent="0.25">
      <c r="A75" s="101" t="s">
        <v>185</v>
      </c>
      <c r="B75" s="17">
        <v>238123793</v>
      </c>
      <c r="C75" s="17">
        <v>59926000</v>
      </c>
      <c r="D75" s="17">
        <f t="shared" si="1"/>
        <v>59926000</v>
      </c>
      <c r="E75" s="49">
        <f>VLOOKUP($A75,'Data shares'!$C:$FA,128)*100</f>
        <v>8.86</v>
      </c>
      <c r="F75" s="49">
        <f>VLOOKUP($A75,'Data shares'!$C:$FA,129)</f>
        <v>9883800</v>
      </c>
      <c r="G75" s="17"/>
    </row>
    <row r="76" spans="1:7" x14ac:dyDescent="0.25">
      <c r="A76" s="101" t="s">
        <v>219</v>
      </c>
      <c r="B76" s="17">
        <v>75317259</v>
      </c>
      <c r="C76" s="17">
        <v>12188500</v>
      </c>
      <c r="D76" s="17">
        <f t="shared" si="1"/>
        <v>12188500</v>
      </c>
      <c r="E76" s="49">
        <f>VLOOKUP($A76,'Data shares'!$C:$FA,128)*100</f>
        <v>2.02</v>
      </c>
      <c r="F76" s="49">
        <f>VLOOKUP($A76,'Data shares'!$C:$FA,129)</f>
        <v>332000</v>
      </c>
      <c r="G76" s="17"/>
    </row>
    <row r="77" spans="1:7" x14ac:dyDescent="0.25">
      <c r="A77" s="101" t="s">
        <v>534</v>
      </c>
      <c r="B77" s="17">
        <v>70381221</v>
      </c>
      <c r="C77" s="17">
        <v>3354100</v>
      </c>
      <c r="D77" s="17">
        <f t="shared" si="1"/>
        <v>3354100</v>
      </c>
      <c r="E77" s="49">
        <f>VLOOKUP($A77,'Data shares'!$C:$FA,128)*100</f>
        <v>2.02</v>
      </c>
      <c r="F77" s="49">
        <f>VLOOKUP($A77,'Data shares'!$C:$FA,129)</f>
        <v>332000</v>
      </c>
      <c r="G77" s="17"/>
    </row>
    <row r="78" spans="1:7" x14ac:dyDescent="0.25">
      <c r="A78" s="101" t="s">
        <v>516</v>
      </c>
      <c r="B78" s="17">
        <v>27254349</v>
      </c>
      <c r="C78" s="17">
        <v>1133550</v>
      </c>
      <c r="D78" s="17">
        <f t="shared" si="1"/>
        <v>1133550</v>
      </c>
      <c r="E78" s="49">
        <f>VLOOKUP($A78,'Data shares'!$C:$FA,128)*100</f>
        <v>3.82</v>
      </c>
      <c r="F78" s="49">
        <f>VLOOKUP($A78,'Data shares'!$C:$FA,129)</f>
        <v>3149250</v>
      </c>
      <c r="G78" s="17"/>
    </row>
    <row r="79" spans="1:7" x14ac:dyDescent="0.25">
      <c r="A79" s="101" t="s">
        <v>271</v>
      </c>
      <c r="B79" s="17">
        <v>26746179</v>
      </c>
      <c r="C79" s="17">
        <v>5445825</v>
      </c>
      <c r="D79" s="17">
        <f t="shared" si="1"/>
        <v>5445825</v>
      </c>
      <c r="E79" s="49">
        <f>VLOOKUP($A79,'Data shares'!$C:$FA,128)*100</f>
        <v>3.4099999999999997</v>
      </c>
      <c r="F79" s="49">
        <f>VLOOKUP($A79,'Data shares'!$C:$FA,129)</f>
        <v>496625</v>
      </c>
      <c r="G79" s="17"/>
    </row>
    <row r="80" spans="1:7" x14ac:dyDescent="0.25">
      <c r="A80" s="101" t="s">
        <v>264</v>
      </c>
      <c r="B80" s="17">
        <v>15844192</v>
      </c>
      <c r="C80" s="17">
        <v>2354125</v>
      </c>
      <c r="D80" s="17">
        <f t="shared" si="1"/>
        <v>2354125</v>
      </c>
      <c r="E80" s="49">
        <f>VLOOKUP($A80,'Data shares'!$C:$FA,128)*100</f>
        <v>3.6700000000000004</v>
      </c>
      <c r="F80" s="49">
        <f>VLOOKUP($A80,'Data shares'!$C:$FA,129)</f>
        <v>357000</v>
      </c>
      <c r="G80" s="17"/>
    </row>
    <row r="81" spans="1:7" x14ac:dyDescent="0.25">
      <c r="A81" s="101" t="s">
        <v>208</v>
      </c>
      <c r="B81" s="17">
        <v>24296838</v>
      </c>
      <c r="C81" s="17">
        <v>5125750</v>
      </c>
      <c r="D81" s="17">
        <f t="shared" si="1"/>
        <v>5125750</v>
      </c>
      <c r="E81" s="49">
        <f>VLOOKUP($A81,'Data shares'!$C:$FA,128)*100</f>
        <v>2.85</v>
      </c>
      <c r="F81" s="49">
        <f>VLOOKUP($A81,'Data shares'!$C:$FA,129)</f>
        <v>355625</v>
      </c>
      <c r="G81" s="17"/>
    </row>
    <row r="82" spans="1:7" x14ac:dyDescent="0.25">
      <c r="A82" s="101" t="s">
        <v>552</v>
      </c>
      <c r="B82" s="17">
        <v>23447901</v>
      </c>
      <c r="C82" s="17">
        <v>3785600</v>
      </c>
      <c r="D82" s="17">
        <f t="shared" si="1"/>
        <v>3785600</v>
      </c>
      <c r="E82" s="49">
        <f>VLOOKUP($A82,'Data shares'!$C:$FA,128)*100</f>
        <v>7.93</v>
      </c>
      <c r="F82" s="49">
        <f>VLOOKUP($A82,'Data shares'!$C:$FA,129)</f>
        <v>761000</v>
      </c>
      <c r="G82" s="17"/>
    </row>
    <row r="83" spans="1:7" x14ac:dyDescent="0.25">
      <c r="A83" s="101" t="s">
        <v>204</v>
      </c>
      <c r="B83" s="17">
        <v>115362060</v>
      </c>
      <c r="C83" s="17">
        <v>19043750</v>
      </c>
      <c r="D83" s="17">
        <f t="shared" si="1"/>
        <v>19043750</v>
      </c>
      <c r="E83" s="49">
        <f>VLOOKUP($A83,'Data shares'!$C:$FA,128)*100</f>
        <v>1.51</v>
      </c>
      <c r="F83" s="49">
        <f>VLOOKUP($A83,'Data shares'!$C:$FA,129)</f>
        <v>395000</v>
      </c>
      <c r="G83" s="17"/>
    </row>
    <row r="84" spans="1:7" x14ac:dyDescent="0.25">
      <c r="A84" s="101" t="s">
        <v>528</v>
      </c>
      <c r="B84" s="17">
        <v>23485458</v>
      </c>
      <c r="C84" s="17">
        <v>4272800</v>
      </c>
      <c r="D84" s="17">
        <f t="shared" si="1"/>
        <v>4272800</v>
      </c>
      <c r="E84" s="49">
        <f>VLOOKUP($A84,'Data shares'!$C:$FA,128)*100</f>
        <v>2.94</v>
      </c>
      <c r="F84" s="49">
        <f>VLOOKUP($A84,'Data shares'!$C:$FA,129)</f>
        <v>163800</v>
      </c>
      <c r="G84" s="17"/>
    </row>
    <row r="85" spans="1:7" x14ac:dyDescent="0.25">
      <c r="A85" s="101" t="s">
        <v>551</v>
      </c>
      <c r="B85" s="17">
        <v>39593365</v>
      </c>
      <c r="C85" s="17">
        <v>12215000</v>
      </c>
      <c r="D85" s="17">
        <f t="shared" si="1"/>
        <v>12215000</v>
      </c>
      <c r="E85" s="49">
        <f>VLOOKUP($A85,'Data shares'!$C:$FA,128)*100</f>
        <v>2.19</v>
      </c>
      <c r="F85" s="49">
        <f>VLOOKUP($A85,'Data shares'!$C:$FA,129)</f>
        <v>81000</v>
      </c>
      <c r="G85" s="17"/>
    </row>
    <row r="86" spans="1:7" x14ac:dyDescent="0.25">
      <c r="A86" s="101" t="s">
        <v>292</v>
      </c>
      <c r="B86" s="17">
        <v>355933451</v>
      </c>
      <c r="C86" s="17">
        <v>204117000</v>
      </c>
      <c r="D86" s="17">
        <f t="shared" si="1"/>
        <v>204117000</v>
      </c>
      <c r="E86" s="49">
        <f>VLOOKUP($A86,'Data shares'!$C:$FA,128)*100</f>
        <v>17.080000000000002</v>
      </c>
      <c r="F86" s="49">
        <f>VLOOKUP($A86,'Data shares'!$C:$FA,129)</f>
        <v>204300</v>
      </c>
      <c r="G86" s="17"/>
    </row>
    <row r="87" spans="1:7" x14ac:dyDescent="0.25">
      <c r="A87" s="101" t="s">
        <v>239</v>
      </c>
      <c r="B87" s="17">
        <v>117569462</v>
      </c>
      <c r="C87" s="17">
        <v>39785400</v>
      </c>
      <c r="D87" s="17">
        <f t="shared" si="1"/>
        <v>39785400</v>
      </c>
      <c r="E87" s="49">
        <f>VLOOKUP($A87,'Data shares'!$C:$FA,128)*100</f>
        <v>4.51</v>
      </c>
      <c r="F87" s="49">
        <f>VLOOKUP($A87,'Data shares'!$C:$FA,129)</f>
        <v>1548400</v>
      </c>
      <c r="G87" s="17"/>
    </row>
    <row r="88" spans="1:7" x14ac:dyDescent="0.25">
      <c r="A88" s="101" t="s">
        <v>513</v>
      </c>
      <c r="B88" s="17">
        <v>16619018</v>
      </c>
      <c r="C88" s="17">
        <v>3155425</v>
      </c>
      <c r="D88" s="17">
        <f t="shared" si="1"/>
        <v>3155425</v>
      </c>
      <c r="E88" s="49">
        <f>VLOOKUP($A88,'Data shares'!$C:$FA,128)*100</f>
        <v>11.899999999999999</v>
      </c>
      <c r="F88" s="49">
        <f>VLOOKUP($A88,'Data shares'!$C:$FA,129)</f>
        <v>1236150</v>
      </c>
      <c r="G88" s="17"/>
    </row>
    <row r="89" spans="1:7" x14ac:dyDescent="0.25">
      <c r="A89" s="101" t="s">
        <v>224</v>
      </c>
      <c r="B89" s="17">
        <v>669931623</v>
      </c>
      <c r="C89" s="17">
        <v>82663350</v>
      </c>
      <c r="D89" s="17">
        <f t="shared" si="1"/>
        <v>82663350</v>
      </c>
      <c r="E89" s="49">
        <f>VLOOKUP($A89,'Data shares'!$C:$FA,128)*100</f>
        <v>11.83</v>
      </c>
      <c r="F89" s="49">
        <f>VLOOKUP($A89,'Data shares'!$C:$FA,129)</f>
        <v>30012950</v>
      </c>
      <c r="G89" s="17"/>
    </row>
    <row r="90" spans="1:7" x14ac:dyDescent="0.25">
      <c r="A90" s="101" t="s">
        <v>232</v>
      </c>
      <c r="B90" s="17">
        <v>1110506052</v>
      </c>
      <c r="C90" s="17">
        <v>174065375</v>
      </c>
      <c r="D90" s="17">
        <f t="shared" si="1"/>
        <v>174065375</v>
      </c>
      <c r="E90" s="49">
        <f>VLOOKUP($A90,'Data shares'!$C:$FA,128)*100</f>
        <v>11.14</v>
      </c>
      <c r="F90" s="49">
        <f>VLOOKUP($A90,'Data shares'!$C:$FA,129)</f>
        <v>13579300</v>
      </c>
      <c r="G90" s="17"/>
    </row>
    <row r="91" spans="1:7" x14ac:dyDescent="0.25">
      <c r="A91" s="101" t="s">
        <v>223</v>
      </c>
      <c r="B91" s="17">
        <v>362202362</v>
      </c>
      <c r="C91" s="17">
        <v>34249800</v>
      </c>
      <c r="D91" s="17">
        <f t="shared" si="1"/>
        <v>34249800</v>
      </c>
      <c r="E91" s="49">
        <f>VLOOKUP($A91,'Data shares'!$C:$FA,128)*100</f>
        <v>4.91</v>
      </c>
      <c r="F91" s="49">
        <f>VLOOKUP($A91,'Data shares'!$C:$FA,129)</f>
        <v>886550</v>
      </c>
      <c r="G91" s="17"/>
    </row>
    <row r="92" spans="1:7" x14ac:dyDescent="0.25">
      <c r="A92" s="101" t="s">
        <v>218</v>
      </c>
      <c r="B92" s="17">
        <v>23110810</v>
      </c>
      <c r="C92" s="17">
        <v>6940375</v>
      </c>
      <c r="D92" s="17">
        <f t="shared" si="1"/>
        <v>6940375</v>
      </c>
      <c r="E92" s="49">
        <f>VLOOKUP($A92,'Data shares'!$C:$FA,128)*100</f>
        <v>4.22</v>
      </c>
      <c r="F92" s="49">
        <f>VLOOKUP($A92,'Data shares'!$C:$FA,129)</f>
        <v>409475</v>
      </c>
      <c r="G92" s="17"/>
    </row>
    <row r="93" spans="1:7" x14ac:dyDescent="0.25">
      <c r="A93" s="101" t="s">
        <v>236</v>
      </c>
      <c r="B93" s="17">
        <v>77000080</v>
      </c>
      <c r="C93" s="17">
        <v>25785375</v>
      </c>
      <c r="D93" s="17">
        <f t="shared" si="1"/>
        <v>25785375</v>
      </c>
      <c r="E93" s="49">
        <f>VLOOKUP($A93,'Data shares'!$C:$FA,128)*100</f>
        <v>11.559999999999999</v>
      </c>
      <c r="F93" s="49">
        <f>VLOOKUP($A93,'Data shares'!$C:$FA,129)</f>
        <v>8880000</v>
      </c>
      <c r="G93" s="17"/>
    </row>
    <row r="94" spans="1:7" x14ac:dyDescent="0.25">
      <c r="A94" s="101" t="s">
        <v>246</v>
      </c>
      <c r="B94" s="17">
        <v>293666614</v>
      </c>
      <c r="C94" s="17">
        <v>30730800</v>
      </c>
      <c r="D94" s="17">
        <f t="shared" si="1"/>
        <v>30730800</v>
      </c>
      <c r="E94" s="49">
        <f>VLOOKUP($A94,'Data shares'!$C:$FA,128)*100</f>
        <v>7.7799999999999994</v>
      </c>
      <c r="F94" s="49">
        <f>VLOOKUP($A94,'Data shares'!$C:$FA,129)</f>
        <v>15628000</v>
      </c>
      <c r="G94" s="17"/>
    </row>
    <row r="95" spans="1:7" x14ac:dyDescent="0.25">
      <c r="A95" s="101" t="s">
        <v>532</v>
      </c>
      <c r="B95" s="17">
        <v>32892110</v>
      </c>
      <c r="C95" s="17">
        <v>6216000</v>
      </c>
      <c r="D95" s="17">
        <f t="shared" si="1"/>
        <v>6216000</v>
      </c>
      <c r="E95" s="49">
        <f>VLOOKUP($A95,'Data shares'!$C:$FA,128)*100</f>
        <v>3.73</v>
      </c>
      <c r="F95" s="49">
        <f>VLOOKUP($A95,'Data shares'!$C:$FA,129)</f>
        <v>546550</v>
      </c>
      <c r="G95" s="17"/>
    </row>
    <row r="96" spans="1:7" x14ac:dyDescent="0.25">
      <c r="A96" s="101" t="s">
        <v>242</v>
      </c>
      <c r="B96" s="17">
        <v>2461627231</v>
      </c>
      <c r="C96" s="17">
        <v>322832000</v>
      </c>
      <c r="D96" s="17">
        <f t="shared" si="1"/>
        <v>322832000</v>
      </c>
      <c r="E96" s="49">
        <f>VLOOKUP($A96,'Data shares'!$C:$FA,128)*100</f>
        <v>11.32</v>
      </c>
      <c r="F96" s="49">
        <f>VLOOKUP($A96,'Data shares'!$C:$FA,129)</f>
        <v>20784000</v>
      </c>
      <c r="G96" s="17"/>
    </row>
    <row r="97" spans="1:7" x14ac:dyDescent="0.25">
      <c r="A97" s="101" t="s">
        <v>165</v>
      </c>
      <c r="B97" s="17">
        <v>20321931</v>
      </c>
      <c r="C97" s="17">
        <v>3675125</v>
      </c>
      <c r="D97" s="17">
        <f t="shared" si="1"/>
        <v>3675125</v>
      </c>
      <c r="E97" s="49">
        <f>VLOOKUP($A97,'Data shares'!$C:$FA,128)*100</f>
        <v>2.19</v>
      </c>
      <c r="F97" s="49">
        <f>VLOOKUP($A97,'Data shares'!$C:$FA,129)</f>
        <v>68375</v>
      </c>
      <c r="G97" s="17"/>
    </row>
    <row r="98" spans="1:7" x14ac:dyDescent="0.25">
      <c r="A98" s="101" t="s">
        <v>503</v>
      </c>
      <c r="B98" s="17">
        <v>17788750</v>
      </c>
      <c r="C98" s="17">
        <v>925925</v>
      </c>
      <c r="D98" s="17">
        <f t="shared" si="1"/>
        <v>925925</v>
      </c>
      <c r="E98" s="49">
        <f>VLOOKUP($A98,'Data shares'!$C:$FA,128)*100</f>
        <v>7.91</v>
      </c>
      <c r="F98" s="49">
        <f>VLOOKUP($A98,'Data shares'!$C:$FA,129)</f>
        <v>597975</v>
      </c>
      <c r="G98" s="17"/>
    </row>
    <row r="99" spans="1:7" x14ac:dyDescent="0.25">
      <c r="A99" s="101" t="s">
        <v>192</v>
      </c>
      <c r="B99" s="17">
        <v>1737683</v>
      </c>
      <c r="C99" s="17">
        <v>235900</v>
      </c>
      <c r="D99" s="17">
        <f t="shared" si="1"/>
        <v>235900</v>
      </c>
      <c r="E99" s="49">
        <f>VLOOKUP($A99,'Data shares'!$C:$FA,128)*100</f>
        <v>3.08</v>
      </c>
      <c r="F99" s="49">
        <f>VLOOKUP($A99,'Data shares'!$C:$FA,129)</f>
        <v>6975</v>
      </c>
      <c r="G99" s="17"/>
    </row>
    <row r="100" spans="1:7" x14ac:dyDescent="0.25">
      <c r="A100" s="101" t="s">
        <v>531</v>
      </c>
      <c r="B100" s="17">
        <v>33015657</v>
      </c>
      <c r="C100" s="17">
        <v>9033700</v>
      </c>
      <c r="D100" s="17">
        <f t="shared" si="1"/>
        <v>9033700</v>
      </c>
      <c r="E100" s="49">
        <f>VLOOKUP($A100,'Data shares'!$C:$FA,128)*100</f>
        <v>9.0300000000000011</v>
      </c>
      <c r="F100" s="49">
        <f>VLOOKUP($A100,'Data shares'!$C:$FA,129)</f>
        <v>973500</v>
      </c>
      <c r="G100" s="17"/>
    </row>
    <row r="101" spans="1:7" x14ac:dyDescent="0.25">
      <c r="A101" s="101" t="s">
        <v>494</v>
      </c>
      <c r="B101" s="17">
        <v>147873568</v>
      </c>
      <c r="C101" s="17">
        <v>20386400</v>
      </c>
      <c r="D101" s="17">
        <f t="shared" si="1"/>
        <v>20386400</v>
      </c>
      <c r="E101" s="49">
        <f>VLOOKUP($A101,'Data shares'!$C:$FA,128)*100</f>
        <v>3.5700000000000003</v>
      </c>
      <c r="F101" s="49">
        <f>VLOOKUP($A101,'Data shares'!$C:$FA,129)</f>
        <v>1909800</v>
      </c>
      <c r="G101" s="17"/>
    </row>
    <row r="102" spans="1:7" x14ac:dyDescent="0.25">
      <c r="A102" s="101" t="s">
        <v>473</v>
      </c>
      <c r="B102" s="17">
        <v>162372116</v>
      </c>
      <c r="C102" s="17">
        <v>43206800</v>
      </c>
      <c r="D102" s="17">
        <f t="shared" si="1"/>
        <v>43206800</v>
      </c>
      <c r="E102" s="49">
        <f>VLOOKUP($A102,'Data shares'!$C:$FA,128)*100</f>
        <v>1.26</v>
      </c>
      <c r="F102" s="49">
        <f>VLOOKUP($A102,'Data shares'!$C:$FA,129)</f>
        <v>991100</v>
      </c>
      <c r="G102" s="17"/>
    </row>
    <row r="103" spans="1:7" x14ac:dyDescent="0.25">
      <c r="A103" s="101" t="s">
        <v>225</v>
      </c>
      <c r="B103" s="17">
        <v>187118353</v>
      </c>
      <c r="C103" s="17">
        <v>49800300</v>
      </c>
      <c r="D103" s="17">
        <f t="shared" si="1"/>
        <v>49800300</v>
      </c>
      <c r="E103" s="49">
        <f>VLOOKUP($A103,'Data shares'!$C:$FA,128)*100</f>
        <v>4.9000000000000004</v>
      </c>
      <c r="F103" s="49">
        <f>VLOOKUP($A103,'Data shares'!$C:$FA,129)</f>
        <v>1313400</v>
      </c>
      <c r="G103" s="17"/>
    </row>
    <row r="104" spans="1:7" x14ac:dyDescent="0.25">
      <c r="A104" s="101" t="s">
        <v>504</v>
      </c>
      <c r="B104" s="17">
        <v>12641694</v>
      </c>
      <c r="C104" s="17">
        <v>6728400</v>
      </c>
      <c r="D104" s="17">
        <f t="shared" si="1"/>
        <v>6728400</v>
      </c>
      <c r="E104" s="49">
        <f>VLOOKUP($A104,'Data shares'!$C:$FA,128)*100</f>
        <v>2.06</v>
      </c>
      <c r="F104" s="49">
        <f>VLOOKUP($A104,'Data shares'!$C:$FA,129)</f>
        <v>72400</v>
      </c>
      <c r="G104" s="17"/>
    </row>
    <row r="105" spans="1:7" x14ac:dyDescent="0.25">
      <c r="A105" s="101" t="s">
        <v>537</v>
      </c>
      <c r="B105" s="17">
        <v>6343591</v>
      </c>
      <c r="C105" s="17">
        <v>1262250</v>
      </c>
      <c r="D105" s="17">
        <f t="shared" si="1"/>
        <v>1262250</v>
      </c>
      <c r="E105" s="49">
        <f>VLOOKUP($A105,'Data shares'!$C:$FA,128)*100</f>
        <v>15.299999999999999</v>
      </c>
      <c r="F105" s="49">
        <f>VLOOKUP($A105,'Data shares'!$C:$FA,129)</f>
        <v>200550</v>
      </c>
      <c r="G105" s="17"/>
    </row>
    <row r="106" spans="1:7" x14ac:dyDescent="0.25">
      <c r="A106" s="101" t="s">
        <v>256</v>
      </c>
      <c r="B106" s="17">
        <v>62880735</v>
      </c>
      <c r="C106" s="17">
        <v>20391250</v>
      </c>
      <c r="D106" s="17">
        <f t="shared" si="1"/>
        <v>20391250</v>
      </c>
      <c r="E106" s="49">
        <f>VLOOKUP($A106,'Data shares'!$C:$FA,128)*100</f>
        <v>9.15</v>
      </c>
      <c r="F106" s="49">
        <f>VLOOKUP($A106,'Data shares'!$C:$FA,129)</f>
        <v>421200</v>
      </c>
      <c r="G106" s="17"/>
    </row>
    <row r="107" spans="1:7" x14ac:dyDescent="0.25">
      <c r="A107" s="101" t="s">
        <v>514</v>
      </c>
      <c r="B107" s="17">
        <v>179174844</v>
      </c>
      <c r="C107" s="17">
        <v>67477500</v>
      </c>
      <c r="D107" s="17">
        <f t="shared" si="1"/>
        <v>67477500</v>
      </c>
      <c r="E107" s="49">
        <f>VLOOKUP($A107,'Data shares'!$C:$FA,128)*100</f>
        <v>11.559999999999999</v>
      </c>
      <c r="F107" s="49">
        <f>VLOOKUP($A107,'Data shares'!$C:$FA,129)</f>
        <v>8880000</v>
      </c>
      <c r="G107" s="17"/>
    </row>
    <row r="108" spans="1:7" x14ac:dyDescent="0.25">
      <c r="A108" s="101" t="s">
        <v>272</v>
      </c>
      <c r="B108" s="17">
        <v>150000017</v>
      </c>
      <c r="C108" s="17">
        <v>35217000</v>
      </c>
      <c r="D108" s="17">
        <f t="shared" si="1"/>
        <v>35217000</v>
      </c>
      <c r="E108" s="49">
        <f>VLOOKUP($A108,'Data shares'!$C:$FA,128)*100</f>
        <v>8.3800000000000008</v>
      </c>
      <c r="F108" s="49">
        <f>VLOOKUP($A108,'Data shares'!$C:$FA,129)</f>
        <v>3572000</v>
      </c>
      <c r="G108" s="17"/>
    </row>
    <row r="109" spans="1:7" x14ac:dyDescent="0.25">
      <c r="A109" s="101" t="s">
        <v>470</v>
      </c>
      <c r="B109" s="17">
        <v>6091932</v>
      </c>
      <c r="C109" s="17">
        <v>1893300</v>
      </c>
      <c r="D109" s="17">
        <f t="shared" si="1"/>
        <v>1893300</v>
      </c>
      <c r="E109" s="49">
        <f>VLOOKUP($A109,'Data shares'!$C:$FA,128)*100</f>
        <v>5.63</v>
      </c>
      <c r="F109" s="49">
        <f>VLOOKUP($A109,'Data shares'!$C:$FA,129)</f>
        <v>611250</v>
      </c>
      <c r="G109" s="17"/>
    </row>
    <row r="110" spans="1:7" x14ac:dyDescent="0.25">
      <c r="A110" s="101" t="s">
        <v>176</v>
      </c>
      <c r="B110" s="17">
        <v>12437219</v>
      </c>
      <c r="C110" s="17">
        <v>1155950</v>
      </c>
      <c r="D110" s="17">
        <f t="shared" si="1"/>
        <v>1155950</v>
      </c>
      <c r="E110" s="49">
        <f>VLOOKUP($A110,'Data shares'!$C:$FA,128)*100</f>
        <v>2.87</v>
      </c>
      <c r="F110" s="49">
        <f>VLOOKUP($A110,'Data shares'!$C:$FA,129)</f>
        <v>346750</v>
      </c>
      <c r="G110" s="17"/>
    </row>
    <row r="111" spans="1:7" x14ac:dyDescent="0.25">
      <c r="A111" s="101" t="s">
        <v>524</v>
      </c>
      <c r="B111" s="17">
        <v>16479425</v>
      </c>
      <c r="C111" s="17">
        <v>1670750</v>
      </c>
      <c r="D111" s="17">
        <f t="shared" si="1"/>
        <v>1670750</v>
      </c>
      <c r="E111" s="49">
        <f>VLOOKUP($A111,'Data shares'!$C:$FA,128)*100</f>
        <v>2.77</v>
      </c>
      <c r="F111" s="49">
        <f>VLOOKUP($A111,'Data shares'!$C:$FA,129)</f>
        <v>51675</v>
      </c>
      <c r="G111" s="17"/>
    </row>
    <row r="112" spans="1:7" x14ac:dyDescent="0.25">
      <c r="A112" s="101" t="s">
        <v>487</v>
      </c>
      <c r="B112" s="17">
        <v>16533935</v>
      </c>
      <c r="C112" s="17">
        <v>1807050</v>
      </c>
      <c r="D112" s="17">
        <f t="shared" si="1"/>
        <v>1807050</v>
      </c>
      <c r="E112" s="49">
        <f>VLOOKUP($A112,'Data shares'!$C:$FA,128)*100</f>
        <v>2.86</v>
      </c>
      <c r="F112" s="49">
        <f>VLOOKUP($A112,'Data shares'!$C:$FA,129)</f>
        <v>128700</v>
      </c>
      <c r="G112" s="17"/>
    </row>
    <row r="113" spans="1:7" x14ac:dyDescent="0.25">
      <c r="A113" s="101" t="s">
        <v>305</v>
      </c>
      <c r="B113" s="17">
        <v>46126252</v>
      </c>
      <c r="C113" s="17">
        <v>7513500</v>
      </c>
      <c r="D113" s="17">
        <f t="shared" si="1"/>
        <v>7513500</v>
      </c>
      <c r="E113" s="49">
        <f>VLOOKUP($A113,'Data shares'!$C:$FA,128)*100</f>
        <v>8.6499999999999986</v>
      </c>
      <c r="F113" s="49">
        <f>VLOOKUP($A113,'Data shares'!$C:$FA,129)</f>
        <v>743250</v>
      </c>
      <c r="G113" s="17"/>
    </row>
    <row r="114" spans="1:7" x14ac:dyDescent="0.25">
      <c r="A114" s="101" t="s">
        <v>238</v>
      </c>
      <c r="B114" s="17">
        <v>19428657</v>
      </c>
      <c r="C114" s="17">
        <v>5637750</v>
      </c>
      <c r="D114" s="17">
        <f t="shared" si="1"/>
        <v>5637750</v>
      </c>
      <c r="E114" s="49">
        <f>VLOOKUP($A114,'Data shares'!$C:$FA,128)*100</f>
        <v>1.7999999999999998</v>
      </c>
      <c r="F114" s="49">
        <f>VLOOKUP($A114,'Data shares'!$C:$FA,129)</f>
        <v>160950</v>
      </c>
      <c r="G114" s="17"/>
    </row>
    <row r="115" spans="1:7" x14ac:dyDescent="0.25">
      <c r="A115" s="101" t="s">
        <v>527</v>
      </c>
      <c r="B115" s="17">
        <v>7494363</v>
      </c>
      <c r="C115" s="17">
        <v>739375</v>
      </c>
      <c r="D115" s="17">
        <f t="shared" si="1"/>
        <v>739375</v>
      </c>
      <c r="E115" s="49">
        <f>VLOOKUP($A115,'Data shares'!$C:$FA,128)*100</f>
        <v>8.98</v>
      </c>
      <c r="F115" s="49">
        <f>VLOOKUP($A115,'Data shares'!$C:$FA,129)</f>
        <v>14353800</v>
      </c>
      <c r="G115" s="17"/>
    </row>
    <row r="116" spans="1:7" x14ac:dyDescent="0.25">
      <c r="A116" s="101" t="s">
        <v>489</v>
      </c>
      <c r="B116" s="17">
        <v>9087752</v>
      </c>
      <c r="C116" s="17">
        <v>1575750</v>
      </c>
      <c r="D116" s="17">
        <f t="shared" si="1"/>
        <v>1575750</v>
      </c>
      <c r="E116" s="49">
        <f>VLOOKUP($A116,'Data shares'!$C:$FA,128)*100</f>
        <v>5.59</v>
      </c>
      <c r="F116" s="49">
        <f>VLOOKUP($A116,'Data shares'!$C:$FA,129)</f>
        <v>2727000</v>
      </c>
      <c r="G116" s="17"/>
    </row>
    <row r="117" spans="1:7" x14ac:dyDescent="0.25">
      <c r="A117" s="101" t="s">
        <v>484</v>
      </c>
      <c r="B117" s="17">
        <v>3300938</v>
      </c>
      <c r="C117" s="17">
        <v>190125</v>
      </c>
      <c r="D117" s="17">
        <f t="shared" si="1"/>
        <v>190125</v>
      </c>
      <c r="E117" s="49">
        <f>VLOOKUP($A117,'Data shares'!$C:$FA,128)*100</f>
        <v>15.409999999999998</v>
      </c>
      <c r="F117" s="49">
        <f>VLOOKUP($A117,'Data shares'!$C:$FA,129)</f>
        <v>10372700</v>
      </c>
      <c r="G117" s="17"/>
    </row>
    <row r="118" spans="1:7" x14ac:dyDescent="0.25">
      <c r="A118" s="101" t="s">
        <v>285</v>
      </c>
      <c r="B118" s="17">
        <v>17806068</v>
      </c>
      <c r="C118" s="17">
        <v>1857900</v>
      </c>
      <c r="D118" s="17">
        <f t="shared" si="1"/>
        <v>1857900</v>
      </c>
      <c r="E118" s="49">
        <f>VLOOKUP($A118,'Data shares'!$C:$FA,128)*100</f>
        <v>3.9800000000000004</v>
      </c>
      <c r="F118" s="49">
        <f>VLOOKUP($A118,'Data shares'!$C:$FA,129)</f>
        <v>88200</v>
      </c>
      <c r="G118" s="17"/>
    </row>
    <row r="119" spans="1:7" x14ac:dyDescent="0.25">
      <c r="A119" s="101" t="s">
        <v>554</v>
      </c>
      <c r="B119" s="17">
        <v>18562709</v>
      </c>
      <c r="C119" s="17">
        <v>2173500</v>
      </c>
      <c r="D119" s="17">
        <f t="shared" si="1"/>
        <v>2173500</v>
      </c>
      <c r="E119" s="49">
        <f>VLOOKUP($A119,'Data shares'!$C:$FA,128)*100</f>
        <v>5.6800000000000006</v>
      </c>
      <c r="F119" s="49">
        <f>VLOOKUP($A119,'Data shares'!$C:$FA,129)</f>
        <v>5380375</v>
      </c>
      <c r="G119" s="17"/>
    </row>
    <row r="120" spans="1:7" x14ac:dyDescent="0.25">
      <c r="A120" s="101" t="s">
        <v>293</v>
      </c>
      <c r="B120" s="17">
        <v>339616396</v>
      </c>
      <c r="C120" s="17">
        <v>214528500</v>
      </c>
      <c r="D120" s="17">
        <f t="shared" si="1"/>
        <v>214528500</v>
      </c>
      <c r="E120" s="49">
        <f>VLOOKUP($A120,'Data shares'!$C:$FA,128)*100</f>
        <v>5.2200000000000006</v>
      </c>
      <c r="F120" s="49">
        <f>VLOOKUP($A120,'Data shares'!$C:$FA,129)</f>
        <v>2753550</v>
      </c>
      <c r="G120" s="17"/>
    </row>
    <row r="121" spans="1:7" x14ac:dyDescent="0.25">
      <c r="A121" s="101" t="s">
        <v>282</v>
      </c>
      <c r="B121" s="17">
        <v>289139949</v>
      </c>
      <c r="C121" s="17">
        <v>230878500</v>
      </c>
      <c r="D121" s="17">
        <f t="shared" si="1"/>
        <v>230878500</v>
      </c>
      <c r="E121" s="49">
        <f>VLOOKUP($A121,'Data shares'!$C:$FA,128)*100</f>
        <v>5.24</v>
      </c>
      <c r="F121" s="49">
        <f>VLOOKUP($A121,'Data shares'!$C:$FA,129)</f>
        <v>10560900</v>
      </c>
      <c r="G121" s="17"/>
    </row>
    <row r="122" spans="1:7" x14ac:dyDescent="0.25">
      <c r="A122" s="101" t="s">
        <v>248</v>
      </c>
      <c r="B122" s="17">
        <v>60244101</v>
      </c>
      <c r="C122" s="17">
        <v>36578000</v>
      </c>
      <c r="D122" s="17">
        <f t="shared" si="1"/>
        <v>36578000</v>
      </c>
      <c r="E122" s="49">
        <f>VLOOKUP($A122,'Data shares'!$C:$FA,128)*100</f>
        <v>5.65</v>
      </c>
      <c r="F122" s="49">
        <f>VLOOKUP($A122,'Data shares'!$C:$FA,129)</f>
        <v>1603000</v>
      </c>
      <c r="G122" s="17"/>
    </row>
    <row r="123" spans="1:7" x14ac:dyDescent="0.25">
      <c r="A123" s="101" t="s">
        <v>189</v>
      </c>
      <c r="B123" s="17">
        <v>510707358</v>
      </c>
      <c r="C123" s="17">
        <v>94385350</v>
      </c>
      <c r="D123" s="17">
        <f t="shared" si="1"/>
        <v>94385350</v>
      </c>
      <c r="E123" s="49">
        <f>VLOOKUP($A123,'Data shares'!$C:$FA,128)*100</f>
        <v>13.5</v>
      </c>
      <c r="F123" s="49">
        <f>VLOOKUP($A123,'Data shares'!$C:$FA,129)</f>
        <v>6644775</v>
      </c>
      <c r="G123" s="17"/>
    </row>
    <row r="124" spans="1:7" x14ac:dyDescent="0.25">
      <c r="A124" s="101" t="s">
        <v>213</v>
      </c>
      <c r="B124" s="17">
        <v>425164259</v>
      </c>
      <c r="C124" s="17">
        <v>85375600</v>
      </c>
      <c r="D124" s="17">
        <f t="shared" si="1"/>
        <v>85375600</v>
      </c>
      <c r="E124" s="49">
        <f>VLOOKUP($A124,'Data shares'!$C:$FA,128)*100</f>
        <v>5.7299999999999995</v>
      </c>
      <c r="F124" s="49">
        <f>VLOOKUP($A124,'Data shares'!$C:$FA,129)</f>
        <v>5937750</v>
      </c>
      <c r="G124" s="17"/>
    </row>
    <row r="125" spans="1:7" x14ac:dyDescent="0.25">
      <c r="A125" s="101" t="s">
        <v>295</v>
      </c>
      <c r="B125" s="17">
        <v>205769415</v>
      </c>
      <c r="C125" s="17">
        <v>21452100</v>
      </c>
      <c r="D125" s="17">
        <f t="shared" si="1"/>
        <v>21452100</v>
      </c>
      <c r="E125" s="49">
        <f>VLOOKUP($A125,'Data shares'!$C:$FA,128)*100</f>
        <v>12.08</v>
      </c>
      <c r="F125" s="49">
        <f>VLOOKUP($A125,'Data shares'!$C:$FA,129)</f>
        <v>2755200</v>
      </c>
      <c r="G125" s="17"/>
    </row>
    <row r="126" spans="1:7" x14ac:dyDescent="0.25">
      <c r="A126" s="101" t="s">
        <v>490</v>
      </c>
      <c r="B126" s="17">
        <v>52165566</v>
      </c>
      <c r="C126" s="17">
        <v>22212750</v>
      </c>
      <c r="D126" s="17">
        <f t="shared" si="1"/>
        <v>22212750</v>
      </c>
      <c r="E126" s="49">
        <f>VLOOKUP($A126,'Data shares'!$C:$FA,128)*100</f>
        <v>0</v>
      </c>
      <c r="F126" s="49">
        <f>VLOOKUP($A126,'Data shares'!$C:$FA,129)</f>
        <v>0</v>
      </c>
      <c r="G126" s="17"/>
    </row>
    <row r="127" spans="1:7" x14ac:dyDescent="0.25">
      <c r="A127" s="101" t="s">
        <v>260</v>
      </c>
      <c r="B127" s="17">
        <v>241729538</v>
      </c>
      <c r="C127" s="17">
        <v>65383500</v>
      </c>
      <c r="D127" s="17">
        <f t="shared" si="1"/>
        <v>65383500</v>
      </c>
      <c r="E127" s="49">
        <f>VLOOKUP($A127,'Data shares'!$C:$FA,128)*100</f>
        <v>2.5499999999999998</v>
      </c>
      <c r="F127" s="49">
        <f>VLOOKUP($A127,'Data shares'!$C:$FA,129)</f>
        <v>3942150</v>
      </c>
      <c r="G127" s="17"/>
    </row>
    <row r="128" spans="1:7" x14ac:dyDescent="0.25">
      <c r="A128" s="101" t="s">
        <v>171</v>
      </c>
      <c r="B128" s="17">
        <v>56444627</v>
      </c>
      <c r="C128" s="17">
        <v>23336250</v>
      </c>
      <c r="D128" s="17">
        <f t="shared" si="1"/>
        <v>23336250</v>
      </c>
      <c r="E128" s="49">
        <f>VLOOKUP($A128,'Data shares'!$C:$FA,128)*100</f>
        <v>4.21</v>
      </c>
      <c r="F128" s="49">
        <f>VLOOKUP($A128,'Data shares'!$C:$FA,129)</f>
        <v>897600</v>
      </c>
      <c r="G128" s="17"/>
    </row>
    <row r="129" spans="1:7" x14ac:dyDescent="0.25">
      <c r="A129" s="101" t="s">
        <v>462</v>
      </c>
      <c r="B129" s="17">
        <v>88648462</v>
      </c>
      <c r="C129" s="17">
        <v>11150250</v>
      </c>
      <c r="D129" s="17">
        <f t="shared" si="1"/>
        <v>11150250</v>
      </c>
      <c r="E129" s="49">
        <f>VLOOKUP($A129,'Data shares'!$C:$FA,128)*100</f>
        <v>2.2999999999999998</v>
      </c>
      <c r="F129" s="49">
        <f>VLOOKUP($A129,'Data shares'!$C:$FA,129)</f>
        <v>239625</v>
      </c>
      <c r="G129" s="17"/>
    </row>
    <row r="130" spans="1:7" x14ac:dyDescent="0.25">
      <c r="A130" s="101" t="s">
        <v>274</v>
      </c>
      <c r="B130" s="17">
        <v>30511703</v>
      </c>
      <c r="C130" s="17">
        <v>3556000</v>
      </c>
      <c r="D130" s="17">
        <f t="shared" si="1"/>
        <v>3556000</v>
      </c>
      <c r="E130" s="49">
        <f>VLOOKUP($A130,'Data shares'!$C:$FA,128)*100</f>
        <v>1.17</v>
      </c>
      <c r="F130" s="49">
        <f>VLOOKUP($A130,'Data shares'!$C:$FA,129)</f>
        <v>92500</v>
      </c>
      <c r="G130" s="17"/>
    </row>
    <row r="131" spans="1:7" x14ac:dyDescent="0.25">
      <c r="A131" s="101" t="s">
        <v>279</v>
      </c>
      <c r="B131" s="17">
        <v>119890099</v>
      </c>
      <c r="C131" s="17">
        <v>77232800</v>
      </c>
      <c r="D131" s="17">
        <f t="shared" si="1"/>
        <v>77232800</v>
      </c>
      <c r="E131" s="49">
        <f>VLOOKUP($A131,'Data shares'!$C:$FA,128)*100</f>
        <v>2.1</v>
      </c>
      <c r="F131" s="49">
        <f>VLOOKUP($A131,'Data shares'!$C:$FA,129)</f>
        <v>1263650</v>
      </c>
      <c r="G131" s="17"/>
    </row>
    <row r="132" spans="1:7" x14ac:dyDescent="0.25">
      <c r="A132" s="101" t="s">
        <v>247</v>
      </c>
      <c r="B132" s="17">
        <v>180580821</v>
      </c>
      <c r="C132" s="17">
        <v>128041552</v>
      </c>
      <c r="D132" s="17">
        <f t="shared" si="1"/>
        <v>128041552</v>
      </c>
      <c r="E132" s="49">
        <f>VLOOKUP($A132,'Data shares'!$C:$FA,128)*100</f>
        <v>14.34</v>
      </c>
      <c r="F132" s="49">
        <f>VLOOKUP($A132,'Data shares'!$C:$FA,129)</f>
        <v>629425</v>
      </c>
      <c r="G132" s="17"/>
    </row>
    <row r="133" spans="1:7" x14ac:dyDescent="0.25">
      <c r="A133" s="101" t="s">
        <v>291</v>
      </c>
      <c r="B133" s="17">
        <v>120211514</v>
      </c>
      <c r="C133" s="17">
        <v>18359325</v>
      </c>
      <c r="D133" s="17">
        <f t="shared" si="1"/>
        <v>18359325</v>
      </c>
      <c r="E133" s="49">
        <f>VLOOKUP($A133,'Data shares'!$C:$FA,128)*100</f>
        <v>4.1099999999999994</v>
      </c>
      <c r="F133" s="49">
        <f>VLOOKUP($A133,'Data shares'!$C:$FA,129)</f>
        <v>553300</v>
      </c>
      <c r="G133" s="17"/>
    </row>
    <row r="134" spans="1:7" x14ac:dyDescent="0.25">
      <c r="A134" s="101" t="s">
        <v>269</v>
      </c>
      <c r="B134" s="17">
        <v>996134149</v>
      </c>
      <c r="C134" s="17">
        <v>204565900</v>
      </c>
      <c r="D134" s="17">
        <f t="shared" si="1"/>
        <v>204565900</v>
      </c>
      <c r="E134" s="49">
        <f>VLOOKUP($A134,'Data shares'!$C:$FA,128)*100</f>
        <v>4.24</v>
      </c>
      <c r="F134" s="49">
        <f>VLOOKUP($A134,'Data shares'!$C:$FA,129)</f>
        <v>3624750</v>
      </c>
      <c r="G134" s="17"/>
    </row>
    <row r="135" spans="1:7" x14ac:dyDescent="0.25">
      <c r="A135" s="101" t="s">
        <v>217</v>
      </c>
      <c r="B135" s="17">
        <v>75218562</v>
      </c>
      <c r="C135" s="17">
        <v>11613000</v>
      </c>
      <c r="D135" s="17">
        <f t="shared" ref="D135:D161" si="2">C135</f>
        <v>11613000</v>
      </c>
      <c r="E135" s="49">
        <f>VLOOKUP($A135,'Data shares'!$C:$FA,128)*100</f>
        <v>2.5499999999999998</v>
      </c>
      <c r="F135" s="49">
        <f>VLOOKUP($A135,'Data shares'!$C:$FA,129)</f>
        <v>221500</v>
      </c>
      <c r="G135" s="17"/>
    </row>
    <row r="136" spans="1:7" x14ac:dyDescent="0.25">
      <c r="A136" s="101" t="s">
        <v>495</v>
      </c>
      <c r="B136" s="17">
        <v>44974045</v>
      </c>
      <c r="C136" s="17">
        <v>4232500</v>
      </c>
      <c r="D136" s="17">
        <f t="shared" si="2"/>
        <v>4232500</v>
      </c>
      <c r="E136" s="49">
        <f>VLOOKUP($A136,'Data shares'!$C:$FA,128)*100</f>
        <v>3.5900000000000003</v>
      </c>
      <c r="F136" s="49">
        <f>VLOOKUP($A136,'Data shares'!$C:$FA,129)</f>
        <v>608000</v>
      </c>
      <c r="G136" s="17"/>
    </row>
    <row r="137" spans="1:7" x14ac:dyDescent="0.25">
      <c r="A137" s="101" t="s">
        <v>250</v>
      </c>
      <c r="B137" s="17">
        <v>48318354</v>
      </c>
      <c r="C137" s="17">
        <v>18007250</v>
      </c>
      <c r="D137" s="17">
        <f t="shared" si="2"/>
        <v>18007250</v>
      </c>
      <c r="E137" s="49">
        <f>VLOOKUP($A137,'Data shares'!$C:$FA,128)*100</f>
        <v>2.3800000000000003</v>
      </c>
      <c r="F137" s="49">
        <f>VLOOKUP($A137,'Data shares'!$C:$FA,129)</f>
        <v>181900</v>
      </c>
      <c r="G137" s="17"/>
    </row>
    <row r="138" spans="1:7" x14ac:dyDescent="0.25">
      <c r="A138" s="101" t="s">
        <v>278</v>
      </c>
      <c r="B138" s="17">
        <v>27187764</v>
      </c>
      <c r="C138" s="17">
        <v>3521550</v>
      </c>
      <c r="D138" s="17">
        <f t="shared" si="2"/>
        <v>3521550</v>
      </c>
      <c r="E138" s="49">
        <f>VLOOKUP($A138,'Data shares'!$C:$FA,128)*100</f>
        <v>2.19</v>
      </c>
      <c r="F138" s="49">
        <f>VLOOKUP($A138,'Data shares'!$C:$FA,129)</f>
        <v>81000</v>
      </c>
      <c r="G138" s="17"/>
    </row>
    <row r="139" spans="1:7" x14ac:dyDescent="0.25">
      <c r="A139" s="101" t="s">
        <v>163</v>
      </c>
      <c r="B139" s="17">
        <v>24576009</v>
      </c>
      <c r="C139" s="17">
        <v>11979000</v>
      </c>
      <c r="D139" s="17">
        <f t="shared" si="2"/>
        <v>11979000</v>
      </c>
      <c r="E139" s="49">
        <f>VLOOKUP($A139,'Data shares'!$C:$FA,128)*100</f>
        <v>0.6</v>
      </c>
      <c r="F139" s="49">
        <f>VLOOKUP($A139,'Data shares'!$C:$FA,129)</f>
        <v>6875</v>
      </c>
      <c r="G139" s="17"/>
    </row>
    <row r="140" spans="1:7" x14ac:dyDescent="0.25">
      <c r="A140" s="101" t="s">
        <v>289</v>
      </c>
      <c r="B140" s="17">
        <v>19704232</v>
      </c>
      <c r="C140" s="17">
        <v>15520500</v>
      </c>
      <c r="D140" s="17">
        <f t="shared" si="2"/>
        <v>15520500</v>
      </c>
      <c r="E140" s="49">
        <f>VLOOKUP($A140,'Data shares'!$C:$FA,128)*100</f>
        <v>1.87</v>
      </c>
      <c r="F140" s="49">
        <f>VLOOKUP($A140,'Data shares'!$C:$FA,129)</f>
        <v>420700</v>
      </c>
      <c r="G140" s="17"/>
    </row>
    <row r="141" spans="1:7" x14ac:dyDescent="0.25">
      <c r="A141" s="101" t="s">
        <v>529</v>
      </c>
      <c r="B141" s="17">
        <v>10012679</v>
      </c>
      <c r="C141" s="17">
        <v>530550</v>
      </c>
      <c r="D141" s="17">
        <f t="shared" si="2"/>
        <v>530550</v>
      </c>
      <c r="E141" s="49">
        <f>VLOOKUP($A141,'Data shares'!$C:$FA,128)*100</f>
        <v>4.7600000000000007</v>
      </c>
      <c r="F141" s="49">
        <f>VLOOKUP($A141,'Data shares'!$C:$FA,129)</f>
        <v>84200</v>
      </c>
      <c r="G141" s="17"/>
    </row>
    <row r="142" spans="1:7" x14ac:dyDescent="0.25">
      <c r="A142" s="101" t="s">
        <v>265</v>
      </c>
      <c r="B142" s="17">
        <v>7180127</v>
      </c>
      <c r="C142" s="17">
        <v>429550</v>
      </c>
      <c r="D142" s="17">
        <f t="shared" si="2"/>
        <v>429550</v>
      </c>
      <c r="E142" s="49">
        <f>VLOOKUP($A142,'Data shares'!$C:$FA,128)*100</f>
        <v>2.9899999999999998</v>
      </c>
      <c r="F142" s="49">
        <f>VLOOKUP($A142,'Data shares'!$C:$FA,129)</f>
        <v>477500</v>
      </c>
      <c r="G142" s="17"/>
    </row>
    <row r="143" spans="1:7" x14ac:dyDescent="0.25">
      <c r="A143" s="101" t="s">
        <v>486</v>
      </c>
      <c r="B143" s="17">
        <v>32559242</v>
      </c>
      <c r="C143" s="17">
        <v>4156800</v>
      </c>
      <c r="D143" s="17">
        <f t="shared" si="2"/>
        <v>4156800</v>
      </c>
      <c r="E143" s="49">
        <f>VLOOKUP($A143,'Data shares'!$C:$FA,128)*100</f>
        <v>3.8600000000000003</v>
      </c>
      <c r="F143" s="49">
        <f>VLOOKUP($A143,'Data shares'!$C:$FA,129)</f>
        <v>157300</v>
      </c>
      <c r="G143" s="17"/>
    </row>
    <row r="144" spans="1:7" x14ac:dyDescent="0.25">
      <c r="A144" s="101" t="s">
        <v>190</v>
      </c>
      <c r="B144" s="17">
        <v>256482590</v>
      </c>
      <c r="C144" s="17">
        <v>208761000</v>
      </c>
      <c r="D144" s="17">
        <f t="shared" si="2"/>
        <v>208761000</v>
      </c>
      <c r="E144" s="49">
        <f>VLOOKUP($A144,'Data shares'!$C:$FA,128)*100</f>
        <v>5.38</v>
      </c>
      <c r="F144" s="49">
        <f>VLOOKUP($A144,'Data shares'!$C:$FA,129)</f>
        <v>2850750</v>
      </c>
      <c r="G144" s="17"/>
    </row>
    <row r="145" spans="1:7" x14ac:dyDescent="0.25">
      <c r="A145" s="101" t="s">
        <v>303</v>
      </c>
      <c r="B145" s="17">
        <v>109653438</v>
      </c>
      <c r="C145" s="17">
        <v>37709100</v>
      </c>
      <c r="D145" s="17">
        <f t="shared" si="2"/>
        <v>37709100</v>
      </c>
      <c r="E145" s="49">
        <f>VLOOKUP($A145,'Data shares'!$C:$FA,128)*100</f>
        <v>2.3800000000000003</v>
      </c>
      <c r="F145" s="49">
        <f>VLOOKUP($A145,'Data shares'!$C:$FA,129)</f>
        <v>578585</v>
      </c>
      <c r="G145" s="17"/>
    </row>
    <row r="146" spans="1:7" x14ac:dyDescent="0.25">
      <c r="A146" s="101" t="s">
        <v>255</v>
      </c>
      <c r="B146" s="17">
        <v>26359259</v>
      </c>
      <c r="C146" s="17">
        <v>6916100</v>
      </c>
      <c r="D146" s="17">
        <f t="shared" si="2"/>
        <v>6916100</v>
      </c>
      <c r="E146" s="49">
        <f>VLOOKUP($A146,'Data shares'!$C:$FA,128)*100</f>
        <v>7.16</v>
      </c>
      <c r="F146" s="49">
        <f>VLOOKUP($A146,'Data shares'!$C:$FA,129)</f>
        <v>220750</v>
      </c>
      <c r="G146" s="17"/>
    </row>
    <row r="147" spans="1:7" x14ac:dyDescent="0.25">
      <c r="A147" s="101" t="s">
        <v>180</v>
      </c>
      <c r="B147" s="17">
        <v>372635498</v>
      </c>
      <c r="C147" s="17">
        <v>233426700</v>
      </c>
      <c r="D147" s="17">
        <f t="shared" si="2"/>
        <v>233426700</v>
      </c>
      <c r="E147" s="49">
        <f>VLOOKUP($A147,'Data shares'!$C:$FA,128)*100</f>
        <v>4.8500000000000005</v>
      </c>
      <c r="F147" s="49">
        <f>VLOOKUP($A147,'Data shares'!$C:$FA,129)</f>
        <v>4250025</v>
      </c>
      <c r="G147" s="17"/>
    </row>
    <row r="148" spans="1:7" x14ac:dyDescent="0.25">
      <c r="A148" s="101" t="s">
        <v>179</v>
      </c>
      <c r="B148" s="17">
        <v>193321473</v>
      </c>
      <c r="C148" s="17">
        <v>47098800</v>
      </c>
      <c r="D148" s="17">
        <f t="shared" si="2"/>
        <v>47098800</v>
      </c>
      <c r="E148" s="49">
        <f>VLOOKUP($A148,'Data shares'!$C:$FA,128)*100</f>
        <v>6.49</v>
      </c>
      <c r="F148" s="49">
        <f>VLOOKUP($A148,'Data shares'!$C:$FA,129)</f>
        <v>5911200</v>
      </c>
    </row>
    <row r="149" spans="1:7" x14ac:dyDescent="0.25">
      <c r="A149" s="101" t="s">
        <v>253</v>
      </c>
      <c r="B149" s="17">
        <v>109926618</v>
      </c>
      <c r="C149" s="17">
        <v>54285000</v>
      </c>
      <c r="D149" s="17">
        <f t="shared" si="2"/>
        <v>54285000</v>
      </c>
      <c r="E149" s="49">
        <f>VLOOKUP($A149,'Data shares'!$C:$FA,128)*100</f>
        <v>2.2200000000000002</v>
      </c>
      <c r="F149" s="49">
        <f>VLOOKUP($A149,'Data shares'!$C:$FA,129)</f>
        <v>1032000</v>
      </c>
    </row>
    <row r="150" spans="1:7" x14ac:dyDescent="0.25">
      <c r="A150" s="101" t="s">
        <v>261</v>
      </c>
      <c r="B150" s="17">
        <v>611563</v>
      </c>
      <c r="C150" s="17">
        <v>120180</v>
      </c>
      <c r="D150" s="17">
        <f t="shared" si="2"/>
        <v>120180</v>
      </c>
      <c r="E150" s="49">
        <f>VLOOKUP($A150,'Data shares'!$C:$FA,128)*100</f>
        <v>2.86</v>
      </c>
      <c r="F150" s="49">
        <f>VLOOKUP($A150,'Data shares'!$C:$FA,129)</f>
        <v>128700</v>
      </c>
    </row>
    <row r="151" spans="1:7" x14ac:dyDescent="0.25">
      <c r="A151" s="101" t="s">
        <v>164</v>
      </c>
      <c r="B151" s="17">
        <v>145854205</v>
      </c>
      <c r="C151" s="17">
        <v>46824000</v>
      </c>
      <c r="D151" s="17">
        <f t="shared" si="2"/>
        <v>46824000</v>
      </c>
      <c r="E151" s="49">
        <f>VLOOKUP($A151,'Data shares'!$C:$FA,128)*100</f>
        <v>2.93</v>
      </c>
      <c r="F151" s="49">
        <f>VLOOKUP($A151,'Data shares'!$C:$FA,129)</f>
        <v>1331400</v>
      </c>
    </row>
    <row r="152" spans="1:7" x14ac:dyDescent="0.25">
      <c r="A152" s="101" t="s">
        <v>526</v>
      </c>
      <c r="B152" s="17">
        <v>44365911</v>
      </c>
      <c r="C152" s="17">
        <v>20668300</v>
      </c>
      <c r="D152" s="17">
        <f t="shared" si="2"/>
        <v>20668300</v>
      </c>
      <c r="E152" s="49">
        <f>VLOOKUP($A152,'Data shares'!$C:$FA,128)*100</f>
        <v>3.17</v>
      </c>
      <c r="F152" s="49">
        <f>VLOOKUP($A152,'Data shares'!$C:$FA,129)</f>
        <v>780000</v>
      </c>
    </row>
    <row r="153" spans="1:7" x14ac:dyDescent="0.25">
      <c r="A153" s="101" t="s">
        <v>515</v>
      </c>
      <c r="B153" s="17">
        <v>3083179</v>
      </c>
      <c r="C153" s="17">
        <v>492075</v>
      </c>
      <c r="D153" s="17">
        <f t="shared" si="2"/>
        <v>492075</v>
      </c>
      <c r="E153" s="49">
        <f>VLOOKUP($A153,'Data shares'!$C:$FA,128)*100</f>
        <v>3.17</v>
      </c>
      <c r="F153" s="49">
        <f>VLOOKUP($A153,'Data shares'!$C:$FA,129)</f>
        <v>780000</v>
      </c>
    </row>
    <row r="154" spans="1:7" x14ac:dyDescent="0.25">
      <c r="A154" s="101" t="s">
        <v>226</v>
      </c>
      <c r="B154" s="17">
        <v>26072630</v>
      </c>
      <c r="C154" s="17">
        <v>9897900</v>
      </c>
      <c r="D154" s="17">
        <f t="shared" si="2"/>
        <v>9897900</v>
      </c>
      <c r="E154" s="49">
        <f>VLOOKUP($A154,'Data shares'!$C:$FA,128)*100</f>
        <v>3.3000000000000003</v>
      </c>
      <c r="F154" s="49">
        <f>VLOOKUP($A154,'Data shares'!$C:$FA,129)</f>
        <v>110250</v>
      </c>
    </row>
    <row r="155" spans="1:7" x14ac:dyDescent="0.25">
      <c r="A155" s="101" t="s">
        <v>544</v>
      </c>
      <c r="B155" s="17">
        <v>139989683</v>
      </c>
      <c r="C155" s="17">
        <v>28415200</v>
      </c>
      <c r="D155" s="17">
        <f t="shared" si="2"/>
        <v>28415200</v>
      </c>
      <c r="E155" s="49">
        <f>VLOOKUP($A155,'Data shares'!$C:$FA,128)*100</f>
        <v>2.48</v>
      </c>
      <c r="F155" s="49">
        <f>VLOOKUP($A155,'Data shares'!$C:$FA,129)</f>
        <v>1565500</v>
      </c>
    </row>
    <row r="156" spans="1:7" x14ac:dyDescent="0.25">
      <c r="A156" s="101" t="s">
        <v>547</v>
      </c>
      <c r="B156" s="17">
        <v>65482129</v>
      </c>
      <c r="C156" s="17">
        <v>33944200</v>
      </c>
      <c r="D156" s="17">
        <f t="shared" si="2"/>
        <v>33944200</v>
      </c>
      <c r="E156" s="49">
        <f>VLOOKUP($A156,'Data shares'!$C:$FA,128)*100</f>
        <v>6.17</v>
      </c>
      <c r="F156" s="49">
        <f>VLOOKUP($A156,'Data shares'!$C:$FA,129)</f>
        <v>2415700</v>
      </c>
    </row>
    <row r="157" spans="1:7" x14ac:dyDescent="0.25">
      <c r="A157" s="101" t="s">
        <v>499</v>
      </c>
      <c r="B157" s="17">
        <v>66687240</v>
      </c>
      <c r="C157" s="17">
        <v>16125200</v>
      </c>
      <c r="D157" s="17">
        <f t="shared" si="2"/>
        <v>16125200</v>
      </c>
      <c r="E157" s="49">
        <f>VLOOKUP($A157,'Data shares'!$C:$FA,128)*100</f>
        <v>2.48</v>
      </c>
      <c r="F157" s="49">
        <f>VLOOKUP($A157,'Data shares'!$C:$FA,129)</f>
        <v>1565500</v>
      </c>
    </row>
    <row r="158" spans="1:7" x14ac:dyDescent="0.25">
      <c r="A158" s="101" t="s">
        <v>483</v>
      </c>
      <c r="B158" s="17">
        <v>16146181</v>
      </c>
      <c r="C158" s="17">
        <v>1914250</v>
      </c>
      <c r="D158" s="17">
        <f t="shared" si="2"/>
        <v>1914250</v>
      </c>
      <c r="E158" s="49">
        <f>VLOOKUP($A158,'Data shares'!$C:$FA,128)*100</f>
        <v>11.51</v>
      </c>
      <c r="F158" s="49">
        <f>VLOOKUP($A158,'Data shares'!$C:$FA,129)</f>
        <v>432425</v>
      </c>
    </row>
    <row r="159" spans="1:7" x14ac:dyDescent="0.25">
      <c r="A159" s="101" t="s">
        <v>546</v>
      </c>
      <c r="B159" s="17">
        <v>18282414</v>
      </c>
      <c r="C159" s="17">
        <v>13742300</v>
      </c>
      <c r="D159" s="17">
        <f t="shared" si="2"/>
        <v>13742300</v>
      </c>
      <c r="E159" s="49">
        <f>VLOOKUP($A159,'Data shares'!$C:$FA,128)*100</f>
        <v>3.81</v>
      </c>
      <c r="F159" s="49">
        <f>VLOOKUP($A159,'Data shares'!$C:$FA,129)</f>
        <v>5845050</v>
      </c>
    </row>
    <row r="160" spans="1:7" x14ac:dyDescent="0.25">
      <c r="A160" s="101" t="s">
        <v>220</v>
      </c>
      <c r="B160" s="17">
        <v>50687734</v>
      </c>
      <c r="C160" s="17">
        <v>6783500</v>
      </c>
      <c r="D160" s="17">
        <f t="shared" si="2"/>
        <v>6783500</v>
      </c>
      <c r="E160" s="49">
        <f>VLOOKUP($A160,'Data shares'!$C:$FA,128)*100</f>
        <v>2.8000000000000003</v>
      </c>
      <c r="F160" s="49">
        <f>VLOOKUP($A160,'Data shares'!$C:$FA,129)</f>
        <v>286000</v>
      </c>
    </row>
    <row r="161" spans="1:6" x14ac:dyDescent="0.25">
      <c r="A161" s="101" t="s">
        <v>472</v>
      </c>
      <c r="B161" s="17">
        <v>50993734</v>
      </c>
      <c r="C161" s="17">
        <v>3803750</v>
      </c>
      <c r="D161" s="17">
        <f t="shared" si="2"/>
        <v>3803750</v>
      </c>
      <c r="E161" s="49">
        <f>VLOOKUP($A161,'Data shares'!$C:$FA,128)*100</f>
        <v>1.6400000000000001</v>
      </c>
      <c r="F161" s="49">
        <f>VLOOKUP($A161,'Data shares'!$C:$FA,129)</f>
        <v>92625</v>
      </c>
    </row>
    <row r="162" spans="1:6" x14ac:dyDescent="0.25">
      <c r="A162" t="s">
        <v>535</v>
      </c>
      <c r="B162">
        <v>78168147</v>
      </c>
      <c r="C162">
        <v>9571500</v>
      </c>
      <c r="D162" s="17">
        <f t="shared" ref="D162:D204" si="3">C162</f>
        <v>9571500</v>
      </c>
      <c r="E162" s="49">
        <f>VLOOKUP($A162,'Data shares'!$C:$FA,128)*100</f>
        <v>4.6399999999999997</v>
      </c>
      <c r="F162" s="49">
        <f>VLOOKUP($A162,'Data shares'!$C:$FA,129)</f>
        <v>747150</v>
      </c>
    </row>
    <row r="163" spans="1:6" x14ac:dyDescent="0.25">
      <c r="A163" t="s">
        <v>492</v>
      </c>
      <c r="B163">
        <v>28779078</v>
      </c>
      <c r="C163">
        <v>14404150</v>
      </c>
      <c r="D163" s="17">
        <f t="shared" si="3"/>
        <v>14404150</v>
      </c>
      <c r="E163" s="49">
        <f>VLOOKUP($A163,'Data shares'!$C:$FA,128)*100</f>
        <v>4.22</v>
      </c>
      <c r="F163" s="49">
        <f>VLOOKUP($A163,'Data shares'!$C:$FA,129)</f>
        <v>409475</v>
      </c>
    </row>
    <row r="164" spans="1:6" x14ac:dyDescent="0.25">
      <c r="A164" t="s">
        <v>298</v>
      </c>
      <c r="B164">
        <v>9731600</v>
      </c>
      <c r="C164">
        <v>863500</v>
      </c>
      <c r="D164" s="17">
        <f t="shared" si="3"/>
        <v>863500</v>
      </c>
      <c r="E164" s="49">
        <f>VLOOKUP($A164,'Data shares'!$C:$FA,128)*100</f>
        <v>1.28</v>
      </c>
      <c r="F164" s="49">
        <f>VLOOKUP($A164,'Data shares'!$C:$FA,129)</f>
        <v>24500</v>
      </c>
    </row>
    <row r="165" spans="1:6" x14ac:dyDescent="0.25">
      <c r="A165" t="s">
        <v>548</v>
      </c>
      <c r="B165">
        <v>442076</v>
      </c>
      <c r="C165">
        <v>9615</v>
      </c>
      <c r="D165" s="17">
        <f t="shared" si="3"/>
        <v>9615</v>
      </c>
      <c r="E165" s="49">
        <f>VLOOKUP($A165,'Data shares'!$C:$FA,128)*100</f>
        <v>10.100000000000001</v>
      </c>
      <c r="F165" s="49">
        <f>VLOOKUP($A165,'Data shares'!$C:$FA,129)</f>
        <v>3922450</v>
      </c>
    </row>
    <row r="166" spans="1:6" x14ac:dyDescent="0.25">
      <c r="A166" t="s">
        <v>530</v>
      </c>
      <c r="B166">
        <v>3258166</v>
      </c>
      <c r="C166">
        <v>219750</v>
      </c>
      <c r="D166" s="17">
        <f t="shared" si="3"/>
        <v>219750</v>
      </c>
      <c r="E166" s="49">
        <f>VLOOKUP($A166,'Data shares'!$C:$FA,128)*100</f>
        <v>7.91</v>
      </c>
      <c r="F166" s="49">
        <f>VLOOKUP($A166,'Data shares'!$C:$FA,129)</f>
        <v>597975</v>
      </c>
    </row>
    <row r="167" spans="1:6" x14ac:dyDescent="0.25">
      <c r="A167" t="s">
        <v>249</v>
      </c>
      <c r="B167">
        <v>277168216</v>
      </c>
      <c r="C167">
        <v>21795375</v>
      </c>
      <c r="D167" s="17">
        <f t="shared" si="3"/>
        <v>21795375</v>
      </c>
      <c r="E167" s="49">
        <f>VLOOKUP($A167,'Data shares'!$C:$FA,128)*100</f>
        <v>9.31</v>
      </c>
      <c r="F167" s="49">
        <f>VLOOKUP($A167,'Data shares'!$C:$FA,129)</f>
        <v>1389675</v>
      </c>
    </row>
    <row r="168" spans="1:6" x14ac:dyDescent="0.25">
      <c r="A168" t="s">
        <v>216</v>
      </c>
      <c r="B168">
        <v>484955219</v>
      </c>
      <c r="C168">
        <v>230400000</v>
      </c>
      <c r="D168" s="17">
        <f t="shared" si="3"/>
        <v>230400000</v>
      </c>
      <c r="E168" s="49">
        <f>VLOOKUP($A168,'Data shares'!$C:$FA,128)*100</f>
        <v>3.81</v>
      </c>
      <c r="F168" s="49">
        <f>VLOOKUP($A168,'Data shares'!$C:$FA,129)</f>
        <v>5845050</v>
      </c>
    </row>
    <row r="169" spans="1:6" x14ac:dyDescent="0.25">
      <c r="A169" t="s">
        <v>252</v>
      </c>
      <c r="B169">
        <v>117640832</v>
      </c>
      <c r="C169">
        <v>52456000</v>
      </c>
      <c r="D169" s="17">
        <f t="shared" si="3"/>
        <v>52456000</v>
      </c>
      <c r="E169" s="49">
        <f>VLOOKUP($A169,'Data shares'!$C:$FA,128)*100</f>
        <v>9.9</v>
      </c>
      <c r="F169" s="49">
        <f>VLOOKUP($A169,'Data shares'!$C:$FA,129)</f>
        <v>1814800</v>
      </c>
    </row>
    <row r="170" spans="1:6" x14ac:dyDescent="0.25">
      <c r="A170" t="s">
        <v>205</v>
      </c>
      <c r="B170">
        <v>25513876</v>
      </c>
      <c r="C170">
        <v>3302300</v>
      </c>
      <c r="D170" s="17">
        <f t="shared" si="3"/>
        <v>3302300</v>
      </c>
      <c r="E170" s="49">
        <f>VLOOKUP($A170,'Data shares'!$C:$FA,128)*100</f>
        <v>2.44</v>
      </c>
      <c r="F170" s="49">
        <f>VLOOKUP($A170,'Data shares'!$C:$FA,129)</f>
        <v>82000</v>
      </c>
    </row>
    <row r="171" spans="1:6" x14ac:dyDescent="0.25">
      <c r="A171" t="s">
        <v>194</v>
      </c>
      <c r="B171">
        <v>202646440</v>
      </c>
      <c r="C171">
        <v>52470000</v>
      </c>
      <c r="D171" s="17">
        <f t="shared" si="3"/>
        <v>52470000</v>
      </c>
      <c r="E171" s="49">
        <f>VLOOKUP($A171,'Data shares'!$C:$FA,128)*100</f>
        <v>3.3000000000000003</v>
      </c>
      <c r="F171" s="49">
        <f>VLOOKUP($A171,'Data shares'!$C:$FA,129)</f>
        <v>1042800</v>
      </c>
    </row>
    <row r="172" spans="1:6" x14ac:dyDescent="0.25">
      <c r="A172" t="s">
        <v>263</v>
      </c>
      <c r="B172">
        <v>178967755</v>
      </c>
      <c r="C172">
        <v>142910500</v>
      </c>
      <c r="D172" s="17">
        <f t="shared" si="3"/>
        <v>142910500</v>
      </c>
      <c r="E172" s="49">
        <f>VLOOKUP($A172,'Data shares'!$C:$FA,128)*100</f>
        <v>5.4399999999999995</v>
      </c>
      <c r="F172" s="49">
        <f>VLOOKUP($A172,'Data shares'!$C:$FA,129)</f>
        <v>3045000</v>
      </c>
    </row>
    <row r="173" spans="1:6" x14ac:dyDescent="0.25">
      <c r="A173" t="s">
        <v>476</v>
      </c>
      <c r="B173">
        <v>40446155</v>
      </c>
      <c r="C173">
        <v>4358800</v>
      </c>
      <c r="D173" s="17">
        <f t="shared" si="3"/>
        <v>4358800</v>
      </c>
      <c r="E173" s="49">
        <f>VLOOKUP($A173,'Data shares'!$C:$FA,128)*100</f>
        <v>4.5199999999999996</v>
      </c>
      <c r="F173" s="49">
        <f>VLOOKUP($A173,'Data shares'!$C:$FA,129)</f>
        <v>91000</v>
      </c>
    </row>
    <row r="174" spans="1:6" x14ac:dyDescent="0.25">
      <c r="A174" t="s">
        <v>187</v>
      </c>
      <c r="B174">
        <v>51436398</v>
      </c>
      <c r="C174">
        <v>7413750</v>
      </c>
      <c r="D174" s="17">
        <f t="shared" si="3"/>
        <v>7413750</v>
      </c>
      <c r="E174" s="49">
        <f>VLOOKUP($A174,'Data shares'!$C:$FA,128)*100</f>
        <v>1.9800000000000002</v>
      </c>
      <c r="F174" s="49">
        <f>VLOOKUP($A174,'Data shares'!$C:$FA,129)</f>
        <v>118500</v>
      </c>
    </row>
    <row r="175" spans="1:6" x14ac:dyDescent="0.25">
      <c r="A175" t="s">
        <v>493</v>
      </c>
      <c r="B175">
        <v>14814614</v>
      </c>
      <c r="C175">
        <v>3344250</v>
      </c>
      <c r="D175" s="17">
        <f t="shared" si="3"/>
        <v>3344250</v>
      </c>
      <c r="E175" s="49">
        <f>VLOOKUP($A175,'Data shares'!$C:$FA,128)*100</f>
        <v>2.77</v>
      </c>
      <c r="F175" s="49">
        <f>VLOOKUP($A175,'Data shares'!$C:$FA,129)</f>
        <v>51675</v>
      </c>
    </row>
    <row r="176" spans="1:6" x14ac:dyDescent="0.25">
      <c r="A176" t="s">
        <v>525</v>
      </c>
      <c r="B176">
        <v>35635456</v>
      </c>
      <c r="C176">
        <v>28959300</v>
      </c>
      <c r="D176" s="17">
        <f t="shared" si="3"/>
        <v>28959300</v>
      </c>
      <c r="E176" s="49">
        <f>VLOOKUP($A176,'Data shares'!$C:$FA,128)*100</f>
        <v>2.59</v>
      </c>
      <c r="F176" s="49">
        <f>VLOOKUP($A176,'Data shares'!$C:$FA,129)</f>
        <v>558175</v>
      </c>
    </row>
    <row r="177" spans="1:6" x14ac:dyDescent="0.25">
      <c r="A177" t="s">
        <v>512</v>
      </c>
      <c r="B177">
        <v>7771646</v>
      </c>
      <c r="C177">
        <v>1119375</v>
      </c>
      <c r="D177" s="17">
        <f t="shared" si="3"/>
        <v>1119375</v>
      </c>
      <c r="E177" s="49">
        <f>VLOOKUP($A177,'Data shares'!$C:$FA,128)*100</f>
        <v>8.99</v>
      </c>
      <c r="F177" s="49">
        <f>VLOOKUP($A177,'Data shares'!$C:$FA,129)</f>
        <v>231250</v>
      </c>
    </row>
    <row r="178" spans="1:6" x14ac:dyDescent="0.25">
      <c r="A178" t="s">
        <v>233</v>
      </c>
      <c r="B178">
        <v>76432837</v>
      </c>
      <c r="C178">
        <v>9804000</v>
      </c>
      <c r="D178" s="17">
        <f t="shared" si="3"/>
        <v>9804000</v>
      </c>
      <c r="E178" s="49">
        <f>VLOOKUP($A178,'Data shares'!$C:$FA,128)*100</f>
        <v>0.66</v>
      </c>
      <c r="F178" s="49">
        <f>VLOOKUP($A178,'Data shares'!$C:$FA,129)</f>
        <v>94350</v>
      </c>
    </row>
    <row r="179" spans="1:6" x14ac:dyDescent="0.25">
      <c r="A179" t="s">
        <v>183</v>
      </c>
      <c r="B179">
        <v>12092405</v>
      </c>
      <c r="C179">
        <v>2606450</v>
      </c>
      <c r="D179" s="17">
        <f t="shared" si="3"/>
        <v>2606450</v>
      </c>
      <c r="E179" s="49">
        <f>VLOOKUP($A179,'Data shares'!$C:$FA,128)*100</f>
        <v>11.18</v>
      </c>
      <c r="F179" s="49">
        <f>VLOOKUP($A179,'Data shares'!$C:$FA,129)</f>
        <v>197070</v>
      </c>
    </row>
    <row r="180" spans="1:6" x14ac:dyDescent="0.25">
      <c r="A180" t="s">
        <v>280</v>
      </c>
      <c r="B180">
        <v>187084550</v>
      </c>
      <c r="C180">
        <v>50568000</v>
      </c>
      <c r="D180" s="17">
        <f t="shared" si="3"/>
        <v>50568000</v>
      </c>
      <c r="E180" s="49">
        <f>VLOOKUP($A180,'Data shares'!$C:$FA,128)*100</f>
        <v>11</v>
      </c>
      <c r="F180" s="49">
        <f>VLOOKUP($A180,'Data shares'!$C:$FA,129)</f>
        <v>9538200</v>
      </c>
    </row>
    <row r="181" spans="1:6" x14ac:dyDescent="0.25">
      <c r="A181" t="s">
        <v>166</v>
      </c>
      <c r="B181">
        <v>79597108</v>
      </c>
      <c r="C181">
        <v>26630000</v>
      </c>
      <c r="D181" s="17">
        <f t="shared" si="3"/>
        <v>26630000</v>
      </c>
      <c r="E181" s="49">
        <f>VLOOKUP($A181,'Data shares'!$C:$FA,128)*100</f>
        <v>2.19</v>
      </c>
      <c r="F181" s="49">
        <f>VLOOKUP($A181,'Data shares'!$C:$FA,129)</f>
        <v>68375</v>
      </c>
    </row>
    <row r="182" spans="1:6" x14ac:dyDescent="0.25">
      <c r="A182" t="s">
        <v>241</v>
      </c>
      <c r="B182">
        <v>913205148</v>
      </c>
      <c r="C182">
        <v>118527500</v>
      </c>
      <c r="D182" s="17">
        <f t="shared" si="3"/>
        <v>118527500</v>
      </c>
      <c r="E182" s="49">
        <f>VLOOKUP($A182,'Data shares'!$C:$FA,128)*100</f>
        <v>3.82</v>
      </c>
      <c r="F182" s="49">
        <f>VLOOKUP($A182,'Data shares'!$C:$FA,129)</f>
        <v>3149250</v>
      </c>
    </row>
    <row r="183" spans="1:6" x14ac:dyDescent="0.25">
      <c r="A183" t="s">
        <v>517</v>
      </c>
      <c r="B183">
        <v>10180563</v>
      </c>
      <c r="C183">
        <v>3926650</v>
      </c>
      <c r="D183" s="17">
        <f t="shared" si="3"/>
        <v>3926650</v>
      </c>
      <c r="E183" s="49">
        <f>VLOOKUP($A183,'Data shares'!$C:$FA,128)*100</f>
        <v>6.7299999999999995</v>
      </c>
      <c r="F183" s="49">
        <f>VLOOKUP($A183,'Data shares'!$C:$FA,129)</f>
        <v>709375</v>
      </c>
    </row>
    <row r="184" spans="1:6" x14ac:dyDescent="0.25">
      <c r="A184" t="s">
        <v>211</v>
      </c>
      <c r="B184">
        <v>91809066</v>
      </c>
      <c r="C184">
        <v>33516000</v>
      </c>
      <c r="D184" s="17">
        <f t="shared" si="3"/>
        <v>33516000</v>
      </c>
      <c r="E184" s="49">
        <f>VLOOKUP($A184,'Data shares'!$C:$FA,128)*100</f>
        <v>6.5699999999999994</v>
      </c>
      <c r="F184" s="49">
        <f>VLOOKUP($A184,'Data shares'!$C:$FA,129)</f>
        <v>2196000</v>
      </c>
    </row>
    <row r="185" spans="1:6" x14ac:dyDescent="0.25">
      <c r="A185" t="s">
        <v>518</v>
      </c>
      <c r="B185">
        <v>4636018</v>
      </c>
      <c r="C185">
        <v>608375</v>
      </c>
      <c r="D185" s="17">
        <f t="shared" si="3"/>
        <v>608375</v>
      </c>
      <c r="E185" s="49">
        <f>VLOOKUP($A185,'Data shares'!$C:$FA,128)*100</f>
        <v>5.81</v>
      </c>
      <c r="F185" s="49">
        <f>VLOOKUP($A185,'Data shares'!$C:$FA,129)</f>
        <v>64950</v>
      </c>
    </row>
    <row r="186" spans="1:6" x14ac:dyDescent="0.25">
      <c r="A186" t="s">
        <v>511</v>
      </c>
      <c r="B186">
        <v>18644752</v>
      </c>
      <c r="C186">
        <v>4227600</v>
      </c>
      <c r="D186" s="17">
        <f t="shared" si="3"/>
        <v>4227600</v>
      </c>
      <c r="E186" s="49">
        <f>VLOOKUP($A186,'Data shares'!$C:$FA,128)*100</f>
        <v>9.0399999999999991</v>
      </c>
      <c r="F186" s="49">
        <f>VLOOKUP($A186,'Data shares'!$C:$FA,129)</f>
        <v>15957000</v>
      </c>
    </row>
    <row r="187" spans="1:6" x14ac:dyDescent="0.25">
      <c r="A187" t="s">
        <v>186</v>
      </c>
      <c r="B187">
        <v>48589957</v>
      </c>
      <c r="C187">
        <v>5942200</v>
      </c>
      <c r="D187" s="17">
        <f t="shared" si="3"/>
        <v>5942200</v>
      </c>
      <c r="E187" s="49">
        <f>VLOOKUP($A187,'Data shares'!$C:$FA,128)*100</f>
        <v>8.86</v>
      </c>
      <c r="F187" s="49">
        <f>VLOOKUP($A187,'Data shares'!$C:$FA,129)</f>
        <v>9883800</v>
      </c>
    </row>
    <row r="188" spans="1:6" x14ac:dyDescent="0.25">
      <c r="A188" t="s">
        <v>522</v>
      </c>
      <c r="B188">
        <v>1063050</v>
      </c>
      <c r="C188">
        <v>54050</v>
      </c>
      <c r="D188" s="17">
        <f t="shared" si="3"/>
        <v>54050</v>
      </c>
      <c r="E188" s="49">
        <f>VLOOKUP($A188,'Data shares'!$C:$FA,128)*100</f>
        <v>14.02</v>
      </c>
      <c r="F188" s="49">
        <f>VLOOKUP($A188,'Data shares'!$C:$FA,129)</f>
        <v>305500</v>
      </c>
    </row>
    <row r="189" spans="1:6" x14ac:dyDescent="0.25">
      <c r="A189" t="s">
        <v>300</v>
      </c>
      <c r="B189">
        <v>45360865</v>
      </c>
      <c r="C189">
        <v>14277200</v>
      </c>
      <c r="D189" s="17">
        <f t="shared" si="3"/>
        <v>14277200</v>
      </c>
      <c r="E189" s="49">
        <f>VLOOKUP($A189,'Data shares'!$C:$FA,128)*100</f>
        <v>1.5</v>
      </c>
      <c r="F189" s="49">
        <f>VLOOKUP($A189,'Data shares'!$C:$FA,129)</f>
        <v>116550</v>
      </c>
    </row>
    <row r="190" spans="1:6" x14ac:dyDescent="0.25">
      <c r="A190" t="s">
        <v>520</v>
      </c>
      <c r="B190">
        <v>23139622</v>
      </c>
      <c r="C190">
        <v>1555500</v>
      </c>
      <c r="D190" s="17">
        <f t="shared" si="3"/>
        <v>1555500</v>
      </c>
      <c r="E190" s="49">
        <f>VLOOKUP($A190,'Data shares'!$C:$FA,128)*100</f>
        <v>7.93</v>
      </c>
      <c r="F190" s="49">
        <f>VLOOKUP($A190,'Data shares'!$C:$FA,129)</f>
        <v>761000</v>
      </c>
    </row>
    <row r="191" spans="1:6" x14ac:dyDescent="0.25">
      <c r="A191" t="s">
        <v>294</v>
      </c>
      <c r="B191">
        <v>161436977</v>
      </c>
      <c r="C191">
        <v>59382700</v>
      </c>
      <c r="D191" s="17">
        <f t="shared" si="3"/>
        <v>59382700</v>
      </c>
      <c r="E191" s="49">
        <f>VLOOKUP($A191,'Data shares'!$C:$FA,128)*100</f>
        <v>11.450000000000001</v>
      </c>
      <c r="F191" s="49">
        <f>VLOOKUP($A191,'Data shares'!$C:$FA,129)</f>
        <v>23765500</v>
      </c>
    </row>
    <row r="192" spans="1:6" x14ac:dyDescent="0.25">
      <c r="A192" t="s">
        <v>244</v>
      </c>
      <c r="B192">
        <v>265685393</v>
      </c>
      <c r="C192">
        <v>44023500</v>
      </c>
      <c r="D192" s="17">
        <f t="shared" si="3"/>
        <v>44023500</v>
      </c>
      <c r="E192" s="49">
        <f>VLOOKUP($A192,'Data shares'!$C:$FA,128)*100</f>
        <v>1.48</v>
      </c>
      <c r="F192" s="49">
        <f>VLOOKUP($A192,'Data shares'!$C:$FA,129)</f>
        <v>796500</v>
      </c>
    </row>
    <row r="193" spans="1:6" x14ac:dyDescent="0.25">
      <c r="A193" t="s">
        <v>160</v>
      </c>
      <c r="B193">
        <v>145684825</v>
      </c>
      <c r="C193">
        <v>110820000</v>
      </c>
      <c r="D193" s="17">
        <f t="shared" si="3"/>
        <v>110820000</v>
      </c>
      <c r="E193" s="49">
        <f>VLOOKUP($A193,'Data shares'!$C:$FA,128)*100</f>
        <v>4.33</v>
      </c>
      <c r="F193" s="49">
        <f>VLOOKUP($A193,'Data shares'!$C:$FA,129)</f>
        <v>906300</v>
      </c>
    </row>
    <row r="194" spans="1:6" x14ac:dyDescent="0.25">
      <c r="A194" t="s">
        <v>496</v>
      </c>
      <c r="B194">
        <v>11999202</v>
      </c>
      <c r="C194">
        <v>2345700</v>
      </c>
      <c r="D194" s="17">
        <f t="shared" si="3"/>
        <v>2345700</v>
      </c>
      <c r="E194" s="49">
        <f>VLOOKUP($A194,'Data shares'!$C:$FA,128)*100</f>
        <v>1.81</v>
      </c>
      <c r="F194" s="49">
        <f>VLOOKUP($A194,'Data shares'!$C:$FA,129)</f>
        <v>109900</v>
      </c>
    </row>
    <row r="195" spans="1:6" x14ac:dyDescent="0.25">
      <c r="A195" t="s">
        <v>230</v>
      </c>
      <c r="B195">
        <v>179034270</v>
      </c>
      <c r="C195">
        <v>24257400</v>
      </c>
      <c r="D195" s="17">
        <f t="shared" si="3"/>
        <v>24257400</v>
      </c>
      <c r="E195" s="49">
        <f>VLOOKUP($A195,'Data shares'!$C:$FA,128)*100</f>
        <v>2.9499999999999997</v>
      </c>
      <c r="F195" s="49">
        <f>VLOOKUP($A195,'Data shares'!$C:$FA,129)</f>
        <v>372000</v>
      </c>
    </row>
    <row r="196" spans="1:6" x14ac:dyDescent="0.25">
      <c r="A196" t="s">
        <v>203</v>
      </c>
      <c r="B196">
        <v>27165463</v>
      </c>
      <c r="C196">
        <v>3318000</v>
      </c>
      <c r="D196" s="17">
        <f t="shared" si="3"/>
        <v>3318000</v>
      </c>
      <c r="E196" s="49">
        <f>VLOOKUP($A196,'Data shares'!$C:$FA,128)*100</f>
        <v>1.72</v>
      </c>
      <c r="F196" s="49">
        <f>VLOOKUP($A196,'Data shares'!$C:$FA,129)</f>
        <v>54600</v>
      </c>
    </row>
    <row r="197" spans="1:6" x14ac:dyDescent="0.25">
      <c r="A197" t="s">
        <v>251</v>
      </c>
      <c r="B197">
        <v>184464522</v>
      </c>
      <c r="C197">
        <v>32566800</v>
      </c>
      <c r="D197" s="17">
        <f t="shared" si="3"/>
        <v>32566800</v>
      </c>
      <c r="E197" s="49">
        <f>VLOOKUP($A197,'Data shares'!$C:$FA,128)*100</f>
        <v>9.9</v>
      </c>
      <c r="F197" s="49">
        <f>VLOOKUP($A197,'Data shares'!$C:$FA,129)</f>
        <v>1814800</v>
      </c>
    </row>
    <row r="198" spans="1:6" x14ac:dyDescent="0.25">
      <c r="A198" t="s">
        <v>254</v>
      </c>
      <c r="B198">
        <v>104419539</v>
      </c>
      <c r="C198">
        <v>12741000</v>
      </c>
      <c r="D198" s="17">
        <f t="shared" si="3"/>
        <v>12741000</v>
      </c>
      <c r="E198" s="49">
        <f>VLOOKUP($A198,'Data shares'!$C:$FA,128)*100</f>
        <v>0.66</v>
      </c>
      <c r="F198" s="49">
        <f>VLOOKUP($A198,'Data shares'!$C:$FA,129)</f>
        <v>177600</v>
      </c>
    </row>
    <row r="199" spans="1:6" x14ac:dyDescent="0.25">
      <c r="A199" t="s">
        <v>159</v>
      </c>
      <c r="B199">
        <v>55169320</v>
      </c>
      <c r="C199">
        <v>29565500</v>
      </c>
      <c r="D199" s="17">
        <f t="shared" si="3"/>
        <v>29565500</v>
      </c>
      <c r="E199" s="49">
        <f>VLOOKUP($A199,'Data shares'!$C:$FA,128)*100</f>
        <v>9.31</v>
      </c>
      <c r="F199" s="49">
        <f>VLOOKUP($A199,'Data shares'!$C:$FA,129)</f>
        <v>1344150</v>
      </c>
    </row>
    <row r="200" spans="1:6" x14ac:dyDescent="0.25">
      <c r="A200" t="s">
        <v>201</v>
      </c>
      <c r="B200">
        <v>26654592</v>
      </c>
      <c r="C200">
        <v>3469200</v>
      </c>
      <c r="D200" s="17">
        <f t="shared" si="3"/>
        <v>3469200</v>
      </c>
      <c r="E200" s="49">
        <f>VLOOKUP($A200,'Data shares'!$C:$FA,128)*100</f>
        <v>5.64</v>
      </c>
      <c r="F200" s="49">
        <f>VLOOKUP($A200,'Data shares'!$C:$FA,129)</f>
        <v>350325</v>
      </c>
    </row>
    <row r="201" spans="1:6" x14ac:dyDescent="0.25">
      <c r="A201" t="s">
        <v>199</v>
      </c>
      <c r="B201">
        <v>102562642</v>
      </c>
      <c r="C201">
        <v>20641400</v>
      </c>
      <c r="D201" s="17">
        <f t="shared" si="3"/>
        <v>20641400</v>
      </c>
      <c r="E201" s="49">
        <f>VLOOKUP($A201,'Data shares'!$C:$FA,128)*100</f>
        <v>3.94</v>
      </c>
      <c r="F201" s="49">
        <f>VLOOKUP($A201,'Data shares'!$C:$FA,129)</f>
        <v>549000</v>
      </c>
    </row>
    <row r="202" spans="1:6" x14ac:dyDescent="0.25">
      <c r="A202" t="s">
        <v>296</v>
      </c>
      <c r="B202">
        <v>124861039</v>
      </c>
      <c r="C202">
        <v>20543400</v>
      </c>
      <c r="D202" s="17">
        <f t="shared" si="3"/>
        <v>20543400</v>
      </c>
      <c r="E202" s="49">
        <f>VLOOKUP($A202,'Data shares'!$C:$FA,128)*100</f>
        <v>3.56</v>
      </c>
      <c r="F202" s="49">
        <f>VLOOKUP($A202,'Data shares'!$C:$FA,129)</f>
        <v>582000</v>
      </c>
    </row>
    <row r="203" spans="1:6" x14ac:dyDescent="0.25">
      <c r="A203" t="s">
        <v>229</v>
      </c>
      <c r="B203">
        <v>127940594</v>
      </c>
      <c r="C203">
        <v>33552900</v>
      </c>
      <c r="D203" s="17">
        <f t="shared" si="3"/>
        <v>33552900</v>
      </c>
      <c r="E203" s="49">
        <f>VLOOKUP($A203,'Data shares'!$C:$FA,128)*100</f>
        <v>2.29</v>
      </c>
      <c r="F203" s="49">
        <f>VLOOKUP($A203,'Data shares'!$C:$FA,129)</f>
        <v>812025</v>
      </c>
    </row>
    <row r="204" spans="1:6" x14ac:dyDescent="0.25">
      <c r="A204" t="s">
        <v>497</v>
      </c>
      <c r="B204">
        <v>10251929</v>
      </c>
      <c r="C204">
        <v>266200</v>
      </c>
      <c r="D204" s="17">
        <f t="shared" si="3"/>
        <v>266200</v>
      </c>
      <c r="E204" s="49">
        <f>VLOOKUP($A204,'Data shares'!$C:$FA,128)*100</f>
        <v>0.6</v>
      </c>
      <c r="F204" s="49">
        <f>VLOOKUP($A204,'Data shares'!$C:$FA,129)</f>
        <v>6875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D10" sqref="D10"/>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zoomScale="87" zoomScaleNormal="87" workbookViewId="0">
      <selection activeCell="J11" sqref="J11"/>
    </sheetView>
  </sheetViews>
  <sheetFormatPr defaultRowHeight="15" x14ac:dyDescent="0.25"/>
  <cols>
    <col min="1" max="1" width="12.14062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3.5703125" bestFit="1" customWidth="1"/>
    <col min="82" max="82" width="11.42578125" bestFit="1" customWidth="1"/>
    <col min="83" max="83" width="13.140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9.7109375" bestFit="1" customWidth="1"/>
    <col min="91" max="92" width="14.28515625" bestFit="1" customWidth="1"/>
    <col min="93" max="93" width="12.42578125" bestFit="1" customWidth="1"/>
    <col min="94" max="94" width="10.42578125" bestFit="1" customWidth="1"/>
    <col min="95" max="96" width="14.28515625" bestFit="1" customWidth="1"/>
    <col min="97" max="97" width="13.140625" bestFit="1"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46064</v>
      </c>
      <c r="B2" s="227" t="s">
        <v>215</v>
      </c>
      <c r="C2" s="227" t="s">
        <v>159</v>
      </c>
      <c r="D2" s="231">
        <v>2236.6999999999998</v>
      </c>
      <c r="E2" s="231">
        <v>2229.8000000000002</v>
      </c>
      <c r="F2" s="228">
        <v>6.9</v>
      </c>
      <c r="G2" s="229">
        <v>3.0999999999999999E-3</v>
      </c>
      <c r="H2" s="231">
        <v>2234.4</v>
      </c>
      <c r="I2" s="231">
        <v>2228.4</v>
      </c>
      <c r="J2" s="228">
        <v>6</v>
      </c>
      <c r="K2" s="229">
        <v>2.7000000000000001E-3</v>
      </c>
      <c r="L2" s="231">
        <v>2236.6999999999998</v>
      </c>
      <c r="M2" s="231">
        <v>2229.8000000000002</v>
      </c>
      <c r="N2" s="228">
        <v>6.9</v>
      </c>
      <c r="O2" s="229">
        <v>3.0999999999999999E-3</v>
      </c>
      <c r="P2" s="231">
        <v>2235.1999999999998</v>
      </c>
      <c r="Q2" s="231">
        <v>2231.6999999999998</v>
      </c>
      <c r="R2" s="228">
        <v>3.5</v>
      </c>
      <c r="S2" s="229">
        <v>1.6000000000000001E-3</v>
      </c>
      <c r="T2" s="231">
        <v>2235.6999999999998</v>
      </c>
      <c r="U2" s="231">
        <v>2236.6</v>
      </c>
      <c r="V2" s="228">
        <v>-0.9</v>
      </c>
      <c r="W2" s="229">
        <v>-4.0000000000000002E-4</v>
      </c>
      <c r="X2" s="228">
        <v>2.2999999999999998</v>
      </c>
      <c r="Y2" s="228">
        <v>1.4</v>
      </c>
      <c r="Z2" s="228">
        <v>0.9</v>
      </c>
      <c r="AA2" s="229">
        <v>1E-3</v>
      </c>
      <c r="AB2" s="228">
        <v>2.2999999999999998</v>
      </c>
      <c r="AC2" s="228">
        <v>1.4</v>
      </c>
      <c r="AD2" s="228">
        <v>0.9</v>
      </c>
      <c r="AE2" s="229">
        <v>1E-3</v>
      </c>
      <c r="AF2" s="228">
        <v>0.8</v>
      </c>
      <c r="AG2" s="228">
        <v>3.3</v>
      </c>
      <c r="AH2" s="228">
        <v>-2.5</v>
      </c>
      <c r="AI2" s="229">
        <v>4.0000000000000002E-4</v>
      </c>
      <c r="AJ2" s="228">
        <v>1.3</v>
      </c>
      <c r="AK2" s="228">
        <v>8.1999999999999993</v>
      </c>
      <c r="AL2" s="228">
        <v>-6.9</v>
      </c>
      <c r="AM2" s="229">
        <v>5.9999999999999995E-4</v>
      </c>
      <c r="AN2" s="231">
        <v>2230</v>
      </c>
      <c r="AO2" s="231">
        <v>2228.62</v>
      </c>
      <c r="AP2" s="228">
        <v>0</v>
      </c>
      <c r="AQ2" s="230">
        <v>7405</v>
      </c>
      <c r="AR2" s="230">
        <v>16178</v>
      </c>
      <c r="AS2" s="230">
        <v>-8773</v>
      </c>
      <c r="AT2" s="229">
        <v>-0.5423</v>
      </c>
      <c r="AU2" s="230">
        <v>5317</v>
      </c>
      <c r="AV2" s="230">
        <v>14058</v>
      </c>
      <c r="AW2" s="230">
        <v>-8741</v>
      </c>
      <c r="AX2" s="229">
        <v>-0.62180000000000002</v>
      </c>
      <c r="AY2" s="230">
        <v>1870</v>
      </c>
      <c r="AZ2" s="230">
        <v>1857</v>
      </c>
      <c r="BA2" s="228">
        <v>13</v>
      </c>
      <c r="BB2" s="229">
        <v>7.0000000000000001E-3</v>
      </c>
      <c r="BC2" s="228">
        <v>218</v>
      </c>
      <c r="BD2" s="228">
        <v>263</v>
      </c>
      <c r="BE2" s="228">
        <v>-45</v>
      </c>
      <c r="BF2" s="229">
        <v>-0.1711</v>
      </c>
      <c r="BG2" s="230">
        <v>14917</v>
      </c>
      <c r="BH2" s="230">
        <v>45903</v>
      </c>
      <c r="BI2" s="230">
        <v>-30986</v>
      </c>
      <c r="BJ2" s="229">
        <v>-0.67500000000000004</v>
      </c>
      <c r="BK2" s="230">
        <v>11162</v>
      </c>
      <c r="BL2" s="230">
        <v>51100</v>
      </c>
      <c r="BM2" s="230">
        <v>-39938</v>
      </c>
      <c r="BN2" s="229">
        <v>-0.78159999999999996</v>
      </c>
      <c r="BO2" s="230">
        <v>33484</v>
      </c>
      <c r="BP2" s="230">
        <v>113181</v>
      </c>
      <c r="BQ2" s="230">
        <v>-79697</v>
      </c>
      <c r="BR2" s="229">
        <v>-0.70420000000000005</v>
      </c>
      <c r="BS2" s="230">
        <v>728198</v>
      </c>
      <c r="BT2" s="230">
        <v>1790366</v>
      </c>
      <c r="BU2" s="230">
        <v>-1062168</v>
      </c>
      <c r="BV2" s="229">
        <v>-0.59330000000000005</v>
      </c>
      <c r="BW2" s="230">
        <v>18874338</v>
      </c>
      <c r="BX2" s="230">
        <v>18903693</v>
      </c>
      <c r="BY2" s="230">
        <v>-29355</v>
      </c>
      <c r="BZ2" s="229">
        <v>-1.6000000000000001E-3</v>
      </c>
      <c r="CA2" s="230">
        <v>17117364</v>
      </c>
      <c r="CB2" s="230">
        <v>17559543</v>
      </c>
      <c r="CC2" s="230">
        <v>-442179</v>
      </c>
      <c r="CD2" s="229">
        <v>-2.52E-2</v>
      </c>
      <c r="CE2" s="230">
        <v>1541910</v>
      </c>
      <c r="CF2" s="230">
        <v>1137429</v>
      </c>
      <c r="CG2" s="230">
        <v>404481</v>
      </c>
      <c r="CH2" s="229">
        <v>0.35560000000000003</v>
      </c>
      <c r="CI2" s="230">
        <v>215064</v>
      </c>
      <c r="CJ2" s="230">
        <v>206721</v>
      </c>
      <c r="CK2" s="230">
        <v>8343</v>
      </c>
      <c r="CL2" s="229">
        <v>4.0399999999999998E-2</v>
      </c>
      <c r="CM2" s="230">
        <v>8355669</v>
      </c>
      <c r="CN2" s="230">
        <v>8158527</v>
      </c>
      <c r="CO2" s="230">
        <v>197142</v>
      </c>
      <c r="CP2" s="229">
        <v>2.4199999999999999E-2</v>
      </c>
      <c r="CQ2" s="230">
        <v>7634154</v>
      </c>
      <c r="CR2" s="230">
        <v>7670307</v>
      </c>
      <c r="CS2" s="230">
        <v>-36153</v>
      </c>
      <c r="CT2" s="229">
        <v>-4.7000000000000002E-3</v>
      </c>
      <c r="CU2" s="230">
        <v>34864161</v>
      </c>
      <c r="CV2" s="230">
        <v>34732527</v>
      </c>
      <c r="CW2" s="230">
        <v>131634</v>
      </c>
      <c r="CX2" s="229">
        <v>3.8E-3</v>
      </c>
      <c r="CY2" s="228">
        <v>38.020000000000003</v>
      </c>
      <c r="CZ2" s="228">
        <v>38.979999999999997</v>
      </c>
      <c r="DA2" s="228">
        <v>-0.96</v>
      </c>
      <c r="DB2" s="228">
        <v>-0.96</v>
      </c>
      <c r="DC2" s="228">
        <v>49.29</v>
      </c>
      <c r="DD2" s="228">
        <v>49.41</v>
      </c>
      <c r="DE2" s="228">
        <v>-11.27</v>
      </c>
      <c r="DF2" s="228">
        <v>-0.12</v>
      </c>
      <c r="DG2" s="228">
        <v>36.29</v>
      </c>
      <c r="DH2" s="228">
        <v>36.68</v>
      </c>
      <c r="DI2" s="228">
        <v>-0.39</v>
      </c>
      <c r="DJ2" s="228">
        <v>-0.39</v>
      </c>
      <c r="DK2" s="228">
        <v>40.33</v>
      </c>
      <c r="DL2" s="228">
        <v>41.06</v>
      </c>
      <c r="DM2" s="228">
        <v>-0.73</v>
      </c>
      <c r="DN2" s="228">
        <v>-0.73</v>
      </c>
      <c r="DO2" s="228">
        <v>0.91</v>
      </c>
      <c r="DP2" s="228">
        <v>0.94</v>
      </c>
      <c r="DQ2" s="228">
        <v>-0.03</v>
      </c>
      <c r="DR2" s="229">
        <v>-3.1899999999999998E-2</v>
      </c>
      <c r="DS2" s="231">
        <v>2300</v>
      </c>
      <c r="DT2" s="231">
        <v>2200</v>
      </c>
      <c r="DU2" s="228">
        <v>0.75</v>
      </c>
      <c r="DV2" s="228">
        <v>1.1100000000000001</v>
      </c>
      <c r="DW2" s="228">
        <v>-0.36</v>
      </c>
      <c r="DX2" s="229">
        <v>-0.32429999999999998</v>
      </c>
      <c r="DY2" s="229">
        <v>9.3100000000000002E-2</v>
      </c>
      <c r="DZ2" s="230">
        <v>1344150</v>
      </c>
      <c r="EA2" s="229">
        <v>-6.9999999999999999E-4</v>
      </c>
      <c r="EB2" s="229">
        <v>9.3100000000000002E-2</v>
      </c>
      <c r="EC2" s="228">
        <v>-1.38</v>
      </c>
      <c r="ED2" s="229">
        <v>-5.9999999999999995E-4</v>
      </c>
      <c r="EE2" s="230">
        <v>282064</v>
      </c>
      <c r="EF2" s="230">
        <v>283605</v>
      </c>
      <c r="EG2" s="229">
        <v>-5.4000000000000003E-3</v>
      </c>
      <c r="EH2" s="229">
        <v>0.38729999999999998</v>
      </c>
      <c r="EI2" s="231">
        <v>108151.38</v>
      </c>
      <c r="EJ2" s="231">
        <v>74352.37</v>
      </c>
      <c r="EK2" s="231">
        <v>51017.37</v>
      </c>
      <c r="EL2" s="231">
        <v>10593</v>
      </c>
      <c r="EM2" s="231">
        <v>233521.12</v>
      </c>
      <c r="EN2" s="231">
        <v>786535.26</v>
      </c>
      <c r="EO2" s="231">
        <v>-553014.14</v>
      </c>
      <c r="EP2" s="229">
        <v>-0.70309999999999995</v>
      </c>
      <c r="EQ2" s="231">
        <v>189675</v>
      </c>
      <c r="ER2" s="231">
        <v>160154</v>
      </c>
      <c r="ES2" s="231">
        <v>422137</v>
      </c>
      <c r="ET2" s="231">
        <v>49117354</v>
      </c>
      <c r="EU2" s="231">
        <v>771966</v>
      </c>
      <c r="EV2" s="231">
        <v>767239</v>
      </c>
      <c r="EW2" s="231">
        <v>4727</v>
      </c>
      <c r="EX2" s="229">
        <v>6.1999999999999998E-3</v>
      </c>
      <c r="EY2" s="229">
        <v>0.70979999999999999</v>
      </c>
    </row>
    <row r="3" spans="1:155" ht="17.25" thickBot="1" x14ac:dyDescent="0.3">
      <c r="A3" s="226">
        <v>46064</v>
      </c>
      <c r="B3" s="227" t="s">
        <v>215</v>
      </c>
      <c r="C3" s="227" t="s">
        <v>160</v>
      </c>
      <c r="D3" s="231">
        <v>1555.8</v>
      </c>
      <c r="E3" s="231">
        <v>1559.4</v>
      </c>
      <c r="F3" s="228">
        <v>-3.6</v>
      </c>
      <c r="G3" s="229">
        <v>-2.3E-3</v>
      </c>
      <c r="H3" s="231">
        <v>1553.4</v>
      </c>
      <c r="I3" s="231">
        <v>1554.7</v>
      </c>
      <c r="J3" s="228">
        <v>-1.3</v>
      </c>
      <c r="K3" s="229">
        <v>-8.0000000000000004E-4</v>
      </c>
      <c r="L3" s="231">
        <v>1555.8</v>
      </c>
      <c r="M3" s="231">
        <v>1559.4</v>
      </c>
      <c r="N3" s="228">
        <v>-3.6</v>
      </c>
      <c r="O3" s="229">
        <v>-2.3E-3</v>
      </c>
      <c r="P3" s="231">
        <v>1564.8</v>
      </c>
      <c r="Q3" s="231">
        <v>1569.2</v>
      </c>
      <c r="R3" s="228">
        <v>-4.4000000000000004</v>
      </c>
      <c r="S3" s="229">
        <v>-2.8E-3</v>
      </c>
      <c r="T3" s="231">
        <v>1576.8</v>
      </c>
      <c r="U3" s="231">
        <v>1579.7</v>
      </c>
      <c r="V3" s="228">
        <v>-2.9</v>
      </c>
      <c r="W3" s="229">
        <v>-1.8E-3</v>
      </c>
      <c r="X3" s="228">
        <v>2.4</v>
      </c>
      <c r="Y3" s="228">
        <v>4.7</v>
      </c>
      <c r="Z3" s="228">
        <v>-2.2999999999999998</v>
      </c>
      <c r="AA3" s="229">
        <v>1.5E-3</v>
      </c>
      <c r="AB3" s="228">
        <v>2.4</v>
      </c>
      <c r="AC3" s="228">
        <v>4.7</v>
      </c>
      <c r="AD3" s="228">
        <v>-2.2999999999999998</v>
      </c>
      <c r="AE3" s="229">
        <v>1.5E-3</v>
      </c>
      <c r="AF3" s="228">
        <v>11.4</v>
      </c>
      <c r="AG3" s="228">
        <v>14.5</v>
      </c>
      <c r="AH3" s="228">
        <v>-3.1</v>
      </c>
      <c r="AI3" s="229">
        <v>7.3000000000000001E-3</v>
      </c>
      <c r="AJ3" s="228">
        <v>23.4</v>
      </c>
      <c r="AK3" s="228">
        <v>25</v>
      </c>
      <c r="AL3" s="228">
        <v>-1.6</v>
      </c>
      <c r="AM3" s="229">
        <v>1.5100000000000001E-2</v>
      </c>
      <c r="AN3" s="231">
        <v>1552.89</v>
      </c>
      <c r="AO3" s="231">
        <v>1562.84</v>
      </c>
      <c r="AP3" s="228">
        <v>0</v>
      </c>
      <c r="AQ3" s="230">
        <v>3051</v>
      </c>
      <c r="AR3" s="230">
        <v>8098</v>
      </c>
      <c r="AS3" s="230">
        <v>-5047</v>
      </c>
      <c r="AT3" s="229">
        <v>-0.62319999999999998</v>
      </c>
      <c r="AU3" s="230">
        <v>2764</v>
      </c>
      <c r="AV3" s="230">
        <v>7526</v>
      </c>
      <c r="AW3" s="230">
        <v>-4762</v>
      </c>
      <c r="AX3" s="229">
        <v>-0.63270000000000004</v>
      </c>
      <c r="AY3" s="228">
        <v>274</v>
      </c>
      <c r="AZ3" s="228">
        <v>527</v>
      </c>
      <c r="BA3" s="228">
        <v>-253</v>
      </c>
      <c r="BB3" s="229">
        <v>-0.48010000000000003</v>
      </c>
      <c r="BC3" s="228">
        <v>13</v>
      </c>
      <c r="BD3" s="228">
        <v>45</v>
      </c>
      <c r="BE3" s="228">
        <v>-32</v>
      </c>
      <c r="BF3" s="229">
        <v>-0.71109999999999995</v>
      </c>
      <c r="BG3" s="230">
        <v>13061</v>
      </c>
      <c r="BH3" s="230">
        <v>27920</v>
      </c>
      <c r="BI3" s="230">
        <v>-14859</v>
      </c>
      <c r="BJ3" s="229">
        <v>-0.53220000000000001</v>
      </c>
      <c r="BK3" s="230">
        <v>11866</v>
      </c>
      <c r="BL3" s="230">
        <v>27579</v>
      </c>
      <c r="BM3" s="230">
        <v>-15713</v>
      </c>
      <c r="BN3" s="229">
        <v>-0.56969999999999998</v>
      </c>
      <c r="BO3" s="230">
        <v>27978</v>
      </c>
      <c r="BP3" s="230">
        <v>63597</v>
      </c>
      <c r="BQ3" s="230">
        <v>-35619</v>
      </c>
      <c r="BR3" s="229">
        <v>-0.56010000000000004</v>
      </c>
      <c r="BS3" s="230">
        <v>1529414</v>
      </c>
      <c r="BT3" s="230">
        <v>1874785</v>
      </c>
      <c r="BU3" s="230">
        <v>-345371</v>
      </c>
      <c r="BV3" s="229">
        <v>-0.1842</v>
      </c>
      <c r="BW3" s="230">
        <v>21816750</v>
      </c>
      <c r="BX3" s="230">
        <v>21689450</v>
      </c>
      <c r="BY3" s="230">
        <v>127300</v>
      </c>
      <c r="BZ3" s="229">
        <v>5.8999999999999999E-3</v>
      </c>
      <c r="CA3" s="230">
        <v>20872925</v>
      </c>
      <c r="CB3" s="230">
        <v>20783150</v>
      </c>
      <c r="CC3" s="230">
        <v>89775</v>
      </c>
      <c r="CD3" s="229">
        <v>4.3E-3</v>
      </c>
      <c r="CE3" s="230">
        <v>808450</v>
      </c>
      <c r="CF3" s="230">
        <v>772825</v>
      </c>
      <c r="CG3" s="230">
        <v>35625</v>
      </c>
      <c r="CH3" s="229">
        <v>4.6100000000000002E-2</v>
      </c>
      <c r="CI3" s="230">
        <v>135375</v>
      </c>
      <c r="CJ3" s="230">
        <v>133475</v>
      </c>
      <c r="CK3" s="230">
        <v>1900</v>
      </c>
      <c r="CL3" s="229">
        <v>1.4200000000000001E-2</v>
      </c>
      <c r="CM3" s="230">
        <v>9748900</v>
      </c>
      <c r="CN3" s="230">
        <v>9636800</v>
      </c>
      <c r="CO3" s="230">
        <v>112100</v>
      </c>
      <c r="CP3" s="229">
        <v>1.1599999999999999E-2</v>
      </c>
      <c r="CQ3" s="230">
        <v>8502500</v>
      </c>
      <c r="CR3" s="230">
        <v>8369500</v>
      </c>
      <c r="CS3" s="230">
        <v>133000</v>
      </c>
      <c r="CT3" s="229">
        <v>1.5900000000000001E-2</v>
      </c>
      <c r="CU3" s="230">
        <v>40068150</v>
      </c>
      <c r="CV3" s="230">
        <v>39695750</v>
      </c>
      <c r="CW3" s="230">
        <v>372400</v>
      </c>
      <c r="CX3" s="229">
        <v>9.4000000000000004E-3</v>
      </c>
      <c r="CY3" s="228">
        <v>28.83</v>
      </c>
      <c r="CZ3" s="228">
        <v>29.56</v>
      </c>
      <c r="DA3" s="228">
        <v>-0.73</v>
      </c>
      <c r="DB3" s="228">
        <v>-0.73</v>
      </c>
      <c r="DC3" s="228">
        <v>38.869999999999997</v>
      </c>
      <c r="DD3" s="228">
        <v>38.97</v>
      </c>
      <c r="DE3" s="228">
        <v>-10.039999999999999</v>
      </c>
      <c r="DF3" s="228">
        <v>-0.1</v>
      </c>
      <c r="DG3" s="228">
        <v>27.47</v>
      </c>
      <c r="DH3" s="228">
        <v>27.65</v>
      </c>
      <c r="DI3" s="228">
        <v>-0.18</v>
      </c>
      <c r="DJ3" s="228">
        <v>-0.18</v>
      </c>
      <c r="DK3" s="228">
        <v>30.31</v>
      </c>
      <c r="DL3" s="228">
        <v>31.5</v>
      </c>
      <c r="DM3" s="228">
        <v>-1.19</v>
      </c>
      <c r="DN3" s="228">
        <v>-1.19</v>
      </c>
      <c r="DO3" s="228">
        <v>0.87</v>
      </c>
      <c r="DP3" s="228">
        <v>0.87</v>
      </c>
      <c r="DQ3" s="228">
        <v>0</v>
      </c>
      <c r="DR3" s="229">
        <v>0</v>
      </c>
      <c r="DS3" s="231">
        <v>1600</v>
      </c>
      <c r="DT3" s="231">
        <v>1500</v>
      </c>
      <c r="DU3" s="228">
        <v>0.91</v>
      </c>
      <c r="DV3" s="228">
        <v>0.99</v>
      </c>
      <c r="DW3" s="228">
        <v>-0.08</v>
      </c>
      <c r="DX3" s="229">
        <v>-8.0799999999999997E-2</v>
      </c>
      <c r="DY3" s="229">
        <v>4.3299999999999998E-2</v>
      </c>
      <c r="DZ3" s="230">
        <v>906300</v>
      </c>
      <c r="EA3" s="229">
        <v>5.7999999999999996E-3</v>
      </c>
      <c r="EB3" s="229">
        <v>4.3299999999999998E-2</v>
      </c>
      <c r="EC3" s="228">
        <v>9.9499999999999993</v>
      </c>
      <c r="ED3" s="229">
        <v>6.4000000000000003E-3</v>
      </c>
      <c r="EE3" s="230">
        <v>870932</v>
      </c>
      <c r="EF3" s="230">
        <v>725237</v>
      </c>
      <c r="EG3" s="229">
        <v>0.2009</v>
      </c>
      <c r="EH3" s="229">
        <v>0.56950000000000001</v>
      </c>
      <c r="EI3" s="231">
        <v>100352.74</v>
      </c>
      <c r="EJ3" s="231">
        <v>85029.3</v>
      </c>
      <c r="EK3" s="231">
        <v>22519.15</v>
      </c>
      <c r="EL3" s="231">
        <v>8868</v>
      </c>
      <c r="EM3" s="231">
        <v>207901.19</v>
      </c>
      <c r="EN3" s="231">
        <v>470657.86</v>
      </c>
      <c r="EO3" s="231">
        <v>-262756.67</v>
      </c>
      <c r="EP3" s="229">
        <v>-0.55830000000000002</v>
      </c>
      <c r="EQ3" s="231">
        <v>151607</v>
      </c>
      <c r="ER3" s="231">
        <v>121487</v>
      </c>
      <c r="ES3" s="231">
        <v>339526</v>
      </c>
      <c r="ET3" s="231">
        <v>84394936</v>
      </c>
      <c r="EU3" s="231">
        <v>612621</v>
      </c>
      <c r="EV3" s="231">
        <v>607499</v>
      </c>
      <c r="EW3" s="231">
        <v>5122</v>
      </c>
      <c r="EX3" s="229">
        <v>8.3999999999999995E-3</v>
      </c>
      <c r="EY3" s="229">
        <v>0.4748</v>
      </c>
    </row>
    <row r="4" spans="1:155" ht="17.25" thickBot="1" x14ac:dyDescent="0.3">
      <c r="A4" s="226">
        <v>46064</v>
      </c>
      <c r="B4" s="227" t="s">
        <v>170</v>
      </c>
      <c r="C4" s="227" t="s">
        <v>165</v>
      </c>
      <c r="D4" s="231">
        <v>7520.5</v>
      </c>
      <c r="E4" s="231">
        <v>7213.5</v>
      </c>
      <c r="F4" s="228">
        <v>307</v>
      </c>
      <c r="G4" s="229">
        <v>4.2599999999999999E-2</v>
      </c>
      <c r="H4" s="231">
        <v>7507</v>
      </c>
      <c r="I4" s="231">
        <v>7219</v>
      </c>
      <c r="J4" s="228">
        <v>288</v>
      </c>
      <c r="K4" s="229">
        <v>3.9899999999999998E-2</v>
      </c>
      <c r="L4" s="231">
        <v>7520.5</v>
      </c>
      <c r="M4" s="231">
        <v>7213.5</v>
      </c>
      <c r="N4" s="228">
        <v>307</v>
      </c>
      <c r="O4" s="229">
        <v>4.2599999999999999E-2</v>
      </c>
      <c r="P4" s="231">
        <v>7566.5</v>
      </c>
      <c r="Q4" s="231">
        <v>7259.5</v>
      </c>
      <c r="R4" s="228">
        <v>307</v>
      </c>
      <c r="S4" s="229">
        <v>4.2299999999999997E-2</v>
      </c>
      <c r="T4" s="231">
        <v>7606.5</v>
      </c>
      <c r="U4" s="231">
        <v>7292.5</v>
      </c>
      <c r="V4" s="228">
        <v>314</v>
      </c>
      <c r="W4" s="229">
        <v>4.3099999999999999E-2</v>
      </c>
      <c r="X4" s="228">
        <v>13.5</v>
      </c>
      <c r="Y4" s="228">
        <v>-5.5</v>
      </c>
      <c r="Z4" s="228">
        <v>19</v>
      </c>
      <c r="AA4" s="229">
        <v>1.8E-3</v>
      </c>
      <c r="AB4" s="228">
        <v>13.5</v>
      </c>
      <c r="AC4" s="228">
        <v>-5.5</v>
      </c>
      <c r="AD4" s="228">
        <v>19</v>
      </c>
      <c r="AE4" s="229">
        <v>1.8E-3</v>
      </c>
      <c r="AF4" s="228">
        <v>59.5</v>
      </c>
      <c r="AG4" s="228">
        <v>40.5</v>
      </c>
      <c r="AH4" s="228">
        <v>19</v>
      </c>
      <c r="AI4" s="229">
        <v>7.9000000000000008E-3</v>
      </c>
      <c r="AJ4" s="228">
        <v>99.5</v>
      </c>
      <c r="AK4" s="228">
        <v>73.5</v>
      </c>
      <c r="AL4" s="228">
        <v>26</v>
      </c>
      <c r="AM4" s="229">
        <v>1.3299999999999999E-2</v>
      </c>
      <c r="AN4" s="231">
        <v>7555.76</v>
      </c>
      <c r="AO4" s="231">
        <v>7600.98</v>
      </c>
      <c r="AP4" s="228">
        <v>0</v>
      </c>
      <c r="AQ4" s="230">
        <v>14869</v>
      </c>
      <c r="AR4" s="230">
        <v>5285</v>
      </c>
      <c r="AS4" s="230">
        <v>9584</v>
      </c>
      <c r="AT4" s="229">
        <v>1.8133999999999999</v>
      </c>
      <c r="AU4" s="230">
        <v>14126</v>
      </c>
      <c r="AV4" s="230">
        <v>5102</v>
      </c>
      <c r="AW4" s="230">
        <v>9024</v>
      </c>
      <c r="AX4" s="229">
        <v>1.7686999999999999</v>
      </c>
      <c r="AY4" s="228">
        <v>650</v>
      </c>
      <c r="AZ4" s="228">
        <v>148</v>
      </c>
      <c r="BA4" s="228">
        <v>502</v>
      </c>
      <c r="BB4" s="229">
        <v>3.3919000000000001</v>
      </c>
      <c r="BC4" s="228">
        <v>93</v>
      </c>
      <c r="BD4" s="228">
        <v>35</v>
      </c>
      <c r="BE4" s="228">
        <v>58</v>
      </c>
      <c r="BF4" s="229">
        <v>1.6571</v>
      </c>
      <c r="BG4" s="230">
        <v>164368</v>
      </c>
      <c r="BH4" s="230">
        <v>34101</v>
      </c>
      <c r="BI4" s="230">
        <v>130267</v>
      </c>
      <c r="BJ4" s="229">
        <v>3.82</v>
      </c>
      <c r="BK4" s="230">
        <v>69010</v>
      </c>
      <c r="BL4" s="230">
        <v>13125</v>
      </c>
      <c r="BM4" s="230">
        <v>55885</v>
      </c>
      <c r="BN4" s="229">
        <v>4.2579000000000002</v>
      </c>
      <c r="BO4" s="230">
        <v>248247</v>
      </c>
      <c r="BP4" s="230">
        <v>52511</v>
      </c>
      <c r="BQ4" s="230">
        <v>195736</v>
      </c>
      <c r="BR4" s="229">
        <v>3.7275</v>
      </c>
      <c r="BS4" s="230">
        <v>1587641</v>
      </c>
      <c r="BT4" s="230">
        <v>286805</v>
      </c>
      <c r="BU4" s="230">
        <v>1300836</v>
      </c>
      <c r="BV4" s="229">
        <v>4.5355999999999996</v>
      </c>
      <c r="BW4" s="230">
        <v>3595625</v>
      </c>
      <c r="BX4" s="230">
        <v>3533750</v>
      </c>
      <c r="BY4" s="230">
        <v>61875</v>
      </c>
      <c r="BZ4" s="229">
        <v>1.7500000000000002E-2</v>
      </c>
      <c r="CA4" s="230">
        <v>3516750</v>
      </c>
      <c r="CB4" s="230">
        <v>3465375</v>
      </c>
      <c r="CC4" s="230">
        <v>51375</v>
      </c>
      <c r="CD4" s="229">
        <v>1.4800000000000001E-2</v>
      </c>
      <c r="CE4" s="230">
        <v>70125</v>
      </c>
      <c r="CF4" s="230">
        <v>61625</v>
      </c>
      <c r="CG4" s="230">
        <v>8500</v>
      </c>
      <c r="CH4" s="229">
        <v>0.13789999999999999</v>
      </c>
      <c r="CI4" s="230">
        <v>8750</v>
      </c>
      <c r="CJ4" s="230">
        <v>6750</v>
      </c>
      <c r="CK4" s="230">
        <v>2000</v>
      </c>
      <c r="CL4" s="229">
        <v>0.29630000000000001</v>
      </c>
      <c r="CM4" s="230">
        <v>2346375</v>
      </c>
      <c r="CN4" s="230">
        <v>1936625</v>
      </c>
      <c r="CO4" s="230">
        <v>409750</v>
      </c>
      <c r="CP4" s="229">
        <v>0.21160000000000001</v>
      </c>
      <c r="CQ4" s="230">
        <v>1756500</v>
      </c>
      <c r="CR4" s="230">
        <v>1339250</v>
      </c>
      <c r="CS4" s="230">
        <v>417250</v>
      </c>
      <c r="CT4" s="229">
        <v>0.31159999999999999</v>
      </c>
      <c r="CU4" s="230">
        <v>7698500</v>
      </c>
      <c r="CV4" s="230">
        <v>6809625</v>
      </c>
      <c r="CW4" s="230">
        <v>888875</v>
      </c>
      <c r="CX4" s="229">
        <v>0.1305</v>
      </c>
      <c r="CY4" s="228">
        <v>23.19</v>
      </c>
      <c r="CZ4" s="228">
        <v>33.1</v>
      </c>
      <c r="DA4" s="228">
        <v>-9.91</v>
      </c>
      <c r="DB4" s="228">
        <v>-9.91</v>
      </c>
      <c r="DC4" s="228">
        <v>25.23</v>
      </c>
      <c r="DD4" s="228">
        <v>24.74</v>
      </c>
      <c r="DE4" s="228">
        <v>-2.04</v>
      </c>
      <c r="DF4" s="228">
        <v>0.49</v>
      </c>
      <c r="DG4" s="228">
        <v>23.26</v>
      </c>
      <c r="DH4" s="228">
        <v>33.340000000000003</v>
      </c>
      <c r="DI4" s="228">
        <v>-10.08</v>
      </c>
      <c r="DJ4" s="228">
        <v>-10.08</v>
      </c>
      <c r="DK4" s="228">
        <v>23.03</v>
      </c>
      <c r="DL4" s="228">
        <v>32.47</v>
      </c>
      <c r="DM4" s="228">
        <v>-9.44</v>
      </c>
      <c r="DN4" s="228">
        <v>-9.44</v>
      </c>
      <c r="DO4" s="228">
        <v>0.75</v>
      </c>
      <c r="DP4" s="228">
        <v>0.69</v>
      </c>
      <c r="DQ4" s="228">
        <v>0.06</v>
      </c>
      <c r="DR4" s="229">
        <v>8.6999999999999994E-2</v>
      </c>
      <c r="DS4" s="231">
        <v>7600</v>
      </c>
      <c r="DT4" s="231">
        <v>7200</v>
      </c>
      <c r="DU4" s="228">
        <v>0.42</v>
      </c>
      <c r="DV4" s="228">
        <v>0.38</v>
      </c>
      <c r="DW4" s="228">
        <v>0.04</v>
      </c>
      <c r="DX4" s="229">
        <v>0.1053</v>
      </c>
      <c r="DY4" s="229">
        <v>2.1899999999999999E-2</v>
      </c>
      <c r="DZ4" s="230">
        <v>68375</v>
      </c>
      <c r="EA4" s="229">
        <v>6.1000000000000004E-3</v>
      </c>
      <c r="EB4" s="229">
        <v>2.1899999999999999E-2</v>
      </c>
      <c r="EC4" s="228">
        <v>45.22</v>
      </c>
      <c r="ED4" s="229">
        <v>6.0000000000000001E-3</v>
      </c>
      <c r="EE4" s="230">
        <v>648247</v>
      </c>
      <c r="EF4" s="230">
        <v>135332</v>
      </c>
      <c r="EG4" s="229">
        <v>3.79</v>
      </c>
      <c r="EH4" s="229">
        <v>0.4083</v>
      </c>
      <c r="EI4" s="231">
        <v>1601483.94</v>
      </c>
      <c r="EJ4" s="231">
        <v>633429.61</v>
      </c>
      <c r="EK4" s="231">
        <v>140480.21</v>
      </c>
      <c r="EL4" s="231">
        <v>4156</v>
      </c>
      <c r="EM4" s="231">
        <v>2375393.7599999998</v>
      </c>
      <c r="EN4" s="231">
        <v>486606.6</v>
      </c>
      <c r="EO4" s="231">
        <v>1888787.16</v>
      </c>
      <c r="EP4" s="229">
        <v>3.8815</v>
      </c>
      <c r="EQ4" s="231">
        <v>177752</v>
      </c>
      <c r="ER4" s="231">
        <v>123437</v>
      </c>
      <c r="ES4" s="231">
        <v>270449</v>
      </c>
      <c r="ET4" s="231">
        <v>15524629</v>
      </c>
      <c r="EU4" s="231">
        <v>571638</v>
      </c>
      <c r="EV4" s="231">
        <v>489318</v>
      </c>
      <c r="EW4" s="231">
        <v>82320</v>
      </c>
      <c r="EX4" s="229">
        <v>0.16819999999999999</v>
      </c>
      <c r="EY4" s="229">
        <v>0.49590000000000001</v>
      </c>
    </row>
    <row r="5" spans="1:155" ht="17.25" thickBot="1" x14ac:dyDescent="0.3">
      <c r="A5" s="226">
        <v>46064</v>
      </c>
      <c r="B5" s="227" t="s">
        <v>168</v>
      </c>
      <c r="C5" s="227" t="s">
        <v>169</v>
      </c>
      <c r="D5" s="231">
        <v>2401.5</v>
      </c>
      <c r="E5" s="231">
        <v>2401.8000000000002</v>
      </c>
      <c r="F5" s="228">
        <v>-0.3</v>
      </c>
      <c r="G5" s="229">
        <v>-1E-4</v>
      </c>
      <c r="H5" s="231">
        <v>2392.5</v>
      </c>
      <c r="I5" s="231">
        <v>2393.6</v>
      </c>
      <c r="J5" s="228">
        <v>-1.1000000000000001</v>
      </c>
      <c r="K5" s="229">
        <v>-5.0000000000000001E-4</v>
      </c>
      <c r="L5" s="231">
        <v>2401.5</v>
      </c>
      <c r="M5" s="231">
        <v>2401.8000000000002</v>
      </c>
      <c r="N5" s="228">
        <v>-0.3</v>
      </c>
      <c r="O5" s="229">
        <v>-1E-4</v>
      </c>
      <c r="P5" s="231">
        <v>2414.9</v>
      </c>
      <c r="Q5" s="231">
        <v>2415.6</v>
      </c>
      <c r="R5" s="228">
        <v>-0.7</v>
      </c>
      <c r="S5" s="229">
        <v>-2.9999999999999997E-4</v>
      </c>
      <c r="T5" s="231">
        <v>2431.6999999999998</v>
      </c>
      <c r="U5" s="231">
        <v>2429.6</v>
      </c>
      <c r="V5" s="228">
        <v>2.1</v>
      </c>
      <c r="W5" s="229">
        <v>8.9999999999999998E-4</v>
      </c>
      <c r="X5" s="228">
        <v>9</v>
      </c>
      <c r="Y5" s="228">
        <v>8.1999999999999993</v>
      </c>
      <c r="Z5" s="228">
        <v>0.8</v>
      </c>
      <c r="AA5" s="229">
        <v>3.8E-3</v>
      </c>
      <c r="AB5" s="228">
        <v>9</v>
      </c>
      <c r="AC5" s="228">
        <v>8.1999999999999993</v>
      </c>
      <c r="AD5" s="228">
        <v>0.8</v>
      </c>
      <c r="AE5" s="229">
        <v>3.8E-3</v>
      </c>
      <c r="AF5" s="228">
        <v>22.4</v>
      </c>
      <c r="AG5" s="228">
        <v>22</v>
      </c>
      <c r="AH5" s="228">
        <v>0.4</v>
      </c>
      <c r="AI5" s="229">
        <v>9.4000000000000004E-3</v>
      </c>
      <c r="AJ5" s="228">
        <v>39.200000000000003</v>
      </c>
      <c r="AK5" s="228">
        <v>36</v>
      </c>
      <c r="AL5" s="228">
        <v>3.2</v>
      </c>
      <c r="AM5" s="229">
        <v>1.6400000000000001E-2</v>
      </c>
      <c r="AN5" s="231">
        <v>2396.41</v>
      </c>
      <c r="AO5" s="231">
        <v>2410.0500000000002</v>
      </c>
      <c r="AP5" s="228">
        <v>0</v>
      </c>
      <c r="AQ5" s="230">
        <v>11025</v>
      </c>
      <c r="AR5" s="230">
        <v>7865</v>
      </c>
      <c r="AS5" s="230">
        <v>3160</v>
      </c>
      <c r="AT5" s="229">
        <v>0.40179999999999999</v>
      </c>
      <c r="AU5" s="230">
        <v>9691</v>
      </c>
      <c r="AV5" s="230">
        <v>6851</v>
      </c>
      <c r="AW5" s="230">
        <v>2840</v>
      </c>
      <c r="AX5" s="229">
        <v>0.41449999999999998</v>
      </c>
      <c r="AY5" s="230">
        <v>1226</v>
      </c>
      <c r="AZ5" s="228">
        <v>930</v>
      </c>
      <c r="BA5" s="228">
        <v>296</v>
      </c>
      <c r="BB5" s="229">
        <v>0.31830000000000003</v>
      </c>
      <c r="BC5" s="228">
        <v>108</v>
      </c>
      <c r="BD5" s="228">
        <v>84</v>
      </c>
      <c r="BE5" s="228">
        <v>24</v>
      </c>
      <c r="BF5" s="229">
        <v>0.28570000000000001</v>
      </c>
      <c r="BG5" s="230">
        <v>36650</v>
      </c>
      <c r="BH5" s="230">
        <v>36052</v>
      </c>
      <c r="BI5" s="228">
        <v>598</v>
      </c>
      <c r="BJ5" s="229">
        <v>1.66E-2</v>
      </c>
      <c r="BK5" s="230">
        <v>15044</v>
      </c>
      <c r="BL5" s="230">
        <v>15210</v>
      </c>
      <c r="BM5" s="228">
        <v>-166</v>
      </c>
      <c r="BN5" s="229">
        <v>-1.09E-2</v>
      </c>
      <c r="BO5" s="230">
        <v>62719</v>
      </c>
      <c r="BP5" s="230">
        <v>59127</v>
      </c>
      <c r="BQ5" s="230">
        <v>3592</v>
      </c>
      <c r="BR5" s="229">
        <v>6.08E-2</v>
      </c>
      <c r="BS5" s="230">
        <v>3238317</v>
      </c>
      <c r="BT5" s="230">
        <v>1817170</v>
      </c>
      <c r="BU5" s="230">
        <v>1421147</v>
      </c>
      <c r="BV5" s="229">
        <v>0.78210000000000002</v>
      </c>
      <c r="BW5" s="230">
        <v>14963500</v>
      </c>
      <c r="BX5" s="230">
        <v>14175000</v>
      </c>
      <c r="BY5" s="230">
        <v>788500</v>
      </c>
      <c r="BZ5" s="229">
        <v>5.5599999999999997E-2</v>
      </c>
      <c r="CA5" s="230">
        <v>14199250</v>
      </c>
      <c r="CB5" s="230">
        <v>13562750</v>
      </c>
      <c r="CC5" s="230">
        <v>636500</v>
      </c>
      <c r="CD5" s="229">
        <v>4.6899999999999997E-2</v>
      </c>
      <c r="CE5" s="230">
        <v>692000</v>
      </c>
      <c r="CF5" s="230">
        <v>550250</v>
      </c>
      <c r="CG5" s="230">
        <v>141750</v>
      </c>
      <c r="CH5" s="229">
        <v>0.2576</v>
      </c>
      <c r="CI5" s="230">
        <v>72250</v>
      </c>
      <c r="CJ5" s="230">
        <v>62000</v>
      </c>
      <c r="CK5" s="230">
        <v>10250</v>
      </c>
      <c r="CL5" s="229">
        <v>0.1653</v>
      </c>
      <c r="CM5" s="230">
        <v>9862500</v>
      </c>
      <c r="CN5" s="230">
        <v>9594500</v>
      </c>
      <c r="CO5" s="230">
        <v>268000</v>
      </c>
      <c r="CP5" s="229">
        <v>2.7900000000000001E-2</v>
      </c>
      <c r="CQ5" s="230">
        <v>4793750</v>
      </c>
      <c r="CR5" s="230">
        <v>4695000</v>
      </c>
      <c r="CS5" s="230">
        <v>98750</v>
      </c>
      <c r="CT5" s="229">
        <v>2.1000000000000001E-2</v>
      </c>
      <c r="CU5" s="230">
        <v>29619750</v>
      </c>
      <c r="CV5" s="230">
        <v>28464500</v>
      </c>
      <c r="CW5" s="230">
        <v>1155250</v>
      </c>
      <c r="CX5" s="229">
        <v>4.0599999999999997E-2</v>
      </c>
      <c r="CY5" s="228">
        <v>23.83</v>
      </c>
      <c r="CZ5" s="228">
        <v>24.49</v>
      </c>
      <c r="DA5" s="228">
        <v>-0.66</v>
      </c>
      <c r="DB5" s="228">
        <v>-0.66</v>
      </c>
      <c r="DC5" s="228">
        <v>26.54</v>
      </c>
      <c r="DD5" s="228">
        <v>26.6</v>
      </c>
      <c r="DE5" s="228">
        <v>-2.71</v>
      </c>
      <c r="DF5" s="228">
        <v>-0.06</v>
      </c>
      <c r="DG5" s="228">
        <v>24.24</v>
      </c>
      <c r="DH5" s="228">
        <v>25.18</v>
      </c>
      <c r="DI5" s="228">
        <v>-0.94</v>
      </c>
      <c r="DJ5" s="228">
        <v>-0.94</v>
      </c>
      <c r="DK5" s="228">
        <v>22.82</v>
      </c>
      <c r="DL5" s="228">
        <v>22.86</v>
      </c>
      <c r="DM5" s="228">
        <v>-0.04</v>
      </c>
      <c r="DN5" s="228">
        <v>-0.04</v>
      </c>
      <c r="DO5" s="228">
        <v>0.49</v>
      </c>
      <c r="DP5" s="228">
        <v>0.49</v>
      </c>
      <c r="DQ5" s="228">
        <v>0</v>
      </c>
      <c r="DR5" s="229">
        <v>0</v>
      </c>
      <c r="DS5" s="231">
        <v>2400</v>
      </c>
      <c r="DT5" s="231">
        <v>2400</v>
      </c>
      <c r="DU5" s="228">
        <v>0.41</v>
      </c>
      <c r="DV5" s="228">
        <v>0.42</v>
      </c>
      <c r="DW5" s="228">
        <v>-0.01</v>
      </c>
      <c r="DX5" s="229">
        <v>-2.3800000000000002E-2</v>
      </c>
      <c r="DY5" s="229">
        <v>5.11E-2</v>
      </c>
      <c r="DZ5" s="230">
        <v>612250</v>
      </c>
      <c r="EA5" s="229">
        <v>5.5999999999999999E-3</v>
      </c>
      <c r="EB5" s="229">
        <v>5.11E-2</v>
      </c>
      <c r="EC5" s="228">
        <v>13.64</v>
      </c>
      <c r="ED5" s="229">
        <v>5.7000000000000002E-3</v>
      </c>
      <c r="EE5" s="230">
        <v>2454897</v>
      </c>
      <c r="EF5" s="230">
        <v>1297277</v>
      </c>
      <c r="EG5" s="229">
        <v>0.89229999999999998</v>
      </c>
      <c r="EH5" s="229">
        <v>0.7581</v>
      </c>
      <c r="EI5" s="231">
        <v>229788.21</v>
      </c>
      <c r="EJ5" s="231">
        <v>89773.39</v>
      </c>
      <c r="EK5" s="231">
        <v>66101.039999999994</v>
      </c>
      <c r="EL5" s="231">
        <v>5289</v>
      </c>
      <c r="EM5" s="231">
        <v>385662.64</v>
      </c>
      <c r="EN5" s="231">
        <v>367261.45</v>
      </c>
      <c r="EO5" s="231">
        <v>18401.189999999999</v>
      </c>
      <c r="EP5" s="229">
        <v>5.0099999999999999E-2</v>
      </c>
      <c r="EQ5" s="231">
        <v>258146</v>
      </c>
      <c r="ER5" s="231">
        <v>115300</v>
      </c>
      <c r="ES5" s="231">
        <v>359463</v>
      </c>
      <c r="ET5" s="231">
        <v>49389162</v>
      </c>
      <c r="EU5" s="231">
        <v>732909</v>
      </c>
      <c r="EV5" s="231">
        <v>705347</v>
      </c>
      <c r="EW5" s="231">
        <v>27562</v>
      </c>
      <c r="EX5" s="229">
        <v>3.9100000000000003E-2</v>
      </c>
      <c r="EY5" s="229">
        <v>0.59970000000000001</v>
      </c>
    </row>
    <row r="6" spans="1:155" ht="17.25" thickBot="1" x14ac:dyDescent="0.3">
      <c r="A6" s="226">
        <v>46064</v>
      </c>
      <c r="B6" s="227" t="s">
        <v>172</v>
      </c>
      <c r="C6" s="227" t="s">
        <v>173</v>
      </c>
      <c r="D6" s="231">
        <v>1348</v>
      </c>
      <c r="E6" s="231">
        <v>1357.2</v>
      </c>
      <c r="F6" s="228">
        <v>-9.1999999999999993</v>
      </c>
      <c r="G6" s="229">
        <v>-6.7999999999999996E-3</v>
      </c>
      <c r="H6" s="231">
        <v>1347.3</v>
      </c>
      <c r="I6" s="231">
        <v>1356.7</v>
      </c>
      <c r="J6" s="228">
        <v>-9.4</v>
      </c>
      <c r="K6" s="229">
        <v>-6.8999999999999999E-3</v>
      </c>
      <c r="L6" s="231">
        <v>1348</v>
      </c>
      <c r="M6" s="231">
        <v>1357.2</v>
      </c>
      <c r="N6" s="228">
        <v>-9.1999999999999993</v>
      </c>
      <c r="O6" s="229">
        <v>-6.7999999999999996E-3</v>
      </c>
      <c r="P6" s="231">
        <v>1357.4</v>
      </c>
      <c r="Q6" s="231">
        <v>1365.2</v>
      </c>
      <c r="R6" s="228">
        <v>-7.8</v>
      </c>
      <c r="S6" s="229">
        <v>-5.7000000000000002E-3</v>
      </c>
      <c r="T6" s="231">
        <v>1365.9</v>
      </c>
      <c r="U6" s="231">
        <v>1373</v>
      </c>
      <c r="V6" s="228">
        <v>-7.1</v>
      </c>
      <c r="W6" s="229">
        <v>-5.1999999999999998E-3</v>
      </c>
      <c r="X6" s="228">
        <v>0.7</v>
      </c>
      <c r="Y6" s="228">
        <v>0.5</v>
      </c>
      <c r="Z6" s="228">
        <v>0.2</v>
      </c>
      <c r="AA6" s="229">
        <v>5.0000000000000001E-4</v>
      </c>
      <c r="AB6" s="228">
        <v>0.7</v>
      </c>
      <c r="AC6" s="228">
        <v>0.5</v>
      </c>
      <c r="AD6" s="228">
        <v>0.2</v>
      </c>
      <c r="AE6" s="229">
        <v>5.0000000000000001E-4</v>
      </c>
      <c r="AF6" s="228">
        <v>10.1</v>
      </c>
      <c r="AG6" s="228">
        <v>8.5</v>
      </c>
      <c r="AH6" s="228">
        <v>1.6</v>
      </c>
      <c r="AI6" s="229">
        <v>7.4999999999999997E-3</v>
      </c>
      <c r="AJ6" s="228">
        <v>18.600000000000001</v>
      </c>
      <c r="AK6" s="228">
        <v>16.3</v>
      </c>
      <c r="AL6" s="228">
        <v>2.2999999999999998</v>
      </c>
      <c r="AM6" s="229">
        <v>1.38E-2</v>
      </c>
      <c r="AN6" s="231">
        <v>1350.88</v>
      </c>
      <c r="AO6" s="231">
        <v>1359.77</v>
      </c>
      <c r="AP6" s="228">
        <v>0</v>
      </c>
      <c r="AQ6" s="230">
        <v>5685</v>
      </c>
      <c r="AR6" s="230">
        <v>8300</v>
      </c>
      <c r="AS6" s="230">
        <v>-2615</v>
      </c>
      <c r="AT6" s="229">
        <v>-0.31509999999999999</v>
      </c>
      <c r="AU6" s="230">
        <v>5347</v>
      </c>
      <c r="AV6" s="230">
        <v>7842</v>
      </c>
      <c r="AW6" s="230">
        <v>-2495</v>
      </c>
      <c r="AX6" s="229">
        <v>-0.31819999999999998</v>
      </c>
      <c r="AY6" s="228">
        <v>327</v>
      </c>
      <c r="AZ6" s="228">
        <v>425</v>
      </c>
      <c r="BA6" s="228">
        <v>-98</v>
      </c>
      <c r="BB6" s="229">
        <v>-0.2306</v>
      </c>
      <c r="BC6" s="228">
        <v>11</v>
      </c>
      <c r="BD6" s="228">
        <v>33</v>
      </c>
      <c r="BE6" s="228">
        <v>-22</v>
      </c>
      <c r="BF6" s="229">
        <v>-0.66669999999999996</v>
      </c>
      <c r="BG6" s="230">
        <v>29282</v>
      </c>
      <c r="BH6" s="230">
        <v>56217</v>
      </c>
      <c r="BI6" s="230">
        <v>-26935</v>
      </c>
      <c r="BJ6" s="229">
        <v>-0.47910000000000003</v>
      </c>
      <c r="BK6" s="230">
        <v>21487</v>
      </c>
      <c r="BL6" s="230">
        <v>29680</v>
      </c>
      <c r="BM6" s="230">
        <v>-8193</v>
      </c>
      <c r="BN6" s="229">
        <v>-0.27600000000000002</v>
      </c>
      <c r="BO6" s="230">
        <v>56454</v>
      </c>
      <c r="BP6" s="230">
        <v>94197</v>
      </c>
      <c r="BQ6" s="230">
        <v>-37743</v>
      </c>
      <c r="BR6" s="229">
        <v>-0.4007</v>
      </c>
      <c r="BS6" s="230">
        <v>3961979</v>
      </c>
      <c r="BT6" s="230">
        <v>5547012</v>
      </c>
      <c r="BU6" s="230">
        <v>-1585033</v>
      </c>
      <c r="BV6" s="229">
        <v>-0.28570000000000001</v>
      </c>
      <c r="BW6" s="230">
        <v>67861875</v>
      </c>
      <c r="BX6" s="230">
        <v>68516875</v>
      </c>
      <c r="BY6" s="230">
        <v>-655000</v>
      </c>
      <c r="BZ6" s="229">
        <v>-9.5999999999999992E-3</v>
      </c>
      <c r="CA6" s="230">
        <v>63886875</v>
      </c>
      <c r="CB6" s="230">
        <v>64560625</v>
      </c>
      <c r="CC6" s="230">
        <v>-673750</v>
      </c>
      <c r="CD6" s="229">
        <v>-1.04E-2</v>
      </c>
      <c r="CE6" s="230">
        <v>3681250</v>
      </c>
      <c r="CF6" s="230">
        <v>3663750</v>
      </c>
      <c r="CG6" s="230">
        <v>17500</v>
      </c>
      <c r="CH6" s="229">
        <v>4.7999999999999996E-3</v>
      </c>
      <c r="CI6" s="230">
        <v>293750</v>
      </c>
      <c r="CJ6" s="230">
        <v>292500</v>
      </c>
      <c r="CK6" s="230">
        <v>1250</v>
      </c>
      <c r="CL6" s="229">
        <v>4.3E-3</v>
      </c>
      <c r="CM6" s="230">
        <v>28076875</v>
      </c>
      <c r="CN6" s="230">
        <v>27226250</v>
      </c>
      <c r="CO6" s="230">
        <v>850625</v>
      </c>
      <c r="CP6" s="229">
        <v>3.1199999999999999E-2</v>
      </c>
      <c r="CQ6" s="230">
        <v>14171250</v>
      </c>
      <c r="CR6" s="230">
        <v>14481250</v>
      </c>
      <c r="CS6" s="230">
        <v>-310000</v>
      </c>
      <c r="CT6" s="229">
        <v>-2.1399999999999999E-2</v>
      </c>
      <c r="CU6" s="230">
        <v>110110000</v>
      </c>
      <c r="CV6" s="230">
        <v>110224375</v>
      </c>
      <c r="CW6" s="230">
        <v>-114375</v>
      </c>
      <c r="CX6" s="229">
        <v>-1E-3</v>
      </c>
      <c r="CY6" s="228">
        <v>21.6</v>
      </c>
      <c r="CZ6" s="228">
        <v>19.98</v>
      </c>
      <c r="DA6" s="228">
        <v>1.62</v>
      </c>
      <c r="DB6" s="228">
        <v>1.62</v>
      </c>
      <c r="DC6" s="228">
        <v>26.78</v>
      </c>
      <c r="DD6" s="228">
        <v>26.84</v>
      </c>
      <c r="DE6" s="228">
        <v>-5.18</v>
      </c>
      <c r="DF6" s="228">
        <v>-0.06</v>
      </c>
      <c r="DG6" s="228">
        <v>19.45</v>
      </c>
      <c r="DH6" s="228">
        <v>18.36</v>
      </c>
      <c r="DI6" s="228">
        <v>1.0900000000000001</v>
      </c>
      <c r="DJ6" s="228">
        <v>1.0900000000000001</v>
      </c>
      <c r="DK6" s="228">
        <v>24.53</v>
      </c>
      <c r="DL6" s="228">
        <v>23.07</v>
      </c>
      <c r="DM6" s="228">
        <v>1.46</v>
      </c>
      <c r="DN6" s="228">
        <v>1.46</v>
      </c>
      <c r="DO6" s="228">
        <v>0.5</v>
      </c>
      <c r="DP6" s="228">
        <v>0.53</v>
      </c>
      <c r="DQ6" s="228">
        <v>-0.03</v>
      </c>
      <c r="DR6" s="229">
        <v>-5.6599999999999998E-2</v>
      </c>
      <c r="DS6" s="231">
        <v>1380</v>
      </c>
      <c r="DT6" s="231">
        <v>1320</v>
      </c>
      <c r="DU6" s="228">
        <v>0.73</v>
      </c>
      <c r="DV6" s="228">
        <v>0.53</v>
      </c>
      <c r="DW6" s="228">
        <v>0.2</v>
      </c>
      <c r="DX6" s="229">
        <v>0.37740000000000001</v>
      </c>
      <c r="DY6" s="229">
        <v>5.8599999999999999E-2</v>
      </c>
      <c r="DZ6" s="230">
        <v>3956250</v>
      </c>
      <c r="EA6" s="229">
        <v>7.0000000000000001E-3</v>
      </c>
      <c r="EB6" s="229">
        <v>5.8599999999999999E-2</v>
      </c>
      <c r="EC6" s="228">
        <v>8.89</v>
      </c>
      <c r="ED6" s="229">
        <v>6.6E-3</v>
      </c>
      <c r="EE6" s="230">
        <v>2558486</v>
      </c>
      <c r="EF6" s="230">
        <v>3593215</v>
      </c>
      <c r="EG6" s="229">
        <v>-0.28799999999999998</v>
      </c>
      <c r="EH6" s="229">
        <v>0.64580000000000004</v>
      </c>
      <c r="EI6" s="231">
        <v>256224.12</v>
      </c>
      <c r="EJ6" s="231">
        <v>173732.48000000001</v>
      </c>
      <c r="EK6" s="231">
        <v>48017.75</v>
      </c>
      <c r="EL6" s="231">
        <v>11796</v>
      </c>
      <c r="EM6" s="231">
        <v>477974.35</v>
      </c>
      <c r="EN6" s="231">
        <v>802817.5</v>
      </c>
      <c r="EO6" s="231">
        <v>-324843.15000000002</v>
      </c>
      <c r="EP6" s="229">
        <v>-0.40460000000000002</v>
      </c>
      <c r="EQ6" s="231">
        <v>388368</v>
      </c>
      <c r="ER6" s="231">
        <v>182877</v>
      </c>
      <c r="ES6" s="231">
        <v>915177</v>
      </c>
      <c r="ET6" s="231">
        <v>296371456</v>
      </c>
      <c r="EU6" s="231">
        <v>1486422</v>
      </c>
      <c r="EV6" s="231">
        <v>1493759</v>
      </c>
      <c r="EW6" s="231">
        <v>-7337</v>
      </c>
      <c r="EX6" s="229">
        <v>-4.8999999999999998E-3</v>
      </c>
      <c r="EY6" s="229">
        <v>0.3715</v>
      </c>
    </row>
    <row r="7" spans="1:155" ht="17.25" thickBot="1" x14ac:dyDescent="0.3">
      <c r="A7" s="226">
        <v>46064</v>
      </c>
      <c r="B7" s="227" t="s">
        <v>162</v>
      </c>
      <c r="C7" s="227" t="s">
        <v>174</v>
      </c>
      <c r="D7" s="231">
        <v>9869.5</v>
      </c>
      <c r="E7" s="231">
        <v>9805</v>
      </c>
      <c r="F7" s="228">
        <v>64.5</v>
      </c>
      <c r="G7" s="229">
        <v>6.6E-3</v>
      </c>
      <c r="H7" s="231">
        <v>9869.5</v>
      </c>
      <c r="I7" s="231">
        <v>9774</v>
      </c>
      <c r="J7" s="228">
        <v>95.5</v>
      </c>
      <c r="K7" s="229">
        <v>9.7999999999999997E-3</v>
      </c>
      <c r="L7" s="231">
        <v>9869.5</v>
      </c>
      <c r="M7" s="231">
        <v>9805</v>
      </c>
      <c r="N7" s="228">
        <v>64.5</v>
      </c>
      <c r="O7" s="229">
        <v>6.6E-3</v>
      </c>
      <c r="P7" s="231">
        <v>9900</v>
      </c>
      <c r="Q7" s="231">
        <v>9835.5</v>
      </c>
      <c r="R7" s="228">
        <v>64.5</v>
      </c>
      <c r="S7" s="229">
        <v>6.6E-3</v>
      </c>
      <c r="T7" s="231">
        <v>9936</v>
      </c>
      <c r="U7" s="231">
        <v>9869</v>
      </c>
      <c r="V7" s="228">
        <v>67</v>
      </c>
      <c r="W7" s="229">
        <v>6.7999999999999996E-3</v>
      </c>
      <c r="X7" s="228">
        <v>0</v>
      </c>
      <c r="Y7" s="228">
        <v>31</v>
      </c>
      <c r="Z7" s="228">
        <v>-31</v>
      </c>
      <c r="AA7" s="229">
        <v>0</v>
      </c>
      <c r="AB7" s="228">
        <v>0</v>
      </c>
      <c r="AC7" s="228">
        <v>31</v>
      </c>
      <c r="AD7" s="228">
        <v>-31</v>
      </c>
      <c r="AE7" s="229">
        <v>0</v>
      </c>
      <c r="AF7" s="228">
        <v>30.5</v>
      </c>
      <c r="AG7" s="228">
        <v>61.5</v>
      </c>
      <c r="AH7" s="228">
        <v>-31</v>
      </c>
      <c r="AI7" s="229">
        <v>3.0999999999999999E-3</v>
      </c>
      <c r="AJ7" s="228">
        <v>66.5</v>
      </c>
      <c r="AK7" s="228">
        <v>95</v>
      </c>
      <c r="AL7" s="228">
        <v>-28.5</v>
      </c>
      <c r="AM7" s="229">
        <v>6.7000000000000002E-3</v>
      </c>
      <c r="AN7" s="231">
        <v>9869.32</v>
      </c>
      <c r="AO7" s="231">
        <v>9895.93</v>
      </c>
      <c r="AP7" s="228">
        <v>0</v>
      </c>
      <c r="AQ7" s="230">
        <v>5319</v>
      </c>
      <c r="AR7" s="230">
        <v>7899</v>
      </c>
      <c r="AS7" s="230">
        <v>-2580</v>
      </c>
      <c r="AT7" s="229">
        <v>-0.3266</v>
      </c>
      <c r="AU7" s="230">
        <v>4660</v>
      </c>
      <c r="AV7" s="230">
        <v>7233</v>
      </c>
      <c r="AW7" s="230">
        <v>-2573</v>
      </c>
      <c r="AX7" s="229">
        <v>-0.35570000000000002</v>
      </c>
      <c r="AY7" s="228">
        <v>622</v>
      </c>
      <c r="AZ7" s="228">
        <v>638</v>
      </c>
      <c r="BA7" s="228">
        <v>-16</v>
      </c>
      <c r="BB7" s="229">
        <v>-2.5100000000000001E-2</v>
      </c>
      <c r="BC7" s="228">
        <v>37</v>
      </c>
      <c r="BD7" s="228">
        <v>28</v>
      </c>
      <c r="BE7" s="228">
        <v>9</v>
      </c>
      <c r="BF7" s="229">
        <v>0.32140000000000002</v>
      </c>
      <c r="BG7" s="230">
        <v>45486</v>
      </c>
      <c r="BH7" s="230">
        <v>82260</v>
      </c>
      <c r="BI7" s="230">
        <v>-36774</v>
      </c>
      <c r="BJ7" s="229">
        <v>-0.44700000000000001</v>
      </c>
      <c r="BK7" s="230">
        <v>18327</v>
      </c>
      <c r="BL7" s="230">
        <v>28517</v>
      </c>
      <c r="BM7" s="230">
        <v>-10190</v>
      </c>
      <c r="BN7" s="229">
        <v>-0.35730000000000001</v>
      </c>
      <c r="BO7" s="230">
        <v>69132</v>
      </c>
      <c r="BP7" s="230">
        <v>118676</v>
      </c>
      <c r="BQ7" s="230">
        <v>-49544</v>
      </c>
      <c r="BR7" s="229">
        <v>-0.41749999999999998</v>
      </c>
      <c r="BS7" s="230">
        <v>332727</v>
      </c>
      <c r="BT7" s="230">
        <v>353874</v>
      </c>
      <c r="BU7" s="230">
        <v>-21147</v>
      </c>
      <c r="BV7" s="229">
        <v>-5.9799999999999999E-2</v>
      </c>
      <c r="BW7" s="230">
        <v>3081675</v>
      </c>
      <c r="BX7" s="230">
        <v>3076650</v>
      </c>
      <c r="BY7" s="230">
        <v>5025</v>
      </c>
      <c r="BZ7" s="229">
        <v>1.6000000000000001E-3</v>
      </c>
      <c r="CA7" s="230">
        <v>2961450</v>
      </c>
      <c r="CB7" s="230">
        <v>2977875</v>
      </c>
      <c r="CC7" s="230">
        <v>-16425</v>
      </c>
      <c r="CD7" s="229">
        <v>-5.4999999999999997E-3</v>
      </c>
      <c r="CE7" s="230">
        <v>114525</v>
      </c>
      <c r="CF7" s="230">
        <v>93900</v>
      </c>
      <c r="CG7" s="230">
        <v>20625</v>
      </c>
      <c r="CH7" s="229">
        <v>0.21959999999999999</v>
      </c>
      <c r="CI7" s="230">
        <v>5700</v>
      </c>
      <c r="CJ7" s="230">
        <v>4875</v>
      </c>
      <c r="CK7" s="228">
        <v>825</v>
      </c>
      <c r="CL7" s="229">
        <v>0.16919999999999999</v>
      </c>
      <c r="CM7" s="230">
        <v>1435650</v>
      </c>
      <c r="CN7" s="230">
        <v>1369725</v>
      </c>
      <c r="CO7" s="230">
        <v>65925</v>
      </c>
      <c r="CP7" s="229">
        <v>4.8099999999999997E-2</v>
      </c>
      <c r="CQ7" s="230">
        <v>1001850</v>
      </c>
      <c r="CR7" s="230">
        <v>934275</v>
      </c>
      <c r="CS7" s="230">
        <v>67575</v>
      </c>
      <c r="CT7" s="229">
        <v>7.2300000000000003E-2</v>
      </c>
      <c r="CU7" s="230">
        <v>5519175</v>
      </c>
      <c r="CV7" s="230">
        <v>5380650</v>
      </c>
      <c r="CW7" s="230">
        <v>138525</v>
      </c>
      <c r="CX7" s="229">
        <v>2.5700000000000001E-2</v>
      </c>
      <c r="CY7" s="228">
        <v>22.99</v>
      </c>
      <c r="CZ7" s="228">
        <v>23.2</v>
      </c>
      <c r="DA7" s="228">
        <v>-0.21</v>
      </c>
      <c r="DB7" s="228">
        <v>-0.21</v>
      </c>
      <c r="DC7" s="228">
        <v>27.4</v>
      </c>
      <c r="DD7" s="228">
        <v>27.43</v>
      </c>
      <c r="DE7" s="228">
        <v>-4.41</v>
      </c>
      <c r="DF7" s="228">
        <v>-0.03</v>
      </c>
      <c r="DG7" s="228">
        <v>22.15</v>
      </c>
      <c r="DH7" s="228">
        <v>22.63</v>
      </c>
      <c r="DI7" s="228">
        <v>-0.48</v>
      </c>
      <c r="DJ7" s="228">
        <v>-0.48</v>
      </c>
      <c r="DK7" s="228">
        <v>25.07</v>
      </c>
      <c r="DL7" s="228">
        <v>24.87</v>
      </c>
      <c r="DM7" s="228">
        <v>0.2</v>
      </c>
      <c r="DN7" s="228">
        <v>0.2</v>
      </c>
      <c r="DO7" s="228">
        <v>0.7</v>
      </c>
      <c r="DP7" s="228">
        <v>0.68</v>
      </c>
      <c r="DQ7" s="228">
        <v>0.02</v>
      </c>
      <c r="DR7" s="229">
        <v>2.9399999999999999E-2</v>
      </c>
      <c r="DS7" s="231">
        <v>9800</v>
      </c>
      <c r="DT7" s="231">
        <v>9700</v>
      </c>
      <c r="DU7" s="228">
        <v>0.4</v>
      </c>
      <c r="DV7" s="228">
        <v>0.35</v>
      </c>
      <c r="DW7" s="228">
        <v>0.05</v>
      </c>
      <c r="DX7" s="229">
        <v>0.1429</v>
      </c>
      <c r="DY7" s="229">
        <v>3.9E-2</v>
      </c>
      <c r="DZ7" s="230">
        <v>98775</v>
      </c>
      <c r="EA7" s="229">
        <v>3.0999999999999999E-3</v>
      </c>
      <c r="EB7" s="229">
        <v>3.9E-2</v>
      </c>
      <c r="EC7" s="228">
        <v>26.61</v>
      </c>
      <c r="ED7" s="229">
        <v>2.7000000000000001E-3</v>
      </c>
      <c r="EE7" s="230">
        <v>152062</v>
      </c>
      <c r="EF7" s="230">
        <v>146459</v>
      </c>
      <c r="EG7" s="229">
        <v>3.8300000000000001E-2</v>
      </c>
      <c r="EH7" s="229">
        <v>0.45700000000000002</v>
      </c>
      <c r="EI7" s="231">
        <v>346694</v>
      </c>
      <c r="EJ7" s="231">
        <v>132194.87</v>
      </c>
      <c r="EK7" s="231">
        <v>39385.67</v>
      </c>
      <c r="EL7" s="231">
        <v>5195</v>
      </c>
      <c r="EM7" s="231">
        <v>518274.54</v>
      </c>
      <c r="EN7" s="231">
        <v>887515.47</v>
      </c>
      <c r="EO7" s="231">
        <v>-369240.93</v>
      </c>
      <c r="EP7" s="229">
        <v>-0.41599999999999998</v>
      </c>
      <c r="EQ7" s="231">
        <v>144886</v>
      </c>
      <c r="ER7" s="231">
        <v>92483</v>
      </c>
      <c r="ES7" s="231">
        <v>304185</v>
      </c>
      <c r="ET7" s="231">
        <v>15906526</v>
      </c>
      <c r="EU7" s="231">
        <v>541553</v>
      </c>
      <c r="EV7" s="231">
        <v>525285</v>
      </c>
      <c r="EW7" s="231">
        <v>16268</v>
      </c>
      <c r="EX7" s="229">
        <v>3.1E-2</v>
      </c>
      <c r="EY7" s="229">
        <v>0.34699999999999998</v>
      </c>
    </row>
    <row r="8" spans="1:155" ht="17.25" thickBot="1" x14ac:dyDescent="0.3">
      <c r="A8" s="226">
        <v>46064</v>
      </c>
      <c r="B8" s="227" t="s">
        <v>175</v>
      </c>
      <c r="C8" s="227" t="s">
        <v>176</v>
      </c>
      <c r="D8" s="231">
        <v>2028.5</v>
      </c>
      <c r="E8" s="231">
        <v>2029.4</v>
      </c>
      <c r="F8" s="228">
        <v>-0.9</v>
      </c>
      <c r="G8" s="229">
        <v>-4.0000000000000002E-4</v>
      </c>
      <c r="H8" s="231">
        <v>2027</v>
      </c>
      <c r="I8" s="231">
        <v>2027.9</v>
      </c>
      <c r="J8" s="228">
        <v>-0.9</v>
      </c>
      <c r="K8" s="229">
        <v>-4.0000000000000002E-4</v>
      </c>
      <c r="L8" s="231">
        <v>2028.5</v>
      </c>
      <c r="M8" s="231">
        <v>2029.4</v>
      </c>
      <c r="N8" s="228">
        <v>-0.9</v>
      </c>
      <c r="O8" s="229">
        <v>-4.0000000000000002E-4</v>
      </c>
      <c r="P8" s="231">
        <v>2041.4</v>
      </c>
      <c r="Q8" s="231">
        <v>2041.6</v>
      </c>
      <c r="R8" s="228">
        <v>-0.2</v>
      </c>
      <c r="S8" s="229">
        <v>-1E-4</v>
      </c>
      <c r="T8" s="231">
        <v>2055</v>
      </c>
      <c r="U8" s="231">
        <v>2056.1</v>
      </c>
      <c r="V8" s="228">
        <v>-1.1000000000000001</v>
      </c>
      <c r="W8" s="229">
        <v>-5.0000000000000001E-4</v>
      </c>
      <c r="X8" s="228">
        <v>1.5</v>
      </c>
      <c r="Y8" s="228">
        <v>1.5</v>
      </c>
      <c r="Z8" s="228">
        <v>0</v>
      </c>
      <c r="AA8" s="229">
        <v>6.9999999999999999E-4</v>
      </c>
      <c r="AB8" s="228">
        <v>1.5</v>
      </c>
      <c r="AC8" s="228">
        <v>1.5</v>
      </c>
      <c r="AD8" s="228">
        <v>0</v>
      </c>
      <c r="AE8" s="229">
        <v>6.9999999999999999E-4</v>
      </c>
      <c r="AF8" s="228">
        <v>14.4</v>
      </c>
      <c r="AG8" s="228">
        <v>13.7</v>
      </c>
      <c r="AH8" s="228">
        <v>0.7</v>
      </c>
      <c r="AI8" s="229">
        <v>7.1000000000000004E-3</v>
      </c>
      <c r="AJ8" s="228">
        <v>28</v>
      </c>
      <c r="AK8" s="228">
        <v>28.2</v>
      </c>
      <c r="AL8" s="228">
        <v>-0.2</v>
      </c>
      <c r="AM8" s="229">
        <v>1.38E-2</v>
      </c>
      <c r="AN8" s="231">
        <v>2035.95</v>
      </c>
      <c r="AO8" s="231">
        <v>2049.13</v>
      </c>
      <c r="AP8" s="228">
        <v>0</v>
      </c>
      <c r="AQ8" s="230">
        <v>2989</v>
      </c>
      <c r="AR8" s="230">
        <v>3722</v>
      </c>
      <c r="AS8" s="228">
        <v>-733</v>
      </c>
      <c r="AT8" s="229">
        <v>-0.19689999999999999</v>
      </c>
      <c r="AU8" s="230">
        <v>2734</v>
      </c>
      <c r="AV8" s="230">
        <v>3584</v>
      </c>
      <c r="AW8" s="228">
        <v>-850</v>
      </c>
      <c r="AX8" s="229">
        <v>-0.23719999999999999</v>
      </c>
      <c r="AY8" s="228">
        <v>237</v>
      </c>
      <c r="AZ8" s="228">
        <v>129</v>
      </c>
      <c r="BA8" s="228">
        <v>108</v>
      </c>
      <c r="BB8" s="229">
        <v>0.83720000000000006</v>
      </c>
      <c r="BC8" s="228">
        <v>18</v>
      </c>
      <c r="BD8" s="228">
        <v>9</v>
      </c>
      <c r="BE8" s="228">
        <v>9</v>
      </c>
      <c r="BF8" s="229">
        <v>1</v>
      </c>
      <c r="BG8" s="230">
        <v>30113</v>
      </c>
      <c r="BH8" s="230">
        <v>15487</v>
      </c>
      <c r="BI8" s="230">
        <v>14626</v>
      </c>
      <c r="BJ8" s="229">
        <v>0.94440000000000002</v>
      </c>
      <c r="BK8" s="230">
        <v>11531</v>
      </c>
      <c r="BL8" s="230">
        <v>9328</v>
      </c>
      <c r="BM8" s="230">
        <v>2203</v>
      </c>
      <c r="BN8" s="229">
        <v>0.23619999999999999</v>
      </c>
      <c r="BO8" s="230">
        <v>44633</v>
      </c>
      <c r="BP8" s="230">
        <v>28537</v>
      </c>
      <c r="BQ8" s="230">
        <v>16096</v>
      </c>
      <c r="BR8" s="229">
        <v>0.56399999999999995</v>
      </c>
      <c r="BS8" s="230">
        <v>554419</v>
      </c>
      <c r="BT8" s="230">
        <v>748492</v>
      </c>
      <c r="BU8" s="230">
        <v>-194073</v>
      </c>
      <c r="BV8" s="229">
        <v>-0.25929999999999997</v>
      </c>
      <c r="BW8" s="230">
        <v>12790500</v>
      </c>
      <c r="BX8" s="230">
        <v>12867000</v>
      </c>
      <c r="BY8" s="230">
        <v>-76500</v>
      </c>
      <c r="BZ8" s="229">
        <v>-5.8999999999999999E-3</v>
      </c>
      <c r="CA8" s="230">
        <v>12423750</v>
      </c>
      <c r="CB8" s="230">
        <v>12520250</v>
      </c>
      <c r="CC8" s="230">
        <v>-96500</v>
      </c>
      <c r="CD8" s="229">
        <v>-7.7000000000000002E-3</v>
      </c>
      <c r="CE8" s="230">
        <v>338750</v>
      </c>
      <c r="CF8" s="230">
        <v>320750</v>
      </c>
      <c r="CG8" s="230">
        <v>18000</v>
      </c>
      <c r="CH8" s="229">
        <v>5.6099999999999997E-2</v>
      </c>
      <c r="CI8" s="230">
        <v>28000</v>
      </c>
      <c r="CJ8" s="230">
        <v>26000</v>
      </c>
      <c r="CK8" s="230">
        <v>2000</v>
      </c>
      <c r="CL8" s="229">
        <v>7.6899999999999996E-2</v>
      </c>
      <c r="CM8" s="230">
        <v>5875500</v>
      </c>
      <c r="CN8" s="230">
        <v>5816250</v>
      </c>
      <c r="CO8" s="230">
        <v>59250</v>
      </c>
      <c r="CP8" s="229">
        <v>1.0200000000000001E-2</v>
      </c>
      <c r="CQ8" s="230">
        <v>3882250</v>
      </c>
      <c r="CR8" s="230">
        <v>3908500</v>
      </c>
      <c r="CS8" s="230">
        <v>-26250</v>
      </c>
      <c r="CT8" s="229">
        <v>-6.7000000000000002E-3</v>
      </c>
      <c r="CU8" s="230">
        <v>22548250</v>
      </c>
      <c r="CV8" s="230">
        <v>22591750</v>
      </c>
      <c r="CW8" s="230">
        <v>-43500</v>
      </c>
      <c r="CX8" s="229">
        <v>-1.9E-3</v>
      </c>
      <c r="CY8" s="228">
        <v>19.989999999999998</v>
      </c>
      <c r="CZ8" s="228">
        <v>20.02</v>
      </c>
      <c r="DA8" s="228">
        <v>-0.03</v>
      </c>
      <c r="DB8" s="228">
        <v>-0.03</v>
      </c>
      <c r="DC8" s="228">
        <v>27.97</v>
      </c>
      <c r="DD8" s="228">
        <v>28.04</v>
      </c>
      <c r="DE8" s="228">
        <v>-7.98</v>
      </c>
      <c r="DF8" s="228">
        <v>-7.0000000000000007E-2</v>
      </c>
      <c r="DG8" s="228">
        <v>19.72</v>
      </c>
      <c r="DH8" s="228">
        <v>19.36</v>
      </c>
      <c r="DI8" s="228">
        <v>0.36</v>
      </c>
      <c r="DJ8" s="228">
        <v>0.36</v>
      </c>
      <c r="DK8" s="228">
        <v>20.68</v>
      </c>
      <c r="DL8" s="228">
        <v>21.11</v>
      </c>
      <c r="DM8" s="228">
        <v>-0.43</v>
      </c>
      <c r="DN8" s="228">
        <v>-0.43</v>
      </c>
      <c r="DO8" s="228">
        <v>0.66</v>
      </c>
      <c r="DP8" s="228">
        <v>0.67</v>
      </c>
      <c r="DQ8" s="228">
        <v>-0.01</v>
      </c>
      <c r="DR8" s="229">
        <v>-1.49E-2</v>
      </c>
      <c r="DS8" s="231">
        <v>2040</v>
      </c>
      <c r="DT8" s="231">
        <v>1680</v>
      </c>
      <c r="DU8" s="228">
        <v>0.38</v>
      </c>
      <c r="DV8" s="228">
        <v>0.6</v>
      </c>
      <c r="DW8" s="228">
        <v>-0.22</v>
      </c>
      <c r="DX8" s="229">
        <v>-0.36670000000000003</v>
      </c>
      <c r="DY8" s="229">
        <v>2.87E-2</v>
      </c>
      <c r="DZ8" s="230">
        <v>346750</v>
      </c>
      <c r="EA8" s="229">
        <v>6.4000000000000003E-3</v>
      </c>
      <c r="EB8" s="229">
        <v>2.87E-2</v>
      </c>
      <c r="EC8" s="228">
        <v>13.18</v>
      </c>
      <c r="ED8" s="229">
        <v>6.4999999999999997E-3</v>
      </c>
      <c r="EE8" s="230">
        <v>263282</v>
      </c>
      <c r="EF8" s="230">
        <v>476429</v>
      </c>
      <c r="EG8" s="229">
        <v>-0.44740000000000002</v>
      </c>
      <c r="EH8" s="229">
        <v>0.47489999999999999</v>
      </c>
      <c r="EI8" s="231">
        <v>156820.39000000001</v>
      </c>
      <c r="EJ8" s="231">
        <v>57783.65</v>
      </c>
      <c r="EK8" s="231">
        <v>15222.84</v>
      </c>
      <c r="EL8" s="231">
        <v>5238</v>
      </c>
      <c r="EM8" s="231">
        <v>229826.88</v>
      </c>
      <c r="EN8" s="231">
        <v>145881.69</v>
      </c>
      <c r="EO8" s="231">
        <v>83945.19</v>
      </c>
      <c r="EP8" s="229">
        <v>0.57540000000000002</v>
      </c>
      <c r="EQ8" s="231">
        <v>122351</v>
      </c>
      <c r="ER8" s="231">
        <v>72845</v>
      </c>
      <c r="ES8" s="231">
        <v>259506</v>
      </c>
      <c r="ET8" s="231">
        <v>65701623</v>
      </c>
      <c r="EU8" s="231">
        <v>454702</v>
      </c>
      <c r="EV8" s="231">
        <v>455588</v>
      </c>
      <c r="EW8" s="228">
        <v>-886</v>
      </c>
      <c r="EX8" s="229">
        <v>-1.9E-3</v>
      </c>
      <c r="EY8" s="229">
        <v>0.34320000000000001</v>
      </c>
    </row>
    <row r="9" spans="1:155" ht="17.25" thickBot="1" x14ac:dyDescent="0.3">
      <c r="A9" s="226">
        <v>46064</v>
      </c>
      <c r="B9" s="227" t="s">
        <v>175</v>
      </c>
      <c r="C9" s="227" t="s">
        <v>177</v>
      </c>
      <c r="D9" s="228">
        <v>969.35</v>
      </c>
      <c r="E9" s="228">
        <v>968.5</v>
      </c>
      <c r="F9" s="228">
        <v>0.85</v>
      </c>
      <c r="G9" s="229">
        <v>8.9999999999999998E-4</v>
      </c>
      <c r="H9" s="228">
        <v>968.95</v>
      </c>
      <c r="I9" s="228">
        <v>965.6</v>
      </c>
      <c r="J9" s="228">
        <v>3.35</v>
      </c>
      <c r="K9" s="229">
        <v>3.5000000000000001E-3</v>
      </c>
      <c r="L9" s="228">
        <v>969.35</v>
      </c>
      <c r="M9" s="228">
        <v>968.5</v>
      </c>
      <c r="N9" s="228">
        <v>0.85</v>
      </c>
      <c r="O9" s="229">
        <v>8.9999999999999998E-4</v>
      </c>
      <c r="P9" s="228">
        <v>975.8</v>
      </c>
      <c r="Q9" s="228">
        <v>974.4</v>
      </c>
      <c r="R9" s="228">
        <v>1.4</v>
      </c>
      <c r="S9" s="229">
        <v>1.4E-3</v>
      </c>
      <c r="T9" s="228">
        <v>981.25</v>
      </c>
      <c r="U9" s="228">
        <v>980.3</v>
      </c>
      <c r="V9" s="228">
        <v>0.95</v>
      </c>
      <c r="W9" s="229">
        <v>1E-3</v>
      </c>
      <c r="X9" s="228">
        <v>0.4</v>
      </c>
      <c r="Y9" s="228">
        <v>2.9</v>
      </c>
      <c r="Z9" s="228">
        <v>-2.5</v>
      </c>
      <c r="AA9" s="229">
        <v>4.0000000000000002E-4</v>
      </c>
      <c r="AB9" s="228">
        <v>0.4</v>
      </c>
      <c r="AC9" s="228">
        <v>2.9</v>
      </c>
      <c r="AD9" s="228">
        <v>-2.5</v>
      </c>
      <c r="AE9" s="229">
        <v>4.0000000000000002E-4</v>
      </c>
      <c r="AF9" s="228">
        <v>6.85</v>
      </c>
      <c r="AG9" s="228">
        <v>8.8000000000000007</v>
      </c>
      <c r="AH9" s="228">
        <v>-1.95</v>
      </c>
      <c r="AI9" s="229">
        <v>7.1000000000000004E-3</v>
      </c>
      <c r="AJ9" s="228">
        <v>12.3</v>
      </c>
      <c r="AK9" s="228">
        <v>14.7</v>
      </c>
      <c r="AL9" s="228">
        <v>-2.4</v>
      </c>
      <c r="AM9" s="229">
        <v>1.2699999999999999E-2</v>
      </c>
      <c r="AN9" s="228">
        <v>969.67</v>
      </c>
      <c r="AO9" s="228">
        <v>975.96</v>
      </c>
      <c r="AP9" s="228">
        <v>0</v>
      </c>
      <c r="AQ9" s="230">
        <v>7053</v>
      </c>
      <c r="AR9" s="230">
        <v>8494</v>
      </c>
      <c r="AS9" s="230">
        <v>-1441</v>
      </c>
      <c r="AT9" s="229">
        <v>-0.1696</v>
      </c>
      <c r="AU9" s="230">
        <v>6269</v>
      </c>
      <c r="AV9" s="230">
        <v>7243</v>
      </c>
      <c r="AW9" s="228">
        <v>-974</v>
      </c>
      <c r="AX9" s="229">
        <v>-0.13450000000000001</v>
      </c>
      <c r="AY9" s="228">
        <v>725</v>
      </c>
      <c r="AZ9" s="230">
        <v>1065</v>
      </c>
      <c r="BA9" s="228">
        <v>-340</v>
      </c>
      <c r="BB9" s="229">
        <v>-0.31919999999999998</v>
      </c>
      <c r="BC9" s="228">
        <v>59</v>
      </c>
      <c r="BD9" s="228">
        <v>186</v>
      </c>
      <c r="BE9" s="228">
        <v>-127</v>
      </c>
      <c r="BF9" s="229">
        <v>-0.68279999999999996</v>
      </c>
      <c r="BG9" s="230">
        <v>26680</v>
      </c>
      <c r="BH9" s="230">
        <v>29688</v>
      </c>
      <c r="BI9" s="230">
        <v>-3008</v>
      </c>
      <c r="BJ9" s="229">
        <v>-0.1013</v>
      </c>
      <c r="BK9" s="230">
        <v>15717</v>
      </c>
      <c r="BL9" s="230">
        <v>20466</v>
      </c>
      <c r="BM9" s="230">
        <v>-4749</v>
      </c>
      <c r="BN9" s="229">
        <v>-0.23200000000000001</v>
      </c>
      <c r="BO9" s="230">
        <v>49450</v>
      </c>
      <c r="BP9" s="230">
        <v>58648</v>
      </c>
      <c r="BQ9" s="230">
        <v>-9198</v>
      </c>
      <c r="BR9" s="229">
        <v>-0.15679999999999999</v>
      </c>
      <c r="BS9" s="230">
        <v>3722456</v>
      </c>
      <c r="BT9" s="230">
        <v>6470494</v>
      </c>
      <c r="BU9" s="230">
        <v>-2748038</v>
      </c>
      <c r="BV9" s="229">
        <v>-0.42470000000000002</v>
      </c>
      <c r="BW9" s="230">
        <v>87073500</v>
      </c>
      <c r="BX9" s="230">
        <v>87285750</v>
      </c>
      <c r="BY9" s="230">
        <v>-212250</v>
      </c>
      <c r="BZ9" s="229">
        <v>-2.3999999999999998E-3</v>
      </c>
      <c r="CA9" s="230">
        <v>81879000</v>
      </c>
      <c r="CB9" s="230">
        <v>82256250</v>
      </c>
      <c r="CC9" s="230">
        <v>-377250</v>
      </c>
      <c r="CD9" s="229">
        <v>-4.5999999999999999E-3</v>
      </c>
      <c r="CE9" s="230">
        <v>4848750</v>
      </c>
      <c r="CF9" s="230">
        <v>4697250</v>
      </c>
      <c r="CG9" s="230">
        <v>151500</v>
      </c>
      <c r="CH9" s="229">
        <v>3.2300000000000002E-2</v>
      </c>
      <c r="CI9" s="230">
        <v>345750</v>
      </c>
      <c r="CJ9" s="230">
        <v>332250</v>
      </c>
      <c r="CK9" s="230">
        <v>13500</v>
      </c>
      <c r="CL9" s="229">
        <v>4.0599999999999997E-2</v>
      </c>
      <c r="CM9" s="230">
        <v>18806250</v>
      </c>
      <c r="CN9" s="230">
        <v>19230000</v>
      </c>
      <c r="CO9" s="230">
        <v>-423750</v>
      </c>
      <c r="CP9" s="229">
        <v>-2.1999999999999999E-2</v>
      </c>
      <c r="CQ9" s="230">
        <v>17886750</v>
      </c>
      <c r="CR9" s="230">
        <v>18599250</v>
      </c>
      <c r="CS9" s="230">
        <v>-712500</v>
      </c>
      <c r="CT9" s="229">
        <v>-3.8300000000000001E-2</v>
      </c>
      <c r="CU9" s="230">
        <v>123766500</v>
      </c>
      <c r="CV9" s="230">
        <v>125115000</v>
      </c>
      <c r="CW9" s="230">
        <v>-1348500</v>
      </c>
      <c r="CX9" s="229">
        <v>-1.0800000000000001E-2</v>
      </c>
      <c r="CY9" s="228">
        <v>25.19</v>
      </c>
      <c r="CZ9" s="228">
        <v>25.18</v>
      </c>
      <c r="DA9" s="228">
        <v>0.01</v>
      </c>
      <c r="DB9" s="228">
        <v>0.01</v>
      </c>
      <c r="DC9" s="228">
        <v>31.59</v>
      </c>
      <c r="DD9" s="228">
        <v>31.66</v>
      </c>
      <c r="DE9" s="228">
        <v>-6.4</v>
      </c>
      <c r="DF9" s="228">
        <v>-7.0000000000000007E-2</v>
      </c>
      <c r="DG9" s="228">
        <v>24.81</v>
      </c>
      <c r="DH9" s="228">
        <v>24.71</v>
      </c>
      <c r="DI9" s="228">
        <v>0.1</v>
      </c>
      <c r="DJ9" s="228">
        <v>0.1</v>
      </c>
      <c r="DK9" s="228">
        <v>25.83</v>
      </c>
      <c r="DL9" s="228">
        <v>25.87</v>
      </c>
      <c r="DM9" s="228">
        <v>-0.04</v>
      </c>
      <c r="DN9" s="228">
        <v>-0.04</v>
      </c>
      <c r="DO9" s="228">
        <v>0.95</v>
      </c>
      <c r="DP9" s="228">
        <v>0.97</v>
      </c>
      <c r="DQ9" s="228">
        <v>-0.02</v>
      </c>
      <c r="DR9" s="229">
        <v>-2.06E-2</v>
      </c>
      <c r="DS9" s="231">
        <v>1000</v>
      </c>
      <c r="DT9" s="228">
        <v>950</v>
      </c>
      <c r="DU9" s="228">
        <v>0.59</v>
      </c>
      <c r="DV9" s="228">
        <v>0.69</v>
      </c>
      <c r="DW9" s="228">
        <v>-0.1</v>
      </c>
      <c r="DX9" s="229">
        <v>-0.1449</v>
      </c>
      <c r="DY9" s="229">
        <v>5.9700000000000003E-2</v>
      </c>
      <c r="DZ9" s="230">
        <v>5029500</v>
      </c>
      <c r="EA9" s="229">
        <v>6.7000000000000002E-3</v>
      </c>
      <c r="EB9" s="229">
        <v>5.9700000000000003E-2</v>
      </c>
      <c r="EC9" s="228">
        <v>6.29</v>
      </c>
      <c r="ED9" s="229">
        <v>6.4999999999999997E-3</v>
      </c>
      <c r="EE9" s="230">
        <v>2050181</v>
      </c>
      <c r="EF9" s="230">
        <v>3988080</v>
      </c>
      <c r="EG9" s="229">
        <v>-0.4859</v>
      </c>
      <c r="EH9" s="229">
        <v>0.55079999999999996</v>
      </c>
      <c r="EI9" s="231">
        <v>202447.9</v>
      </c>
      <c r="EJ9" s="231">
        <v>112132.92</v>
      </c>
      <c r="EK9" s="231">
        <v>51332.98</v>
      </c>
      <c r="EL9" s="231">
        <v>13975</v>
      </c>
      <c r="EM9" s="231">
        <v>365913.8</v>
      </c>
      <c r="EN9" s="231">
        <v>434263.83</v>
      </c>
      <c r="EO9" s="231">
        <v>-68350.03</v>
      </c>
      <c r="EP9" s="229">
        <v>-0.15740000000000001</v>
      </c>
      <c r="EQ9" s="231">
        <v>188374</v>
      </c>
      <c r="ER9" s="231">
        <v>166240</v>
      </c>
      <c r="ES9" s="231">
        <v>844401</v>
      </c>
      <c r="ET9" s="231">
        <v>317526833</v>
      </c>
      <c r="EU9" s="231">
        <v>1199015</v>
      </c>
      <c r="EV9" s="231">
        <v>1211161</v>
      </c>
      <c r="EW9" s="231">
        <v>-12146</v>
      </c>
      <c r="EX9" s="229">
        <v>-0.01</v>
      </c>
      <c r="EY9" s="229">
        <v>0.38979999999999998</v>
      </c>
    </row>
    <row r="10" spans="1:155" ht="17.25" thickBot="1" x14ac:dyDescent="0.3">
      <c r="A10" s="226">
        <v>46064</v>
      </c>
      <c r="B10" s="227" t="s">
        <v>184</v>
      </c>
      <c r="C10" s="227" t="s">
        <v>185</v>
      </c>
      <c r="D10" s="228">
        <v>437.7</v>
      </c>
      <c r="E10" s="228">
        <v>437.45</v>
      </c>
      <c r="F10" s="228">
        <v>0.25</v>
      </c>
      <c r="G10" s="229">
        <v>5.9999999999999995E-4</v>
      </c>
      <c r="H10" s="228">
        <v>437.55</v>
      </c>
      <c r="I10" s="228">
        <v>437.3</v>
      </c>
      <c r="J10" s="228">
        <v>0.25</v>
      </c>
      <c r="K10" s="229">
        <v>5.9999999999999995E-4</v>
      </c>
      <c r="L10" s="228">
        <v>437.7</v>
      </c>
      <c r="M10" s="228">
        <v>437.45</v>
      </c>
      <c r="N10" s="228">
        <v>0.25</v>
      </c>
      <c r="O10" s="229">
        <v>5.9999999999999995E-4</v>
      </c>
      <c r="P10" s="228">
        <v>439.5</v>
      </c>
      <c r="Q10" s="228">
        <v>439.2</v>
      </c>
      <c r="R10" s="228">
        <v>0.3</v>
      </c>
      <c r="S10" s="229">
        <v>6.9999999999999999E-4</v>
      </c>
      <c r="T10" s="228">
        <v>442.8</v>
      </c>
      <c r="U10" s="228">
        <v>441.85</v>
      </c>
      <c r="V10" s="228">
        <v>0.95</v>
      </c>
      <c r="W10" s="229">
        <v>2.2000000000000001E-3</v>
      </c>
      <c r="X10" s="228">
        <v>0.15</v>
      </c>
      <c r="Y10" s="228">
        <v>0.15</v>
      </c>
      <c r="Z10" s="228">
        <v>0</v>
      </c>
      <c r="AA10" s="229">
        <v>2.9999999999999997E-4</v>
      </c>
      <c r="AB10" s="228">
        <v>0.15</v>
      </c>
      <c r="AC10" s="228">
        <v>0.15</v>
      </c>
      <c r="AD10" s="228">
        <v>0</v>
      </c>
      <c r="AE10" s="229">
        <v>2.9999999999999997E-4</v>
      </c>
      <c r="AF10" s="228">
        <v>1.95</v>
      </c>
      <c r="AG10" s="228">
        <v>1.9</v>
      </c>
      <c r="AH10" s="228">
        <v>0.05</v>
      </c>
      <c r="AI10" s="229">
        <v>4.4999999999999997E-3</v>
      </c>
      <c r="AJ10" s="228">
        <v>5.25</v>
      </c>
      <c r="AK10" s="228">
        <v>4.55</v>
      </c>
      <c r="AL10" s="228">
        <v>0.7</v>
      </c>
      <c r="AM10" s="229">
        <v>1.2E-2</v>
      </c>
      <c r="AN10" s="228">
        <v>436.8</v>
      </c>
      <c r="AO10" s="228">
        <v>438.64</v>
      </c>
      <c r="AP10" s="228">
        <v>0</v>
      </c>
      <c r="AQ10" s="230">
        <v>5997</v>
      </c>
      <c r="AR10" s="230">
        <v>8476</v>
      </c>
      <c r="AS10" s="230">
        <v>-2479</v>
      </c>
      <c r="AT10" s="229">
        <v>-0.29249999999999998</v>
      </c>
      <c r="AU10" s="230">
        <v>5364</v>
      </c>
      <c r="AV10" s="230">
        <v>7159</v>
      </c>
      <c r="AW10" s="230">
        <v>-1795</v>
      </c>
      <c r="AX10" s="229">
        <v>-0.25069999999999998</v>
      </c>
      <c r="AY10" s="228">
        <v>548</v>
      </c>
      <c r="AZ10" s="230">
        <v>1126</v>
      </c>
      <c r="BA10" s="228">
        <v>-578</v>
      </c>
      <c r="BB10" s="229">
        <v>-0.51329999999999998</v>
      </c>
      <c r="BC10" s="228">
        <v>85</v>
      </c>
      <c r="BD10" s="228">
        <v>191</v>
      </c>
      <c r="BE10" s="228">
        <v>-106</v>
      </c>
      <c r="BF10" s="229">
        <v>-0.55500000000000005</v>
      </c>
      <c r="BG10" s="230">
        <v>39414</v>
      </c>
      <c r="BH10" s="230">
        <v>55320</v>
      </c>
      <c r="BI10" s="230">
        <v>-15906</v>
      </c>
      <c r="BJ10" s="229">
        <v>-0.28749999999999998</v>
      </c>
      <c r="BK10" s="230">
        <v>12978</v>
      </c>
      <c r="BL10" s="230">
        <v>19950</v>
      </c>
      <c r="BM10" s="230">
        <v>-6972</v>
      </c>
      <c r="BN10" s="229">
        <v>-0.34949999999999998</v>
      </c>
      <c r="BO10" s="230">
        <v>58389</v>
      </c>
      <c r="BP10" s="230">
        <v>83746</v>
      </c>
      <c r="BQ10" s="230">
        <v>-25357</v>
      </c>
      <c r="BR10" s="229">
        <v>-0.30280000000000001</v>
      </c>
      <c r="BS10" s="230">
        <v>8564043</v>
      </c>
      <c r="BT10" s="230">
        <v>11553589</v>
      </c>
      <c r="BU10" s="230">
        <v>-2989546</v>
      </c>
      <c r="BV10" s="229">
        <v>-0.25879999999999997</v>
      </c>
      <c r="BW10" s="230">
        <v>112832925</v>
      </c>
      <c r="BX10" s="230">
        <v>113930175</v>
      </c>
      <c r="BY10" s="230">
        <v>-1097250</v>
      </c>
      <c r="BZ10" s="229">
        <v>-9.5999999999999992E-3</v>
      </c>
      <c r="CA10" s="230">
        <v>102837975</v>
      </c>
      <c r="CB10" s="230">
        <v>104046375</v>
      </c>
      <c r="CC10" s="230">
        <v>-1208400</v>
      </c>
      <c r="CD10" s="229">
        <v>-1.1599999999999999E-2</v>
      </c>
      <c r="CE10" s="230">
        <v>8373300</v>
      </c>
      <c r="CF10" s="230">
        <v>8293500</v>
      </c>
      <c r="CG10" s="230">
        <v>79800</v>
      </c>
      <c r="CH10" s="229">
        <v>9.5999999999999992E-3</v>
      </c>
      <c r="CI10" s="230">
        <v>1621650</v>
      </c>
      <c r="CJ10" s="230">
        <v>1590300</v>
      </c>
      <c r="CK10" s="230">
        <v>31350</v>
      </c>
      <c r="CL10" s="229">
        <v>1.9699999999999999E-2</v>
      </c>
      <c r="CM10" s="230">
        <v>102722550</v>
      </c>
      <c r="CN10" s="230">
        <v>105257625</v>
      </c>
      <c r="CO10" s="230">
        <v>-2535075</v>
      </c>
      <c r="CP10" s="229">
        <v>-2.41E-2</v>
      </c>
      <c r="CQ10" s="230">
        <v>43536600</v>
      </c>
      <c r="CR10" s="230">
        <v>44103750</v>
      </c>
      <c r="CS10" s="230">
        <v>-567150</v>
      </c>
      <c r="CT10" s="229">
        <v>-1.29E-2</v>
      </c>
      <c r="CU10" s="230">
        <v>259092075</v>
      </c>
      <c r="CV10" s="230">
        <v>263291550</v>
      </c>
      <c r="CW10" s="230">
        <v>-4199475</v>
      </c>
      <c r="CX10" s="229">
        <v>-1.5900000000000001E-2</v>
      </c>
      <c r="CY10" s="228">
        <v>34</v>
      </c>
      <c r="CZ10" s="228">
        <v>33.479999999999997</v>
      </c>
      <c r="DA10" s="228">
        <v>0.52</v>
      </c>
      <c r="DB10" s="228">
        <v>0.52</v>
      </c>
      <c r="DC10" s="228">
        <v>37.1</v>
      </c>
      <c r="DD10" s="228">
        <v>37.19</v>
      </c>
      <c r="DE10" s="228">
        <v>-3.1</v>
      </c>
      <c r="DF10" s="228">
        <v>-0.09</v>
      </c>
      <c r="DG10" s="228">
        <v>34.9</v>
      </c>
      <c r="DH10" s="228">
        <v>34.200000000000003</v>
      </c>
      <c r="DI10" s="228">
        <v>0.7</v>
      </c>
      <c r="DJ10" s="228">
        <v>0.7</v>
      </c>
      <c r="DK10" s="228">
        <v>31.27</v>
      </c>
      <c r="DL10" s="228">
        <v>31.5</v>
      </c>
      <c r="DM10" s="228">
        <v>-0.23</v>
      </c>
      <c r="DN10" s="228">
        <v>-0.23</v>
      </c>
      <c r="DO10" s="228">
        <v>0.42</v>
      </c>
      <c r="DP10" s="228">
        <v>0.42</v>
      </c>
      <c r="DQ10" s="228">
        <v>0</v>
      </c>
      <c r="DR10" s="229">
        <v>0</v>
      </c>
      <c r="DS10" s="228">
        <v>450</v>
      </c>
      <c r="DT10" s="228">
        <v>420</v>
      </c>
      <c r="DU10" s="228">
        <v>0.33</v>
      </c>
      <c r="DV10" s="228">
        <v>0.36</v>
      </c>
      <c r="DW10" s="228">
        <v>-0.03</v>
      </c>
      <c r="DX10" s="229">
        <v>-8.3299999999999999E-2</v>
      </c>
      <c r="DY10" s="229">
        <v>8.8599999999999998E-2</v>
      </c>
      <c r="DZ10" s="230">
        <v>9883800</v>
      </c>
      <c r="EA10" s="229">
        <v>4.1000000000000003E-3</v>
      </c>
      <c r="EB10" s="229">
        <v>8.8599999999999998E-2</v>
      </c>
      <c r="EC10" s="228">
        <v>1.84</v>
      </c>
      <c r="ED10" s="229">
        <v>4.1999999999999997E-3</v>
      </c>
      <c r="EE10" s="230">
        <v>5153812</v>
      </c>
      <c r="EF10" s="230">
        <v>5730336</v>
      </c>
      <c r="EG10" s="229">
        <v>-0.10059999999999999</v>
      </c>
      <c r="EH10" s="229">
        <v>0.6018</v>
      </c>
      <c r="EI10" s="231">
        <v>264416.55</v>
      </c>
      <c r="EJ10" s="231">
        <v>79323.83</v>
      </c>
      <c r="EK10" s="231">
        <v>37348.04</v>
      </c>
      <c r="EL10" s="231">
        <v>10225</v>
      </c>
      <c r="EM10" s="231">
        <v>381088.42</v>
      </c>
      <c r="EN10" s="231">
        <v>542338.61</v>
      </c>
      <c r="EO10" s="231">
        <v>-161250.19</v>
      </c>
      <c r="EP10" s="229">
        <v>-0.29730000000000001</v>
      </c>
      <c r="EQ10" s="231">
        <v>474765</v>
      </c>
      <c r="ER10" s="231">
        <v>182672</v>
      </c>
      <c r="ES10" s="231">
        <v>494103</v>
      </c>
      <c r="ET10" s="231">
        <v>535778534</v>
      </c>
      <c r="EU10" s="231">
        <v>1151540</v>
      </c>
      <c r="EV10" s="231">
        <v>1170571</v>
      </c>
      <c r="EW10" s="231">
        <v>-19031</v>
      </c>
      <c r="EX10" s="229">
        <v>-1.6299999999999999E-2</v>
      </c>
      <c r="EY10" s="229">
        <v>0.48359999999999997</v>
      </c>
    </row>
    <row r="11" spans="1:155" ht="17.25" thickBot="1" x14ac:dyDescent="0.3">
      <c r="A11" s="226">
        <v>46064</v>
      </c>
      <c r="B11" s="227" t="s">
        <v>188</v>
      </c>
      <c r="C11" s="227" t="s">
        <v>189</v>
      </c>
      <c r="D11" s="231">
        <v>2018.1</v>
      </c>
      <c r="E11" s="231">
        <v>2016.9</v>
      </c>
      <c r="F11" s="228">
        <v>1.2</v>
      </c>
      <c r="G11" s="229">
        <v>5.9999999999999995E-4</v>
      </c>
      <c r="H11" s="231">
        <v>2012.1</v>
      </c>
      <c r="I11" s="231">
        <v>2011.3</v>
      </c>
      <c r="J11" s="228">
        <v>0.8</v>
      </c>
      <c r="K11" s="229">
        <v>4.0000000000000002E-4</v>
      </c>
      <c r="L11" s="231">
        <v>2018.1</v>
      </c>
      <c r="M11" s="231">
        <v>2016.9</v>
      </c>
      <c r="N11" s="228">
        <v>1.2</v>
      </c>
      <c r="O11" s="229">
        <v>5.9999999999999995E-4</v>
      </c>
      <c r="P11" s="231">
        <v>2030</v>
      </c>
      <c r="Q11" s="231">
        <v>2029.3</v>
      </c>
      <c r="R11" s="228">
        <v>0.7</v>
      </c>
      <c r="S11" s="229">
        <v>2.9999999999999997E-4</v>
      </c>
      <c r="T11" s="231">
        <v>2048</v>
      </c>
      <c r="U11" s="231">
        <v>2041.5</v>
      </c>
      <c r="V11" s="228">
        <v>6.5</v>
      </c>
      <c r="W11" s="229">
        <v>3.2000000000000002E-3</v>
      </c>
      <c r="X11" s="228">
        <v>6</v>
      </c>
      <c r="Y11" s="228">
        <v>5.6</v>
      </c>
      <c r="Z11" s="228">
        <v>0.4</v>
      </c>
      <c r="AA11" s="229">
        <v>3.0000000000000001E-3</v>
      </c>
      <c r="AB11" s="228">
        <v>6</v>
      </c>
      <c r="AC11" s="228">
        <v>5.6</v>
      </c>
      <c r="AD11" s="228">
        <v>0.4</v>
      </c>
      <c r="AE11" s="229">
        <v>3.0000000000000001E-3</v>
      </c>
      <c r="AF11" s="228">
        <v>17.899999999999999</v>
      </c>
      <c r="AG11" s="228">
        <v>18</v>
      </c>
      <c r="AH11" s="228">
        <v>-0.1</v>
      </c>
      <c r="AI11" s="229">
        <v>8.8999999999999999E-3</v>
      </c>
      <c r="AJ11" s="228">
        <v>35.9</v>
      </c>
      <c r="AK11" s="228">
        <v>30.2</v>
      </c>
      <c r="AL11" s="228">
        <v>5.7</v>
      </c>
      <c r="AM11" s="229">
        <v>1.78E-2</v>
      </c>
      <c r="AN11" s="231">
        <v>2015.23</v>
      </c>
      <c r="AO11" s="231">
        <v>2027.89</v>
      </c>
      <c r="AP11" s="228">
        <v>0</v>
      </c>
      <c r="AQ11" s="230">
        <v>7493</v>
      </c>
      <c r="AR11" s="230">
        <v>7833</v>
      </c>
      <c r="AS11" s="228">
        <v>-340</v>
      </c>
      <c r="AT11" s="229">
        <v>-4.3400000000000001E-2</v>
      </c>
      <c r="AU11" s="230">
        <v>5957</v>
      </c>
      <c r="AV11" s="230">
        <v>6882</v>
      </c>
      <c r="AW11" s="228">
        <v>-925</v>
      </c>
      <c r="AX11" s="229">
        <v>-0.13439999999999999</v>
      </c>
      <c r="AY11" s="230">
        <v>1498</v>
      </c>
      <c r="AZ11" s="228">
        <v>871</v>
      </c>
      <c r="BA11" s="228">
        <v>627</v>
      </c>
      <c r="BB11" s="229">
        <v>0.71989999999999998</v>
      </c>
      <c r="BC11" s="228">
        <v>38</v>
      </c>
      <c r="BD11" s="228">
        <v>80</v>
      </c>
      <c r="BE11" s="228">
        <v>-42</v>
      </c>
      <c r="BF11" s="229">
        <v>-0.52500000000000002</v>
      </c>
      <c r="BG11" s="230">
        <v>48128</v>
      </c>
      <c r="BH11" s="230">
        <v>43173</v>
      </c>
      <c r="BI11" s="230">
        <v>4955</v>
      </c>
      <c r="BJ11" s="229">
        <v>0.1148</v>
      </c>
      <c r="BK11" s="230">
        <v>27301</v>
      </c>
      <c r="BL11" s="230">
        <v>31235</v>
      </c>
      <c r="BM11" s="230">
        <v>-3934</v>
      </c>
      <c r="BN11" s="229">
        <v>-0.12590000000000001</v>
      </c>
      <c r="BO11" s="230">
        <v>82922</v>
      </c>
      <c r="BP11" s="230">
        <v>82241</v>
      </c>
      <c r="BQ11" s="228">
        <v>681</v>
      </c>
      <c r="BR11" s="229">
        <v>8.3000000000000001E-3</v>
      </c>
      <c r="BS11" s="230">
        <v>7666678</v>
      </c>
      <c r="BT11" s="230">
        <v>10268884</v>
      </c>
      <c r="BU11" s="230">
        <v>-2602206</v>
      </c>
      <c r="BV11" s="229">
        <v>-0.25340000000000001</v>
      </c>
      <c r="BW11" s="230">
        <v>52765850</v>
      </c>
      <c r="BX11" s="230">
        <v>52061900</v>
      </c>
      <c r="BY11" s="230">
        <v>703950</v>
      </c>
      <c r="BZ11" s="229">
        <v>1.35E-2</v>
      </c>
      <c r="CA11" s="230">
        <v>45642275</v>
      </c>
      <c r="CB11" s="230">
        <v>45417125</v>
      </c>
      <c r="CC11" s="230">
        <v>225150</v>
      </c>
      <c r="CD11" s="229">
        <v>5.0000000000000001E-3</v>
      </c>
      <c r="CE11" s="230">
        <v>7005775</v>
      </c>
      <c r="CF11" s="230">
        <v>6529350</v>
      </c>
      <c r="CG11" s="230">
        <v>476425</v>
      </c>
      <c r="CH11" s="229">
        <v>7.2999999999999995E-2</v>
      </c>
      <c r="CI11" s="230">
        <v>117800</v>
      </c>
      <c r="CJ11" s="230">
        <v>115425</v>
      </c>
      <c r="CK11" s="230">
        <v>2375</v>
      </c>
      <c r="CL11" s="229">
        <v>2.06E-2</v>
      </c>
      <c r="CM11" s="230">
        <v>15654100</v>
      </c>
      <c r="CN11" s="230">
        <v>14908825</v>
      </c>
      <c r="CO11" s="230">
        <v>745275</v>
      </c>
      <c r="CP11" s="229">
        <v>0.05</v>
      </c>
      <c r="CQ11" s="230">
        <v>7771000</v>
      </c>
      <c r="CR11" s="230">
        <v>7676000</v>
      </c>
      <c r="CS11" s="230">
        <v>95000</v>
      </c>
      <c r="CT11" s="229">
        <v>1.24E-2</v>
      </c>
      <c r="CU11" s="230">
        <v>76190950</v>
      </c>
      <c r="CV11" s="230">
        <v>74646725</v>
      </c>
      <c r="CW11" s="230">
        <v>1544225</v>
      </c>
      <c r="CX11" s="229">
        <v>2.07E-2</v>
      </c>
      <c r="CY11" s="228">
        <v>19.05</v>
      </c>
      <c r="CZ11" s="228">
        <v>19.57</v>
      </c>
      <c r="DA11" s="228">
        <v>-0.52</v>
      </c>
      <c r="DB11" s="228">
        <v>-0.52</v>
      </c>
      <c r="DC11" s="228">
        <v>23.68</v>
      </c>
      <c r="DD11" s="228">
        <v>23.74</v>
      </c>
      <c r="DE11" s="228">
        <v>-4.63</v>
      </c>
      <c r="DF11" s="228">
        <v>-0.06</v>
      </c>
      <c r="DG11" s="228">
        <v>18.88</v>
      </c>
      <c r="DH11" s="228">
        <v>19.5</v>
      </c>
      <c r="DI11" s="228">
        <v>-0.62</v>
      </c>
      <c r="DJ11" s="228">
        <v>-0.62</v>
      </c>
      <c r="DK11" s="228">
        <v>19.36</v>
      </c>
      <c r="DL11" s="228">
        <v>19.66</v>
      </c>
      <c r="DM11" s="228">
        <v>-0.3</v>
      </c>
      <c r="DN11" s="228">
        <v>-0.3</v>
      </c>
      <c r="DO11" s="228">
        <v>0.5</v>
      </c>
      <c r="DP11" s="228">
        <v>0.51</v>
      </c>
      <c r="DQ11" s="228">
        <v>-0.01</v>
      </c>
      <c r="DR11" s="229">
        <v>-1.9599999999999999E-2</v>
      </c>
      <c r="DS11" s="231">
        <v>2100</v>
      </c>
      <c r="DT11" s="231">
        <v>2000</v>
      </c>
      <c r="DU11" s="228">
        <v>0.56999999999999995</v>
      </c>
      <c r="DV11" s="228">
        <v>0.72</v>
      </c>
      <c r="DW11" s="228">
        <v>-0.15</v>
      </c>
      <c r="DX11" s="229">
        <v>-0.20830000000000001</v>
      </c>
      <c r="DY11" s="229">
        <v>0.13500000000000001</v>
      </c>
      <c r="DZ11" s="230">
        <v>6644775</v>
      </c>
      <c r="EA11" s="229">
        <v>5.8999999999999999E-3</v>
      </c>
      <c r="EB11" s="229">
        <v>0.13500000000000001</v>
      </c>
      <c r="EC11" s="228">
        <v>12.66</v>
      </c>
      <c r="ED11" s="229">
        <v>6.3E-3</v>
      </c>
      <c r="EE11" s="230">
        <v>5058023</v>
      </c>
      <c r="EF11" s="230">
        <v>7293656</v>
      </c>
      <c r="EG11" s="229">
        <v>-0.30649999999999999</v>
      </c>
      <c r="EH11" s="229">
        <v>0.65969999999999995</v>
      </c>
      <c r="EI11" s="231">
        <v>474849.15</v>
      </c>
      <c r="EJ11" s="231">
        <v>258676.06</v>
      </c>
      <c r="EK11" s="231">
        <v>71819.67</v>
      </c>
      <c r="EL11" s="231">
        <v>15021</v>
      </c>
      <c r="EM11" s="231">
        <v>805344.88</v>
      </c>
      <c r="EN11" s="231">
        <v>802467.4</v>
      </c>
      <c r="EO11" s="231">
        <v>2877.48</v>
      </c>
      <c r="EP11" s="229">
        <v>3.5999999999999999E-3</v>
      </c>
      <c r="EQ11" s="231">
        <v>328097</v>
      </c>
      <c r="ER11" s="231">
        <v>149536</v>
      </c>
      <c r="ES11" s="231">
        <v>1065737</v>
      </c>
      <c r="ET11" s="231">
        <v>367085962</v>
      </c>
      <c r="EU11" s="231">
        <v>1543370</v>
      </c>
      <c r="EV11" s="231">
        <v>1511070</v>
      </c>
      <c r="EW11" s="231">
        <v>32300</v>
      </c>
      <c r="EX11" s="229">
        <v>2.1399999999999999E-2</v>
      </c>
      <c r="EY11" s="229">
        <v>0.20760000000000001</v>
      </c>
    </row>
    <row r="12" spans="1:155" ht="17.25" thickBot="1" x14ac:dyDescent="0.3">
      <c r="A12" s="226">
        <v>46064</v>
      </c>
      <c r="B12" s="227" t="s">
        <v>170</v>
      </c>
      <c r="C12" s="227" t="s">
        <v>199</v>
      </c>
      <c r="D12" s="231">
        <v>1350.8</v>
      </c>
      <c r="E12" s="231">
        <v>1346.3</v>
      </c>
      <c r="F12" s="228">
        <v>4.5</v>
      </c>
      <c r="G12" s="229">
        <v>3.3E-3</v>
      </c>
      <c r="H12" s="231">
        <v>1349.9</v>
      </c>
      <c r="I12" s="231">
        <v>1342.1</v>
      </c>
      <c r="J12" s="228">
        <v>7.8</v>
      </c>
      <c r="K12" s="229">
        <v>5.7999999999999996E-3</v>
      </c>
      <c r="L12" s="231">
        <v>1350.8</v>
      </c>
      <c r="M12" s="231">
        <v>1346.3</v>
      </c>
      <c r="N12" s="228">
        <v>4.5</v>
      </c>
      <c r="O12" s="229">
        <v>3.3E-3</v>
      </c>
      <c r="P12" s="231">
        <v>1360.2</v>
      </c>
      <c r="Q12" s="231">
        <v>1354.6</v>
      </c>
      <c r="R12" s="228">
        <v>5.6</v>
      </c>
      <c r="S12" s="229">
        <v>4.1000000000000003E-3</v>
      </c>
      <c r="T12" s="231">
        <v>1368.2</v>
      </c>
      <c r="U12" s="231">
        <v>1362.5</v>
      </c>
      <c r="V12" s="228">
        <v>5.7</v>
      </c>
      <c r="W12" s="229">
        <v>4.1999999999999997E-3</v>
      </c>
      <c r="X12" s="228">
        <v>0.9</v>
      </c>
      <c r="Y12" s="228">
        <v>4.2</v>
      </c>
      <c r="Z12" s="228">
        <v>-3.3</v>
      </c>
      <c r="AA12" s="229">
        <v>6.9999999999999999E-4</v>
      </c>
      <c r="AB12" s="228">
        <v>0.9</v>
      </c>
      <c r="AC12" s="228">
        <v>4.2</v>
      </c>
      <c r="AD12" s="228">
        <v>-3.3</v>
      </c>
      <c r="AE12" s="229">
        <v>6.9999999999999999E-4</v>
      </c>
      <c r="AF12" s="228">
        <v>10.3</v>
      </c>
      <c r="AG12" s="228">
        <v>12.5</v>
      </c>
      <c r="AH12" s="228">
        <v>-2.2000000000000002</v>
      </c>
      <c r="AI12" s="229">
        <v>7.6E-3</v>
      </c>
      <c r="AJ12" s="228">
        <v>18.3</v>
      </c>
      <c r="AK12" s="228">
        <v>20.399999999999999</v>
      </c>
      <c r="AL12" s="228">
        <v>-2.1</v>
      </c>
      <c r="AM12" s="229">
        <v>1.3599999999999999E-2</v>
      </c>
      <c r="AN12" s="231">
        <v>1348.75</v>
      </c>
      <c r="AO12" s="231">
        <v>1357.54</v>
      </c>
      <c r="AP12" s="228">
        <v>0</v>
      </c>
      <c r="AQ12" s="230">
        <v>2085</v>
      </c>
      <c r="AR12" s="230">
        <v>3543</v>
      </c>
      <c r="AS12" s="230">
        <v>-1458</v>
      </c>
      <c r="AT12" s="229">
        <v>-0.41149999999999998</v>
      </c>
      <c r="AU12" s="230">
        <v>1824</v>
      </c>
      <c r="AV12" s="230">
        <v>3213</v>
      </c>
      <c r="AW12" s="230">
        <v>-1389</v>
      </c>
      <c r="AX12" s="229">
        <v>-0.43230000000000002</v>
      </c>
      <c r="AY12" s="228">
        <v>227</v>
      </c>
      <c r="AZ12" s="228">
        <v>293</v>
      </c>
      <c r="BA12" s="228">
        <v>-66</v>
      </c>
      <c r="BB12" s="229">
        <v>-0.2253</v>
      </c>
      <c r="BC12" s="228">
        <v>34</v>
      </c>
      <c r="BD12" s="228">
        <v>37</v>
      </c>
      <c r="BE12" s="228">
        <v>-3</v>
      </c>
      <c r="BF12" s="229">
        <v>-8.1100000000000005E-2</v>
      </c>
      <c r="BG12" s="230">
        <v>11208</v>
      </c>
      <c r="BH12" s="230">
        <v>24733</v>
      </c>
      <c r="BI12" s="230">
        <v>-13525</v>
      </c>
      <c r="BJ12" s="229">
        <v>-0.54679999999999995</v>
      </c>
      <c r="BK12" s="230">
        <v>4065</v>
      </c>
      <c r="BL12" s="230">
        <v>7762</v>
      </c>
      <c r="BM12" s="230">
        <v>-3697</v>
      </c>
      <c r="BN12" s="229">
        <v>-0.4763</v>
      </c>
      <c r="BO12" s="230">
        <v>17358</v>
      </c>
      <c r="BP12" s="230">
        <v>36038</v>
      </c>
      <c r="BQ12" s="230">
        <v>-18680</v>
      </c>
      <c r="BR12" s="229">
        <v>-0.51829999999999998</v>
      </c>
      <c r="BS12" s="230">
        <v>871586</v>
      </c>
      <c r="BT12" s="230">
        <v>1079464</v>
      </c>
      <c r="BU12" s="230">
        <v>-207878</v>
      </c>
      <c r="BV12" s="229">
        <v>-0.19259999999999999</v>
      </c>
      <c r="BW12" s="230">
        <v>14167875</v>
      </c>
      <c r="BX12" s="230">
        <v>14298000</v>
      </c>
      <c r="BY12" s="230">
        <v>-130125</v>
      </c>
      <c r="BZ12" s="229">
        <v>-9.1000000000000004E-3</v>
      </c>
      <c r="CA12" s="230">
        <v>13610250</v>
      </c>
      <c r="CB12" s="230">
        <v>13749000</v>
      </c>
      <c r="CC12" s="230">
        <v>-138750</v>
      </c>
      <c r="CD12" s="229">
        <v>-1.01E-2</v>
      </c>
      <c r="CE12" s="230">
        <v>514875</v>
      </c>
      <c r="CF12" s="230">
        <v>507750</v>
      </c>
      <c r="CG12" s="230">
        <v>7125</v>
      </c>
      <c r="CH12" s="229">
        <v>1.4E-2</v>
      </c>
      <c r="CI12" s="230">
        <v>42750</v>
      </c>
      <c r="CJ12" s="230">
        <v>41250</v>
      </c>
      <c r="CK12" s="230">
        <v>1500</v>
      </c>
      <c r="CL12" s="229">
        <v>3.6400000000000002E-2</v>
      </c>
      <c r="CM12" s="230">
        <v>6609000</v>
      </c>
      <c r="CN12" s="230">
        <v>6683625</v>
      </c>
      <c r="CO12" s="230">
        <v>-74625</v>
      </c>
      <c r="CP12" s="229">
        <v>-1.12E-2</v>
      </c>
      <c r="CQ12" s="230">
        <v>4147500</v>
      </c>
      <c r="CR12" s="230">
        <v>4144125</v>
      </c>
      <c r="CS12" s="230">
        <v>3375</v>
      </c>
      <c r="CT12" s="229">
        <v>8.0000000000000004E-4</v>
      </c>
      <c r="CU12" s="230">
        <v>24924375</v>
      </c>
      <c r="CV12" s="230">
        <v>25125750</v>
      </c>
      <c r="CW12" s="230">
        <v>-201375</v>
      </c>
      <c r="CX12" s="229">
        <v>-8.0000000000000002E-3</v>
      </c>
      <c r="CY12" s="228">
        <v>21.69</v>
      </c>
      <c r="CZ12" s="228">
        <v>21.71</v>
      </c>
      <c r="DA12" s="228">
        <v>-0.02</v>
      </c>
      <c r="DB12" s="228">
        <v>-0.02</v>
      </c>
      <c r="DC12" s="228">
        <v>25.49</v>
      </c>
      <c r="DD12" s="228">
        <v>25.55</v>
      </c>
      <c r="DE12" s="228">
        <v>-3.8</v>
      </c>
      <c r="DF12" s="228">
        <v>-0.06</v>
      </c>
      <c r="DG12" s="228">
        <v>21.6</v>
      </c>
      <c r="DH12" s="228">
        <v>21.49</v>
      </c>
      <c r="DI12" s="228">
        <v>0.11</v>
      </c>
      <c r="DJ12" s="228">
        <v>0.11</v>
      </c>
      <c r="DK12" s="228">
        <v>21.96</v>
      </c>
      <c r="DL12" s="228">
        <v>22.43</v>
      </c>
      <c r="DM12" s="228">
        <v>-0.47</v>
      </c>
      <c r="DN12" s="228">
        <v>-0.47</v>
      </c>
      <c r="DO12" s="228">
        <v>0.63</v>
      </c>
      <c r="DP12" s="228">
        <v>0.62</v>
      </c>
      <c r="DQ12" s="228">
        <v>0.01</v>
      </c>
      <c r="DR12" s="229">
        <v>1.61E-2</v>
      </c>
      <c r="DS12" s="231">
        <v>1400</v>
      </c>
      <c r="DT12" s="231">
        <v>1300</v>
      </c>
      <c r="DU12" s="228">
        <v>0.36</v>
      </c>
      <c r="DV12" s="228">
        <v>0.31</v>
      </c>
      <c r="DW12" s="228">
        <v>0.05</v>
      </c>
      <c r="DX12" s="229">
        <v>0.1613</v>
      </c>
      <c r="DY12" s="229">
        <v>3.9399999999999998E-2</v>
      </c>
      <c r="DZ12" s="230">
        <v>549000</v>
      </c>
      <c r="EA12" s="229">
        <v>7.0000000000000001E-3</v>
      </c>
      <c r="EB12" s="229">
        <v>3.9399999999999998E-2</v>
      </c>
      <c r="EC12" s="228">
        <v>8.7899999999999991</v>
      </c>
      <c r="ED12" s="229">
        <v>6.4999999999999997E-3</v>
      </c>
      <c r="EE12" s="230">
        <v>437513</v>
      </c>
      <c r="EF12" s="230">
        <v>464554</v>
      </c>
      <c r="EG12" s="229">
        <v>-5.8200000000000002E-2</v>
      </c>
      <c r="EH12" s="229">
        <v>0.502</v>
      </c>
      <c r="EI12" s="231">
        <v>58392.98</v>
      </c>
      <c r="EJ12" s="231">
        <v>20385.77</v>
      </c>
      <c r="EK12" s="231">
        <v>10555.07</v>
      </c>
      <c r="EL12" s="231">
        <v>3644</v>
      </c>
      <c r="EM12" s="231">
        <v>89333.82</v>
      </c>
      <c r="EN12" s="231">
        <v>185252.22</v>
      </c>
      <c r="EO12" s="231">
        <v>-95918.399999999994</v>
      </c>
      <c r="EP12" s="229">
        <v>-0.51780000000000004</v>
      </c>
      <c r="EQ12" s="231">
        <v>92788</v>
      </c>
      <c r="ER12" s="231">
        <v>54345</v>
      </c>
      <c r="ES12" s="231">
        <v>191435</v>
      </c>
      <c r="ET12" s="231">
        <v>59297360</v>
      </c>
      <c r="EU12" s="231">
        <v>338568</v>
      </c>
      <c r="EV12" s="231">
        <v>340568</v>
      </c>
      <c r="EW12" s="231">
        <v>-2000</v>
      </c>
      <c r="EX12" s="229">
        <v>-5.8999999999999999E-3</v>
      </c>
      <c r="EY12" s="229">
        <v>0.42030000000000001</v>
      </c>
    </row>
    <row r="13" spans="1:155" ht="17.25" thickBot="1" x14ac:dyDescent="0.3">
      <c r="A13" s="226">
        <v>46064</v>
      </c>
      <c r="B13" s="227" t="s">
        <v>227</v>
      </c>
      <c r="C13" s="227" t="s">
        <v>200</v>
      </c>
      <c r="D13" s="228">
        <v>417.5</v>
      </c>
      <c r="E13" s="228">
        <v>427.35</v>
      </c>
      <c r="F13" s="228">
        <v>-9.85</v>
      </c>
      <c r="G13" s="229">
        <v>-2.3E-2</v>
      </c>
      <c r="H13" s="228">
        <v>423.25</v>
      </c>
      <c r="I13" s="228">
        <v>430.95</v>
      </c>
      <c r="J13" s="228">
        <v>-7.7</v>
      </c>
      <c r="K13" s="229">
        <v>-1.7899999999999999E-2</v>
      </c>
      <c r="L13" s="228">
        <v>417.5</v>
      </c>
      <c r="M13" s="228">
        <v>427.35</v>
      </c>
      <c r="N13" s="228">
        <v>-9.85</v>
      </c>
      <c r="O13" s="229">
        <v>-2.3E-2</v>
      </c>
      <c r="P13" s="228">
        <v>420.35</v>
      </c>
      <c r="Q13" s="228">
        <v>430.05</v>
      </c>
      <c r="R13" s="228">
        <v>-9.6999999999999993</v>
      </c>
      <c r="S13" s="229">
        <v>-2.2599999999999999E-2</v>
      </c>
      <c r="T13" s="228">
        <v>422.85</v>
      </c>
      <c r="U13" s="228">
        <v>432.7</v>
      </c>
      <c r="V13" s="228">
        <v>-9.85</v>
      </c>
      <c r="W13" s="229">
        <v>-2.2800000000000001E-2</v>
      </c>
      <c r="X13" s="228">
        <v>-5.75</v>
      </c>
      <c r="Y13" s="228">
        <v>-3.6</v>
      </c>
      <c r="Z13" s="228">
        <v>-2.15</v>
      </c>
      <c r="AA13" s="229">
        <v>-1.3599999999999999E-2</v>
      </c>
      <c r="AB13" s="228">
        <v>-5.75</v>
      </c>
      <c r="AC13" s="228">
        <v>-3.6</v>
      </c>
      <c r="AD13" s="228">
        <v>-2.15</v>
      </c>
      <c r="AE13" s="229">
        <v>-1.3599999999999999E-2</v>
      </c>
      <c r="AF13" s="228">
        <v>-2.9</v>
      </c>
      <c r="AG13" s="228">
        <v>-0.9</v>
      </c>
      <c r="AH13" s="228">
        <v>-2</v>
      </c>
      <c r="AI13" s="229">
        <v>-6.8999999999999999E-3</v>
      </c>
      <c r="AJ13" s="228">
        <v>-0.4</v>
      </c>
      <c r="AK13" s="228">
        <v>1.75</v>
      </c>
      <c r="AL13" s="228">
        <v>-2.15</v>
      </c>
      <c r="AM13" s="229">
        <v>-8.9999999999999998E-4</v>
      </c>
      <c r="AN13" s="228">
        <v>417.61</v>
      </c>
      <c r="AO13" s="228">
        <v>420.23</v>
      </c>
      <c r="AP13" s="228">
        <v>0</v>
      </c>
      <c r="AQ13" s="230">
        <v>5860</v>
      </c>
      <c r="AR13" s="230">
        <v>3598</v>
      </c>
      <c r="AS13" s="230">
        <v>2262</v>
      </c>
      <c r="AT13" s="229">
        <v>0.62870000000000004</v>
      </c>
      <c r="AU13" s="230">
        <v>5162</v>
      </c>
      <c r="AV13" s="230">
        <v>3237</v>
      </c>
      <c r="AW13" s="230">
        <v>1925</v>
      </c>
      <c r="AX13" s="229">
        <v>0.59470000000000001</v>
      </c>
      <c r="AY13" s="228">
        <v>625</v>
      </c>
      <c r="AZ13" s="228">
        <v>328</v>
      </c>
      <c r="BA13" s="228">
        <v>297</v>
      </c>
      <c r="BB13" s="229">
        <v>0.90549999999999997</v>
      </c>
      <c r="BC13" s="228">
        <v>73</v>
      </c>
      <c r="BD13" s="228">
        <v>33</v>
      </c>
      <c r="BE13" s="228">
        <v>40</v>
      </c>
      <c r="BF13" s="229">
        <v>1.2121</v>
      </c>
      <c r="BG13" s="230">
        <v>30004</v>
      </c>
      <c r="BH13" s="230">
        <v>12611</v>
      </c>
      <c r="BI13" s="230">
        <v>17393</v>
      </c>
      <c r="BJ13" s="229">
        <v>1.3792</v>
      </c>
      <c r="BK13" s="230">
        <v>13948</v>
      </c>
      <c r="BL13" s="230">
        <v>4025</v>
      </c>
      <c r="BM13" s="230">
        <v>9923</v>
      </c>
      <c r="BN13" s="229">
        <v>2.4653</v>
      </c>
      <c r="BO13" s="230">
        <v>49812</v>
      </c>
      <c r="BP13" s="230">
        <v>20234</v>
      </c>
      <c r="BQ13" s="230">
        <v>29578</v>
      </c>
      <c r="BR13" s="229">
        <v>1.4618</v>
      </c>
      <c r="BS13" s="230">
        <v>6334113</v>
      </c>
      <c r="BT13" s="230">
        <v>5251206</v>
      </c>
      <c r="BU13" s="230">
        <v>1082907</v>
      </c>
      <c r="BV13" s="229">
        <v>0.20619999999999999</v>
      </c>
      <c r="BW13" s="230">
        <v>50225400</v>
      </c>
      <c r="BX13" s="230">
        <v>48385350</v>
      </c>
      <c r="BY13" s="230">
        <v>1840050</v>
      </c>
      <c r="BZ13" s="229">
        <v>3.7999999999999999E-2</v>
      </c>
      <c r="CA13" s="230">
        <v>48035700</v>
      </c>
      <c r="CB13" s="230">
        <v>46479150</v>
      </c>
      <c r="CC13" s="230">
        <v>1556550</v>
      </c>
      <c r="CD13" s="229">
        <v>3.3500000000000002E-2</v>
      </c>
      <c r="CE13" s="230">
        <v>1883250</v>
      </c>
      <c r="CF13" s="230">
        <v>1633500</v>
      </c>
      <c r="CG13" s="230">
        <v>249750</v>
      </c>
      <c r="CH13" s="229">
        <v>0.15290000000000001</v>
      </c>
      <c r="CI13" s="230">
        <v>306450</v>
      </c>
      <c r="CJ13" s="230">
        <v>272700</v>
      </c>
      <c r="CK13" s="230">
        <v>33750</v>
      </c>
      <c r="CL13" s="229">
        <v>0.12379999999999999</v>
      </c>
      <c r="CM13" s="230">
        <v>44481150</v>
      </c>
      <c r="CN13" s="230">
        <v>43347150</v>
      </c>
      <c r="CO13" s="230">
        <v>1134000</v>
      </c>
      <c r="CP13" s="229">
        <v>2.6200000000000001E-2</v>
      </c>
      <c r="CQ13" s="230">
        <v>22488300</v>
      </c>
      <c r="CR13" s="230">
        <v>21524400</v>
      </c>
      <c r="CS13" s="230">
        <v>963900</v>
      </c>
      <c r="CT13" s="229">
        <v>4.48E-2</v>
      </c>
      <c r="CU13" s="230">
        <v>117194850</v>
      </c>
      <c r="CV13" s="230">
        <v>113256900</v>
      </c>
      <c r="CW13" s="230">
        <v>3937950</v>
      </c>
      <c r="CX13" s="229">
        <v>3.4799999999999998E-2</v>
      </c>
      <c r="CY13" s="228">
        <v>32.44</v>
      </c>
      <c r="CZ13" s="228">
        <v>30.35</v>
      </c>
      <c r="DA13" s="228">
        <v>2.09</v>
      </c>
      <c r="DB13" s="228">
        <v>2.09</v>
      </c>
      <c r="DC13" s="228">
        <v>29.8</v>
      </c>
      <c r="DD13" s="228">
        <v>29.71</v>
      </c>
      <c r="DE13" s="228">
        <v>2.64</v>
      </c>
      <c r="DF13" s="228">
        <v>0.09</v>
      </c>
      <c r="DG13" s="228">
        <v>33.47</v>
      </c>
      <c r="DH13" s="228">
        <v>30.65</v>
      </c>
      <c r="DI13" s="228">
        <v>2.82</v>
      </c>
      <c r="DJ13" s="228">
        <v>2.82</v>
      </c>
      <c r="DK13" s="228">
        <v>30.23</v>
      </c>
      <c r="DL13" s="228">
        <v>29.43</v>
      </c>
      <c r="DM13" s="228">
        <v>0.8</v>
      </c>
      <c r="DN13" s="228">
        <v>0.8</v>
      </c>
      <c r="DO13" s="228">
        <v>0.51</v>
      </c>
      <c r="DP13" s="228">
        <v>0.5</v>
      </c>
      <c r="DQ13" s="228">
        <v>0.01</v>
      </c>
      <c r="DR13" s="229">
        <v>0.02</v>
      </c>
      <c r="DS13" s="228">
        <v>440</v>
      </c>
      <c r="DT13" s="228">
        <v>420</v>
      </c>
      <c r="DU13" s="228">
        <v>0.46</v>
      </c>
      <c r="DV13" s="228">
        <v>0.32</v>
      </c>
      <c r="DW13" s="228">
        <v>0.14000000000000001</v>
      </c>
      <c r="DX13" s="229">
        <v>0.4375</v>
      </c>
      <c r="DY13" s="229">
        <v>4.36E-2</v>
      </c>
      <c r="DZ13" s="230">
        <v>1906200</v>
      </c>
      <c r="EA13" s="229">
        <v>6.7999999999999996E-3</v>
      </c>
      <c r="EB13" s="229">
        <v>4.36E-2</v>
      </c>
      <c r="EC13" s="228">
        <v>2.62</v>
      </c>
      <c r="ED13" s="229">
        <v>6.3E-3</v>
      </c>
      <c r="EE13" s="230">
        <v>2881883</v>
      </c>
      <c r="EF13" s="230">
        <v>2635234</v>
      </c>
      <c r="EG13" s="229">
        <v>9.3600000000000003E-2</v>
      </c>
      <c r="EH13" s="229">
        <v>0.45500000000000002</v>
      </c>
      <c r="EI13" s="231">
        <v>180376.82</v>
      </c>
      <c r="EJ13" s="231">
        <v>78602.02</v>
      </c>
      <c r="EK13" s="231">
        <v>33065.11</v>
      </c>
      <c r="EL13" s="231">
        <v>5342</v>
      </c>
      <c r="EM13" s="231">
        <v>292043.95</v>
      </c>
      <c r="EN13" s="231">
        <v>120499.19</v>
      </c>
      <c r="EO13" s="231">
        <v>171544.76</v>
      </c>
      <c r="EP13" s="229">
        <v>1.4236</v>
      </c>
      <c r="EQ13" s="231">
        <v>200753</v>
      </c>
      <c r="ER13" s="231">
        <v>93026</v>
      </c>
      <c r="ES13" s="231">
        <v>209761</v>
      </c>
      <c r="ET13" s="231">
        <v>278206904</v>
      </c>
      <c r="EU13" s="231">
        <v>503540</v>
      </c>
      <c r="EV13" s="231">
        <v>492490</v>
      </c>
      <c r="EW13" s="231">
        <v>11050</v>
      </c>
      <c r="EX13" s="229">
        <v>2.24E-2</v>
      </c>
      <c r="EY13" s="229">
        <v>0.42130000000000001</v>
      </c>
    </row>
    <row r="14" spans="1:155" ht="17.25" thickBot="1" x14ac:dyDescent="0.3">
      <c r="A14" s="226">
        <v>46064</v>
      </c>
      <c r="B14" s="227" t="s">
        <v>170</v>
      </c>
      <c r="C14" s="227" t="s">
        <v>208</v>
      </c>
      <c r="D14" s="231">
        <v>1271</v>
      </c>
      <c r="E14" s="231">
        <v>1259</v>
      </c>
      <c r="F14" s="228">
        <v>12</v>
      </c>
      <c r="G14" s="229">
        <v>9.4999999999999998E-3</v>
      </c>
      <c r="H14" s="231">
        <v>1270.3</v>
      </c>
      <c r="I14" s="231">
        <v>1256</v>
      </c>
      <c r="J14" s="228">
        <v>14.3</v>
      </c>
      <c r="K14" s="229">
        <v>1.14E-2</v>
      </c>
      <c r="L14" s="231">
        <v>1271</v>
      </c>
      <c r="M14" s="231">
        <v>1259</v>
      </c>
      <c r="N14" s="228">
        <v>12</v>
      </c>
      <c r="O14" s="229">
        <v>9.4999999999999998E-3</v>
      </c>
      <c r="P14" s="231">
        <v>1278.8</v>
      </c>
      <c r="Q14" s="231">
        <v>1265.4000000000001</v>
      </c>
      <c r="R14" s="228">
        <v>13.4</v>
      </c>
      <c r="S14" s="229">
        <v>1.06E-2</v>
      </c>
      <c r="T14" s="231">
        <v>1287.5</v>
      </c>
      <c r="U14" s="231">
        <v>1272</v>
      </c>
      <c r="V14" s="228">
        <v>15.5</v>
      </c>
      <c r="W14" s="229">
        <v>1.2200000000000001E-2</v>
      </c>
      <c r="X14" s="228">
        <v>0.7</v>
      </c>
      <c r="Y14" s="228">
        <v>3</v>
      </c>
      <c r="Z14" s="228">
        <v>-2.2999999999999998</v>
      </c>
      <c r="AA14" s="229">
        <v>5.9999999999999995E-4</v>
      </c>
      <c r="AB14" s="228">
        <v>0.7</v>
      </c>
      <c r="AC14" s="228">
        <v>3</v>
      </c>
      <c r="AD14" s="228">
        <v>-2.2999999999999998</v>
      </c>
      <c r="AE14" s="229">
        <v>5.9999999999999995E-4</v>
      </c>
      <c r="AF14" s="228">
        <v>8.5</v>
      </c>
      <c r="AG14" s="228">
        <v>9.4</v>
      </c>
      <c r="AH14" s="228">
        <v>-0.9</v>
      </c>
      <c r="AI14" s="229">
        <v>6.7000000000000002E-3</v>
      </c>
      <c r="AJ14" s="228">
        <v>17.2</v>
      </c>
      <c r="AK14" s="228">
        <v>16</v>
      </c>
      <c r="AL14" s="228">
        <v>1.2</v>
      </c>
      <c r="AM14" s="229">
        <v>1.35E-2</v>
      </c>
      <c r="AN14" s="231">
        <v>1267.6600000000001</v>
      </c>
      <c r="AO14" s="231">
        <v>1272.21</v>
      </c>
      <c r="AP14" s="228">
        <v>0</v>
      </c>
      <c r="AQ14" s="230">
        <v>2533</v>
      </c>
      <c r="AR14" s="230">
        <v>3593</v>
      </c>
      <c r="AS14" s="230">
        <v>-1060</v>
      </c>
      <c r="AT14" s="229">
        <v>-0.29499999999999998</v>
      </c>
      <c r="AU14" s="230">
        <v>2270</v>
      </c>
      <c r="AV14" s="230">
        <v>3404</v>
      </c>
      <c r="AW14" s="230">
        <v>-1134</v>
      </c>
      <c r="AX14" s="229">
        <v>-0.33310000000000001</v>
      </c>
      <c r="AY14" s="228">
        <v>252</v>
      </c>
      <c r="AZ14" s="228">
        <v>160</v>
      </c>
      <c r="BA14" s="228">
        <v>92</v>
      </c>
      <c r="BB14" s="229">
        <v>0.57499999999999996</v>
      </c>
      <c r="BC14" s="228">
        <v>11</v>
      </c>
      <c r="BD14" s="228">
        <v>29</v>
      </c>
      <c r="BE14" s="228">
        <v>-18</v>
      </c>
      <c r="BF14" s="229">
        <v>-0.62070000000000003</v>
      </c>
      <c r="BG14" s="230">
        <v>14324</v>
      </c>
      <c r="BH14" s="230">
        <v>18496</v>
      </c>
      <c r="BI14" s="230">
        <v>-4172</v>
      </c>
      <c r="BJ14" s="229">
        <v>-0.22559999999999999</v>
      </c>
      <c r="BK14" s="230">
        <v>4378</v>
      </c>
      <c r="BL14" s="230">
        <v>6381</v>
      </c>
      <c r="BM14" s="230">
        <v>-2003</v>
      </c>
      <c r="BN14" s="229">
        <v>-0.31390000000000001</v>
      </c>
      <c r="BO14" s="230">
        <v>21235</v>
      </c>
      <c r="BP14" s="230">
        <v>28470</v>
      </c>
      <c r="BQ14" s="230">
        <v>-7235</v>
      </c>
      <c r="BR14" s="229">
        <v>-0.25409999999999999</v>
      </c>
      <c r="BS14" s="230">
        <v>872409</v>
      </c>
      <c r="BT14" s="230">
        <v>1436386</v>
      </c>
      <c r="BU14" s="230">
        <v>-563977</v>
      </c>
      <c r="BV14" s="229">
        <v>-0.3926</v>
      </c>
      <c r="BW14" s="230">
        <v>15545000</v>
      </c>
      <c r="BX14" s="230">
        <v>15836875</v>
      </c>
      <c r="BY14" s="230">
        <v>-291875</v>
      </c>
      <c r="BZ14" s="229">
        <v>-1.84E-2</v>
      </c>
      <c r="CA14" s="230">
        <v>15101875</v>
      </c>
      <c r="CB14" s="230">
        <v>15481250</v>
      </c>
      <c r="CC14" s="230">
        <v>-379375</v>
      </c>
      <c r="CD14" s="229">
        <v>-2.4500000000000001E-2</v>
      </c>
      <c r="CE14" s="230">
        <v>413750</v>
      </c>
      <c r="CF14" s="230">
        <v>326875</v>
      </c>
      <c r="CG14" s="230">
        <v>86875</v>
      </c>
      <c r="CH14" s="229">
        <v>0.26579999999999998</v>
      </c>
      <c r="CI14" s="230">
        <v>29375</v>
      </c>
      <c r="CJ14" s="230">
        <v>28750</v>
      </c>
      <c r="CK14" s="228">
        <v>625</v>
      </c>
      <c r="CL14" s="229">
        <v>2.1700000000000001E-2</v>
      </c>
      <c r="CM14" s="230">
        <v>8309375</v>
      </c>
      <c r="CN14" s="230">
        <v>8481250</v>
      </c>
      <c r="CO14" s="230">
        <v>-171875</v>
      </c>
      <c r="CP14" s="229">
        <v>-2.0299999999999999E-2</v>
      </c>
      <c r="CQ14" s="230">
        <v>3924375</v>
      </c>
      <c r="CR14" s="230">
        <v>3835625</v>
      </c>
      <c r="CS14" s="230">
        <v>88750</v>
      </c>
      <c r="CT14" s="229">
        <v>2.3099999999999999E-2</v>
      </c>
      <c r="CU14" s="230">
        <v>27778750</v>
      </c>
      <c r="CV14" s="230">
        <v>28153750</v>
      </c>
      <c r="CW14" s="230">
        <v>-375000</v>
      </c>
      <c r="CX14" s="229">
        <v>-1.3299999999999999E-2</v>
      </c>
      <c r="CY14" s="228">
        <v>20.28</v>
      </c>
      <c r="CZ14" s="228">
        <v>20.67</v>
      </c>
      <c r="DA14" s="228">
        <v>-0.39</v>
      </c>
      <c r="DB14" s="228">
        <v>-0.39</v>
      </c>
      <c r="DC14" s="228">
        <v>25.31</v>
      </c>
      <c r="DD14" s="228">
        <v>25.33</v>
      </c>
      <c r="DE14" s="228">
        <v>-5.03</v>
      </c>
      <c r="DF14" s="228">
        <v>-0.02</v>
      </c>
      <c r="DG14" s="228">
        <v>19.8</v>
      </c>
      <c r="DH14" s="228">
        <v>20.54</v>
      </c>
      <c r="DI14" s="228">
        <v>-0.74</v>
      </c>
      <c r="DJ14" s="228">
        <v>-0.74</v>
      </c>
      <c r="DK14" s="228">
        <v>21.84</v>
      </c>
      <c r="DL14" s="228">
        <v>21.06</v>
      </c>
      <c r="DM14" s="228">
        <v>0.78</v>
      </c>
      <c r="DN14" s="228">
        <v>0.78</v>
      </c>
      <c r="DO14" s="228">
        <v>0.47</v>
      </c>
      <c r="DP14" s="228">
        <v>0.45</v>
      </c>
      <c r="DQ14" s="228">
        <v>0.02</v>
      </c>
      <c r="DR14" s="229">
        <v>4.4400000000000002E-2</v>
      </c>
      <c r="DS14" s="231">
        <v>1280</v>
      </c>
      <c r="DT14" s="231">
        <v>1200</v>
      </c>
      <c r="DU14" s="228">
        <v>0.31</v>
      </c>
      <c r="DV14" s="228">
        <v>0.34</v>
      </c>
      <c r="DW14" s="228">
        <v>-0.03</v>
      </c>
      <c r="DX14" s="229">
        <v>-8.8200000000000001E-2</v>
      </c>
      <c r="DY14" s="229">
        <v>2.8500000000000001E-2</v>
      </c>
      <c r="DZ14" s="230">
        <v>355625</v>
      </c>
      <c r="EA14" s="229">
        <v>6.1000000000000004E-3</v>
      </c>
      <c r="EB14" s="229">
        <v>2.8500000000000001E-2</v>
      </c>
      <c r="EC14" s="228">
        <v>4.55</v>
      </c>
      <c r="ED14" s="229">
        <v>3.5999999999999999E-3</v>
      </c>
      <c r="EE14" s="230">
        <v>495706</v>
      </c>
      <c r="EF14" s="230">
        <v>816894</v>
      </c>
      <c r="EG14" s="229">
        <v>-0.39319999999999999</v>
      </c>
      <c r="EH14" s="229">
        <v>0.56820000000000004</v>
      </c>
      <c r="EI14" s="231">
        <v>118137.17</v>
      </c>
      <c r="EJ14" s="231">
        <v>33965.440000000002</v>
      </c>
      <c r="EK14" s="231">
        <v>20076.66</v>
      </c>
      <c r="EL14" s="231">
        <v>3345</v>
      </c>
      <c r="EM14" s="231">
        <v>172179.27</v>
      </c>
      <c r="EN14" s="231">
        <v>231907.71</v>
      </c>
      <c r="EO14" s="231">
        <v>-59728.44</v>
      </c>
      <c r="EP14" s="229">
        <v>-0.2576</v>
      </c>
      <c r="EQ14" s="231">
        <v>107257</v>
      </c>
      <c r="ER14" s="231">
        <v>47276</v>
      </c>
      <c r="ES14" s="231">
        <v>197614</v>
      </c>
      <c r="ET14" s="231">
        <v>91531454</v>
      </c>
      <c r="EU14" s="231">
        <v>352147</v>
      </c>
      <c r="EV14" s="231">
        <v>354931</v>
      </c>
      <c r="EW14" s="231">
        <v>-2784</v>
      </c>
      <c r="EX14" s="229">
        <v>-7.7999999999999996E-3</v>
      </c>
      <c r="EY14" s="229">
        <v>0.30349999999999999</v>
      </c>
    </row>
    <row r="15" spans="1:155" ht="17.25" thickBot="1" x14ac:dyDescent="0.3">
      <c r="A15" s="226">
        <v>46064</v>
      </c>
      <c r="B15" s="227" t="s">
        <v>162</v>
      </c>
      <c r="C15" s="227" t="s">
        <v>209</v>
      </c>
      <c r="D15" s="231">
        <v>7795.5</v>
      </c>
      <c r="E15" s="231">
        <v>7305</v>
      </c>
      <c r="F15" s="228">
        <v>490.5</v>
      </c>
      <c r="G15" s="229">
        <v>6.7100000000000007E-2</v>
      </c>
      <c r="H15" s="231">
        <v>7771</v>
      </c>
      <c r="I15" s="231">
        <v>7296</v>
      </c>
      <c r="J15" s="228">
        <v>475</v>
      </c>
      <c r="K15" s="229">
        <v>6.5100000000000005E-2</v>
      </c>
      <c r="L15" s="231">
        <v>7795.5</v>
      </c>
      <c r="M15" s="231">
        <v>7305</v>
      </c>
      <c r="N15" s="228">
        <v>490.5</v>
      </c>
      <c r="O15" s="229">
        <v>6.7100000000000007E-2</v>
      </c>
      <c r="P15" s="231">
        <v>7842</v>
      </c>
      <c r="Q15" s="231">
        <v>7353</v>
      </c>
      <c r="R15" s="228">
        <v>489</v>
      </c>
      <c r="S15" s="229">
        <v>6.6500000000000004E-2</v>
      </c>
      <c r="T15" s="231">
        <v>7893.5</v>
      </c>
      <c r="U15" s="231">
        <v>7391</v>
      </c>
      <c r="V15" s="228">
        <v>502.5</v>
      </c>
      <c r="W15" s="229">
        <v>6.8000000000000005E-2</v>
      </c>
      <c r="X15" s="228">
        <v>24.5</v>
      </c>
      <c r="Y15" s="228">
        <v>9</v>
      </c>
      <c r="Z15" s="228">
        <v>15.5</v>
      </c>
      <c r="AA15" s="229">
        <v>3.2000000000000002E-3</v>
      </c>
      <c r="AB15" s="228">
        <v>24.5</v>
      </c>
      <c r="AC15" s="228">
        <v>9</v>
      </c>
      <c r="AD15" s="228">
        <v>15.5</v>
      </c>
      <c r="AE15" s="229">
        <v>3.2000000000000002E-3</v>
      </c>
      <c r="AF15" s="228">
        <v>71</v>
      </c>
      <c r="AG15" s="228">
        <v>57</v>
      </c>
      <c r="AH15" s="228">
        <v>14</v>
      </c>
      <c r="AI15" s="229">
        <v>9.1000000000000004E-3</v>
      </c>
      <c r="AJ15" s="228">
        <v>122.5</v>
      </c>
      <c r="AK15" s="228">
        <v>95</v>
      </c>
      <c r="AL15" s="228">
        <v>27.5</v>
      </c>
      <c r="AM15" s="229">
        <v>1.5800000000000002E-2</v>
      </c>
      <c r="AN15" s="231">
        <v>7762.47</v>
      </c>
      <c r="AO15" s="231">
        <v>7814.99</v>
      </c>
      <c r="AP15" s="228">
        <v>0</v>
      </c>
      <c r="AQ15" s="230">
        <v>26040</v>
      </c>
      <c r="AR15" s="230">
        <v>4900</v>
      </c>
      <c r="AS15" s="230">
        <v>21140</v>
      </c>
      <c r="AT15" s="229">
        <v>4.3143000000000002</v>
      </c>
      <c r="AU15" s="230">
        <v>23163</v>
      </c>
      <c r="AV15" s="230">
        <v>4643</v>
      </c>
      <c r="AW15" s="230">
        <v>18520</v>
      </c>
      <c r="AX15" s="229">
        <v>3.9887999999999999</v>
      </c>
      <c r="AY15" s="230">
        <v>2635</v>
      </c>
      <c r="AZ15" s="228">
        <v>218</v>
      </c>
      <c r="BA15" s="230">
        <v>2417</v>
      </c>
      <c r="BB15" s="229">
        <v>11.087199999999999</v>
      </c>
      <c r="BC15" s="228">
        <v>242</v>
      </c>
      <c r="BD15" s="228">
        <v>39</v>
      </c>
      <c r="BE15" s="228">
        <v>203</v>
      </c>
      <c r="BF15" s="229">
        <v>5.2050999999999998</v>
      </c>
      <c r="BG15" s="230">
        <v>294321</v>
      </c>
      <c r="BH15" s="230">
        <v>53886</v>
      </c>
      <c r="BI15" s="230">
        <v>240435</v>
      </c>
      <c r="BJ15" s="229">
        <v>4.4619</v>
      </c>
      <c r="BK15" s="230">
        <v>128298</v>
      </c>
      <c r="BL15" s="230">
        <v>17861</v>
      </c>
      <c r="BM15" s="230">
        <v>110437</v>
      </c>
      <c r="BN15" s="229">
        <v>6.1830999999999996</v>
      </c>
      <c r="BO15" s="230">
        <v>448659</v>
      </c>
      <c r="BP15" s="230">
        <v>76647</v>
      </c>
      <c r="BQ15" s="230">
        <v>372012</v>
      </c>
      <c r="BR15" s="229">
        <v>4.8536000000000001</v>
      </c>
      <c r="BS15" s="230">
        <v>2454014</v>
      </c>
      <c r="BT15" s="230">
        <v>476425</v>
      </c>
      <c r="BU15" s="230">
        <v>1977589</v>
      </c>
      <c r="BV15" s="229">
        <v>4.1509</v>
      </c>
      <c r="BW15" s="230">
        <v>3357100</v>
      </c>
      <c r="BX15" s="230">
        <v>3040000</v>
      </c>
      <c r="BY15" s="230">
        <v>317100</v>
      </c>
      <c r="BZ15" s="229">
        <v>0.1043</v>
      </c>
      <c r="CA15" s="230">
        <v>3149500</v>
      </c>
      <c r="CB15" s="230">
        <v>2943300</v>
      </c>
      <c r="CC15" s="230">
        <v>206200</v>
      </c>
      <c r="CD15" s="229">
        <v>7.0099999999999996E-2</v>
      </c>
      <c r="CE15" s="230">
        <v>187000</v>
      </c>
      <c r="CF15" s="230">
        <v>86100</v>
      </c>
      <c r="CG15" s="230">
        <v>100900</v>
      </c>
      <c r="CH15" s="229">
        <v>1.1718999999999999</v>
      </c>
      <c r="CI15" s="230">
        <v>20600</v>
      </c>
      <c r="CJ15" s="230">
        <v>10600</v>
      </c>
      <c r="CK15" s="230">
        <v>10000</v>
      </c>
      <c r="CL15" s="229">
        <v>0.94340000000000002</v>
      </c>
      <c r="CM15" s="230">
        <v>2769000</v>
      </c>
      <c r="CN15" s="230">
        <v>1895900</v>
      </c>
      <c r="CO15" s="230">
        <v>873100</v>
      </c>
      <c r="CP15" s="229">
        <v>0.46050000000000002</v>
      </c>
      <c r="CQ15" s="230">
        <v>2628000</v>
      </c>
      <c r="CR15" s="230">
        <v>1437300</v>
      </c>
      <c r="CS15" s="230">
        <v>1190700</v>
      </c>
      <c r="CT15" s="229">
        <v>0.82840000000000003</v>
      </c>
      <c r="CU15" s="230">
        <v>8754100</v>
      </c>
      <c r="CV15" s="230">
        <v>6373200</v>
      </c>
      <c r="CW15" s="230">
        <v>2380900</v>
      </c>
      <c r="CX15" s="229">
        <v>0.37359999999999999</v>
      </c>
      <c r="CY15" s="228">
        <v>28.32</v>
      </c>
      <c r="CZ15" s="228">
        <v>33.58</v>
      </c>
      <c r="DA15" s="228">
        <v>-5.26</v>
      </c>
      <c r="DB15" s="228">
        <v>-5.26</v>
      </c>
      <c r="DC15" s="228">
        <v>28</v>
      </c>
      <c r="DD15" s="228">
        <v>26.74</v>
      </c>
      <c r="DE15" s="228">
        <v>0.32</v>
      </c>
      <c r="DF15" s="228">
        <v>1.26</v>
      </c>
      <c r="DG15" s="228">
        <v>27.47</v>
      </c>
      <c r="DH15" s="228">
        <v>33.409999999999997</v>
      </c>
      <c r="DI15" s="228">
        <v>-5.94</v>
      </c>
      <c r="DJ15" s="228">
        <v>-5.94</v>
      </c>
      <c r="DK15" s="228">
        <v>30.28</v>
      </c>
      <c r="DL15" s="228">
        <v>34.08</v>
      </c>
      <c r="DM15" s="228">
        <v>-3.8</v>
      </c>
      <c r="DN15" s="228">
        <v>-3.8</v>
      </c>
      <c r="DO15" s="228">
        <v>0.95</v>
      </c>
      <c r="DP15" s="228">
        <v>0.76</v>
      </c>
      <c r="DQ15" s="228">
        <v>0.19</v>
      </c>
      <c r="DR15" s="229">
        <v>0.25</v>
      </c>
      <c r="DS15" s="231">
        <v>8000</v>
      </c>
      <c r="DT15" s="231">
        <v>7100</v>
      </c>
      <c r="DU15" s="228">
        <v>0.44</v>
      </c>
      <c r="DV15" s="228">
        <v>0.33</v>
      </c>
      <c r="DW15" s="228">
        <v>0.11</v>
      </c>
      <c r="DX15" s="229">
        <v>0.33329999999999999</v>
      </c>
      <c r="DY15" s="229">
        <v>6.1800000000000001E-2</v>
      </c>
      <c r="DZ15" s="230">
        <v>96700</v>
      </c>
      <c r="EA15" s="229">
        <v>6.0000000000000001E-3</v>
      </c>
      <c r="EB15" s="229">
        <v>6.1800000000000001E-2</v>
      </c>
      <c r="EC15" s="228">
        <v>52.52</v>
      </c>
      <c r="ED15" s="229">
        <v>6.7999999999999996E-3</v>
      </c>
      <c r="EE15" s="230">
        <v>724845</v>
      </c>
      <c r="EF15" s="230">
        <v>249729</v>
      </c>
      <c r="EG15" s="229">
        <v>1.9025000000000001</v>
      </c>
      <c r="EH15" s="229">
        <v>0.2954</v>
      </c>
      <c r="EI15" s="231">
        <v>2367436.67</v>
      </c>
      <c r="EJ15" s="231">
        <v>963551.92</v>
      </c>
      <c r="EK15" s="231">
        <v>202296.27</v>
      </c>
      <c r="EL15" s="231">
        <v>4225</v>
      </c>
      <c r="EM15" s="231">
        <v>3533284.86</v>
      </c>
      <c r="EN15" s="231">
        <v>574350.77</v>
      </c>
      <c r="EO15" s="231">
        <v>2958934.09</v>
      </c>
      <c r="EP15" s="229">
        <v>5.1517999999999997</v>
      </c>
      <c r="EQ15" s="231">
        <v>217846</v>
      </c>
      <c r="ER15" s="231">
        <v>190074</v>
      </c>
      <c r="ES15" s="231">
        <v>261810</v>
      </c>
      <c r="ET15" s="231">
        <v>19199175</v>
      </c>
      <c r="EU15" s="231">
        <v>669730</v>
      </c>
      <c r="EV15" s="231">
        <v>465655</v>
      </c>
      <c r="EW15" s="231">
        <v>204075</v>
      </c>
      <c r="EX15" s="229">
        <v>0.43830000000000002</v>
      </c>
      <c r="EY15" s="229">
        <v>0.45600000000000002</v>
      </c>
    </row>
    <row r="16" spans="1:155" ht="17.25" thickBot="1" x14ac:dyDescent="0.3">
      <c r="A16" s="226">
        <v>46064</v>
      </c>
      <c r="B16" s="227" t="s">
        <v>615</v>
      </c>
      <c r="C16" s="227" t="s">
        <v>666</v>
      </c>
      <c r="D16" s="228">
        <v>301.64999999999998</v>
      </c>
      <c r="E16" s="228">
        <v>304.10000000000002</v>
      </c>
      <c r="F16" s="228">
        <v>-2.4500000000000002</v>
      </c>
      <c r="G16" s="229">
        <v>-8.0999999999999996E-3</v>
      </c>
      <c r="H16" s="228">
        <v>300.7</v>
      </c>
      <c r="I16" s="228">
        <v>303.8</v>
      </c>
      <c r="J16" s="228">
        <v>-3.1</v>
      </c>
      <c r="K16" s="229">
        <v>-1.0200000000000001E-2</v>
      </c>
      <c r="L16" s="228">
        <v>301.64999999999998</v>
      </c>
      <c r="M16" s="228">
        <v>304.10000000000002</v>
      </c>
      <c r="N16" s="228">
        <v>-2.4500000000000002</v>
      </c>
      <c r="O16" s="229">
        <v>-8.0999999999999996E-3</v>
      </c>
      <c r="P16" s="228">
        <v>303.55</v>
      </c>
      <c r="Q16" s="228">
        <v>306</v>
      </c>
      <c r="R16" s="228">
        <v>-2.4500000000000002</v>
      </c>
      <c r="S16" s="229">
        <v>-8.0000000000000002E-3</v>
      </c>
      <c r="T16" s="228">
        <v>305.39999999999998</v>
      </c>
      <c r="U16" s="228">
        <v>307.8</v>
      </c>
      <c r="V16" s="228">
        <v>-2.4</v>
      </c>
      <c r="W16" s="229">
        <v>-7.7999999999999996E-3</v>
      </c>
      <c r="X16" s="228">
        <v>0.95</v>
      </c>
      <c r="Y16" s="228">
        <v>0.3</v>
      </c>
      <c r="Z16" s="228">
        <v>0.65</v>
      </c>
      <c r="AA16" s="229">
        <v>3.2000000000000002E-3</v>
      </c>
      <c r="AB16" s="228">
        <v>0.95</v>
      </c>
      <c r="AC16" s="228">
        <v>0.3</v>
      </c>
      <c r="AD16" s="228">
        <v>0.65</v>
      </c>
      <c r="AE16" s="229">
        <v>3.2000000000000002E-3</v>
      </c>
      <c r="AF16" s="228">
        <v>2.85</v>
      </c>
      <c r="AG16" s="228">
        <v>2.2000000000000002</v>
      </c>
      <c r="AH16" s="228">
        <v>0.65</v>
      </c>
      <c r="AI16" s="229">
        <v>9.4999999999999998E-3</v>
      </c>
      <c r="AJ16" s="228">
        <v>4.7</v>
      </c>
      <c r="AK16" s="228">
        <v>4</v>
      </c>
      <c r="AL16" s="228">
        <v>0.7</v>
      </c>
      <c r="AM16" s="229">
        <v>1.5599999999999999E-2</v>
      </c>
      <c r="AN16" s="228">
        <v>303.12</v>
      </c>
      <c r="AO16" s="228">
        <v>305.14</v>
      </c>
      <c r="AP16" s="228">
        <v>0</v>
      </c>
      <c r="AQ16" s="230">
        <v>9806</v>
      </c>
      <c r="AR16" s="230">
        <v>28468</v>
      </c>
      <c r="AS16" s="230">
        <v>-18662</v>
      </c>
      <c r="AT16" s="229">
        <v>-0.65549999999999997</v>
      </c>
      <c r="AU16" s="230">
        <v>8455</v>
      </c>
      <c r="AV16" s="230">
        <v>25774</v>
      </c>
      <c r="AW16" s="230">
        <v>-17319</v>
      </c>
      <c r="AX16" s="229">
        <v>-0.67200000000000004</v>
      </c>
      <c r="AY16" s="230">
        <v>1226</v>
      </c>
      <c r="AZ16" s="230">
        <v>2315</v>
      </c>
      <c r="BA16" s="230">
        <v>-1089</v>
      </c>
      <c r="BB16" s="229">
        <v>-0.47039999999999998</v>
      </c>
      <c r="BC16" s="228">
        <v>125</v>
      </c>
      <c r="BD16" s="228">
        <v>379</v>
      </c>
      <c r="BE16" s="228">
        <v>-254</v>
      </c>
      <c r="BF16" s="229">
        <v>-0.67020000000000002</v>
      </c>
      <c r="BG16" s="230">
        <v>52530</v>
      </c>
      <c r="BH16" s="230">
        <v>218894</v>
      </c>
      <c r="BI16" s="230">
        <v>-166364</v>
      </c>
      <c r="BJ16" s="229">
        <v>-0.76</v>
      </c>
      <c r="BK16" s="230">
        <v>30800</v>
      </c>
      <c r="BL16" s="230">
        <v>88173</v>
      </c>
      <c r="BM16" s="230">
        <v>-57373</v>
      </c>
      <c r="BN16" s="229">
        <v>-0.65069999999999995</v>
      </c>
      <c r="BO16" s="230">
        <v>93136</v>
      </c>
      <c r="BP16" s="230">
        <v>335535</v>
      </c>
      <c r="BQ16" s="230">
        <v>-242399</v>
      </c>
      <c r="BR16" s="229">
        <v>-0.72240000000000004</v>
      </c>
      <c r="BS16" s="230">
        <v>33388024</v>
      </c>
      <c r="BT16" s="230">
        <v>107493975</v>
      </c>
      <c r="BU16" s="230">
        <v>-74105951</v>
      </c>
      <c r="BV16" s="229">
        <v>-0.68940000000000001</v>
      </c>
      <c r="BW16" s="230">
        <v>250233325</v>
      </c>
      <c r="BX16" s="230">
        <v>251285775</v>
      </c>
      <c r="BY16" s="230">
        <v>-1052450</v>
      </c>
      <c r="BZ16" s="229">
        <v>-4.1999999999999997E-3</v>
      </c>
      <c r="CA16" s="230">
        <v>235865200</v>
      </c>
      <c r="CB16" s="230">
        <v>237392950</v>
      </c>
      <c r="CC16" s="230">
        <v>-1527750</v>
      </c>
      <c r="CD16" s="229">
        <v>-6.4000000000000003E-3</v>
      </c>
      <c r="CE16" s="230">
        <v>12932525</v>
      </c>
      <c r="CF16" s="230">
        <v>12510575</v>
      </c>
      <c r="CG16" s="230">
        <v>421950</v>
      </c>
      <c r="CH16" s="229">
        <v>3.3700000000000001E-2</v>
      </c>
      <c r="CI16" s="230">
        <v>1435600</v>
      </c>
      <c r="CJ16" s="230">
        <v>1382250</v>
      </c>
      <c r="CK16" s="230">
        <v>53350</v>
      </c>
      <c r="CL16" s="229">
        <v>3.8600000000000002E-2</v>
      </c>
      <c r="CM16" s="230">
        <v>74774875</v>
      </c>
      <c r="CN16" s="230">
        <v>73664225</v>
      </c>
      <c r="CO16" s="230">
        <v>1110650</v>
      </c>
      <c r="CP16" s="229">
        <v>1.5100000000000001E-2</v>
      </c>
      <c r="CQ16" s="230">
        <v>61323400</v>
      </c>
      <c r="CR16" s="230">
        <v>64521975</v>
      </c>
      <c r="CS16" s="230">
        <v>-3198575</v>
      </c>
      <c r="CT16" s="229">
        <v>-4.9599999999999998E-2</v>
      </c>
      <c r="CU16" s="230">
        <v>386331600</v>
      </c>
      <c r="CV16" s="230">
        <v>389471975</v>
      </c>
      <c r="CW16" s="230">
        <v>-3140375</v>
      </c>
      <c r="CX16" s="229">
        <v>-8.0999999999999996E-3</v>
      </c>
      <c r="CY16" s="228">
        <v>39.17</v>
      </c>
      <c r="CZ16" s="228">
        <v>38.369999999999997</v>
      </c>
      <c r="DA16" s="228">
        <v>0.8</v>
      </c>
      <c r="DB16" s="228">
        <v>0.8</v>
      </c>
      <c r="DC16" s="228">
        <v>45.02</v>
      </c>
      <c r="DD16" s="228">
        <v>45.11</v>
      </c>
      <c r="DE16" s="228">
        <v>-5.85</v>
      </c>
      <c r="DF16" s="228">
        <v>-0.09</v>
      </c>
      <c r="DG16" s="228">
        <v>38.65</v>
      </c>
      <c r="DH16" s="228">
        <v>37.49</v>
      </c>
      <c r="DI16" s="228">
        <v>1.1599999999999999</v>
      </c>
      <c r="DJ16" s="228">
        <v>1.1599999999999999</v>
      </c>
      <c r="DK16" s="228">
        <v>40.06</v>
      </c>
      <c r="DL16" s="228">
        <v>40.549999999999997</v>
      </c>
      <c r="DM16" s="228">
        <v>-0.49</v>
      </c>
      <c r="DN16" s="228">
        <v>-0.49</v>
      </c>
      <c r="DO16" s="228">
        <v>0.82</v>
      </c>
      <c r="DP16" s="228">
        <v>0.88</v>
      </c>
      <c r="DQ16" s="228">
        <v>-0.06</v>
      </c>
      <c r="DR16" s="229">
        <v>-6.8199999999999997E-2</v>
      </c>
      <c r="DS16" s="228">
        <v>300</v>
      </c>
      <c r="DT16" s="228">
        <v>270</v>
      </c>
      <c r="DU16" s="228">
        <v>0.59</v>
      </c>
      <c r="DV16" s="228">
        <v>0.4</v>
      </c>
      <c r="DW16" s="228">
        <v>0.19</v>
      </c>
      <c r="DX16" s="229">
        <v>0.47499999999999998</v>
      </c>
      <c r="DY16" s="229">
        <v>5.74E-2</v>
      </c>
      <c r="DZ16" s="230">
        <v>13892825</v>
      </c>
      <c r="EA16" s="229">
        <v>6.3E-3</v>
      </c>
      <c r="EB16" s="229">
        <v>5.74E-2</v>
      </c>
      <c r="EC16" s="228">
        <v>2.02</v>
      </c>
      <c r="ED16" s="229">
        <v>6.7000000000000002E-3</v>
      </c>
      <c r="EE16" s="230">
        <v>17842564</v>
      </c>
      <c r="EF16" s="230">
        <v>52705880</v>
      </c>
      <c r="EG16" s="229">
        <v>-0.66149999999999998</v>
      </c>
      <c r="EH16" s="229">
        <v>0.53439999999999999</v>
      </c>
      <c r="EI16" s="231">
        <v>411127.54</v>
      </c>
      <c r="EJ16" s="231">
        <v>217669.47</v>
      </c>
      <c r="EK16" s="231">
        <v>72151.13</v>
      </c>
      <c r="EL16" s="231">
        <v>14950</v>
      </c>
      <c r="EM16" s="231">
        <v>700948.14</v>
      </c>
      <c r="EN16" s="231">
        <v>2530250.9</v>
      </c>
      <c r="EO16" s="231">
        <v>-1829302.76</v>
      </c>
      <c r="EP16" s="229">
        <v>-0.72299999999999998</v>
      </c>
      <c r="EQ16" s="231">
        <v>229538</v>
      </c>
      <c r="ER16" s="231">
        <v>166105</v>
      </c>
      <c r="ES16" s="231">
        <v>755128</v>
      </c>
      <c r="ET16" s="231">
        <v>1251309857</v>
      </c>
      <c r="EU16" s="231">
        <v>1150772</v>
      </c>
      <c r="EV16" s="231">
        <v>1165519</v>
      </c>
      <c r="EW16" s="231">
        <v>-14747</v>
      </c>
      <c r="EX16" s="229">
        <v>-1.2699999999999999E-2</v>
      </c>
      <c r="EY16" s="229">
        <v>0.30869999999999997</v>
      </c>
    </row>
    <row r="17" spans="1:155" ht="17.25" thickBot="1" x14ac:dyDescent="0.3">
      <c r="A17" s="226">
        <v>46064</v>
      </c>
      <c r="B17" s="227" t="s">
        <v>157</v>
      </c>
      <c r="C17" s="227" t="s">
        <v>219</v>
      </c>
      <c r="D17" s="231">
        <v>2935.8</v>
      </c>
      <c r="E17" s="231">
        <v>2958.1</v>
      </c>
      <c r="F17" s="228">
        <v>-22.3</v>
      </c>
      <c r="G17" s="229">
        <v>-7.4999999999999997E-3</v>
      </c>
      <c r="H17" s="231">
        <v>2932.6</v>
      </c>
      <c r="I17" s="231">
        <v>2953.9</v>
      </c>
      <c r="J17" s="228">
        <v>-21.3</v>
      </c>
      <c r="K17" s="229">
        <v>-7.1999999999999998E-3</v>
      </c>
      <c r="L17" s="231">
        <v>2935.8</v>
      </c>
      <c r="M17" s="231">
        <v>2958.1</v>
      </c>
      <c r="N17" s="228">
        <v>-22.3</v>
      </c>
      <c r="O17" s="229">
        <v>-7.4999999999999997E-3</v>
      </c>
      <c r="P17" s="231">
        <v>2953.3</v>
      </c>
      <c r="Q17" s="231">
        <v>2977.5</v>
      </c>
      <c r="R17" s="228">
        <v>-24.2</v>
      </c>
      <c r="S17" s="229">
        <v>-8.0999999999999996E-3</v>
      </c>
      <c r="T17" s="231">
        <v>2976.1</v>
      </c>
      <c r="U17" s="231">
        <v>2992.1</v>
      </c>
      <c r="V17" s="228">
        <v>-16</v>
      </c>
      <c r="W17" s="229">
        <v>-5.3E-3</v>
      </c>
      <c r="X17" s="228">
        <v>3.2</v>
      </c>
      <c r="Y17" s="228">
        <v>4.2</v>
      </c>
      <c r="Z17" s="228">
        <v>-1</v>
      </c>
      <c r="AA17" s="229">
        <v>1.1000000000000001E-3</v>
      </c>
      <c r="AB17" s="228">
        <v>3.2</v>
      </c>
      <c r="AC17" s="228">
        <v>4.2</v>
      </c>
      <c r="AD17" s="228">
        <v>-1</v>
      </c>
      <c r="AE17" s="229">
        <v>1.1000000000000001E-3</v>
      </c>
      <c r="AF17" s="228">
        <v>20.7</v>
      </c>
      <c r="AG17" s="228">
        <v>23.6</v>
      </c>
      <c r="AH17" s="228">
        <v>-2.9</v>
      </c>
      <c r="AI17" s="229">
        <v>7.1000000000000004E-3</v>
      </c>
      <c r="AJ17" s="228">
        <v>43.5</v>
      </c>
      <c r="AK17" s="228">
        <v>38.200000000000003</v>
      </c>
      <c r="AL17" s="228">
        <v>5.3</v>
      </c>
      <c r="AM17" s="229">
        <v>1.4800000000000001E-2</v>
      </c>
      <c r="AN17" s="231">
        <v>2932.28</v>
      </c>
      <c r="AO17" s="231">
        <v>2947.84</v>
      </c>
      <c r="AP17" s="228">
        <v>0</v>
      </c>
      <c r="AQ17" s="230">
        <v>10590</v>
      </c>
      <c r="AR17" s="230">
        <v>6671</v>
      </c>
      <c r="AS17" s="230">
        <v>3919</v>
      </c>
      <c r="AT17" s="229">
        <v>0.58750000000000002</v>
      </c>
      <c r="AU17" s="230">
        <v>10075</v>
      </c>
      <c r="AV17" s="230">
        <v>5741</v>
      </c>
      <c r="AW17" s="230">
        <v>4334</v>
      </c>
      <c r="AX17" s="229">
        <v>0.75490000000000002</v>
      </c>
      <c r="AY17" s="228">
        <v>489</v>
      </c>
      <c r="AZ17" s="228">
        <v>892</v>
      </c>
      <c r="BA17" s="228">
        <v>-403</v>
      </c>
      <c r="BB17" s="229">
        <v>-0.45179999999999998</v>
      </c>
      <c r="BC17" s="228">
        <v>26</v>
      </c>
      <c r="BD17" s="228">
        <v>38</v>
      </c>
      <c r="BE17" s="228">
        <v>-12</v>
      </c>
      <c r="BF17" s="229">
        <v>-0.31580000000000003</v>
      </c>
      <c r="BG17" s="230">
        <v>36505</v>
      </c>
      <c r="BH17" s="230">
        <v>25869</v>
      </c>
      <c r="BI17" s="230">
        <v>10636</v>
      </c>
      <c r="BJ17" s="229">
        <v>0.41110000000000002</v>
      </c>
      <c r="BK17" s="230">
        <v>18776</v>
      </c>
      <c r="BL17" s="230">
        <v>15815</v>
      </c>
      <c r="BM17" s="230">
        <v>2961</v>
      </c>
      <c r="BN17" s="229">
        <v>0.18720000000000001</v>
      </c>
      <c r="BO17" s="230">
        <v>65871</v>
      </c>
      <c r="BP17" s="230">
        <v>48355</v>
      </c>
      <c r="BQ17" s="230">
        <v>17516</v>
      </c>
      <c r="BR17" s="229">
        <v>0.36220000000000002</v>
      </c>
      <c r="BS17" s="230">
        <v>1035009</v>
      </c>
      <c r="BT17" s="230">
        <v>635441</v>
      </c>
      <c r="BU17" s="230">
        <v>399568</v>
      </c>
      <c r="BV17" s="229">
        <v>0.62880000000000003</v>
      </c>
      <c r="BW17" s="230">
        <v>16775500</v>
      </c>
      <c r="BX17" s="230">
        <v>17216500</v>
      </c>
      <c r="BY17" s="230">
        <v>-441000</v>
      </c>
      <c r="BZ17" s="229">
        <v>-2.5600000000000001E-2</v>
      </c>
      <c r="CA17" s="230">
        <v>16437250</v>
      </c>
      <c r="CB17" s="230">
        <v>16884500</v>
      </c>
      <c r="CC17" s="230">
        <v>-447250</v>
      </c>
      <c r="CD17" s="229">
        <v>-2.6499999999999999E-2</v>
      </c>
      <c r="CE17" s="230">
        <v>324500</v>
      </c>
      <c r="CF17" s="230">
        <v>320250</v>
      </c>
      <c r="CG17" s="230">
        <v>4250</v>
      </c>
      <c r="CH17" s="229">
        <v>1.3299999999999999E-2</v>
      </c>
      <c r="CI17" s="230">
        <v>13750</v>
      </c>
      <c r="CJ17" s="230">
        <v>11750</v>
      </c>
      <c r="CK17" s="230">
        <v>2000</v>
      </c>
      <c r="CL17" s="229">
        <v>0.17019999999999999</v>
      </c>
      <c r="CM17" s="230">
        <v>2410750</v>
      </c>
      <c r="CN17" s="230">
        <v>2100250</v>
      </c>
      <c r="CO17" s="230">
        <v>310500</v>
      </c>
      <c r="CP17" s="229">
        <v>0.14779999999999999</v>
      </c>
      <c r="CQ17" s="230">
        <v>2022750</v>
      </c>
      <c r="CR17" s="230">
        <v>2016750</v>
      </c>
      <c r="CS17" s="230">
        <v>6000</v>
      </c>
      <c r="CT17" s="229">
        <v>3.0000000000000001E-3</v>
      </c>
      <c r="CU17" s="230">
        <v>21209000</v>
      </c>
      <c r="CV17" s="230">
        <v>21333500</v>
      </c>
      <c r="CW17" s="230">
        <v>-124500</v>
      </c>
      <c r="CX17" s="229">
        <v>-5.7999999999999996E-3</v>
      </c>
      <c r="CY17" s="228">
        <v>24.05</v>
      </c>
      <c r="CZ17" s="228">
        <v>29</v>
      </c>
      <c r="DA17" s="228">
        <v>-4.95</v>
      </c>
      <c r="DB17" s="228">
        <v>-4.95</v>
      </c>
      <c r="DC17" s="228">
        <v>25.59</v>
      </c>
      <c r="DD17" s="228">
        <v>25.64</v>
      </c>
      <c r="DE17" s="228">
        <v>-1.54</v>
      </c>
      <c r="DF17" s="228">
        <v>-0.05</v>
      </c>
      <c r="DG17" s="228">
        <v>23.64</v>
      </c>
      <c r="DH17" s="228">
        <v>28.29</v>
      </c>
      <c r="DI17" s="228">
        <v>-4.6500000000000004</v>
      </c>
      <c r="DJ17" s="228">
        <v>-4.6500000000000004</v>
      </c>
      <c r="DK17" s="228">
        <v>24.85</v>
      </c>
      <c r="DL17" s="228">
        <v>30.17</v>
      </c>
      <c r="DM17" s="228">
        <v>-5.32</v>
      </c>
      <c r="DN17" s="228">
        <v>-5.32</v>
      </c>
      <c r="DO17" s="228">
        <v>0.84</v>
      </c>
      <c r="DP17" s="228">
        <v>0.96</v>
      </c>
      <c r="DQ17" s="228">
        <v>-0.12</v>
      </c>
      <c r="DR17" s="229">
        <v>-0.125</v>
      </c>
      <c r="DS17" s="231">
        <v>3000</v>
      </c>
      <c r="DT17" s="231">
        <v>2800</v>
      </c>
      <c r="DU17" s="228">
        <v>0.51</v>
      </c>
      <c r="DV17" s="228">
        <v>0.61</v>
      </c>
      <c r="DW17" s="228">
        <v>-0.1</v>
      </c>
      <c r="DX17" s="229">
        <v>-0.16389999999999999</v>
      </c>
      <c r="DY17" s="229">
        <v>2.0199999999999999E-2</v>
      </c>
      <c r="DZ17" s="230">
        <v>332000</v>
      </c>
      <c r="EA17" s="229">
        <v>6.0000000000000001E-3</v>
      </c>
      <c r="EB17" s="229">
        <v>2.0199999999999999E-2</v>
      </c>
      <c r="EC17" s="228">
        <v>15.56</v>
      </c>
      <c r="ED17" s="229">
        <v>5.3E-3</v>
      </c>
      <c r="EE17" s="230">
        <v>522238</v>
      </c>
      <c r="EF17" s="230">
        <v>310135</v>
      </c>
      <c r="EG17" s="229">
        <v>0.68389999999999995</v>
      </c>
      <c r="EH17" s="229">
        <v>0.50460000000000005</v>
      </c>
      <c r="EI17" s="231">
        <v>277266.90000000002</v>
      </c>
      <c r="EJ17" s="231">
        <v>135970.04999999999</v>
      </c>
      <c r="EK17" s="231">
        <v>77653.759999999995</v>
      </c>
      <c r="EL17" s="231">
        <v>4112</v>
      </c>
      <c r="EM17" s="231">
        <v>490890.71</v>
      </c>
      <c r="EN17" s="231">
        <v>359625.52</v>
      </c>
      <c r="EO17" s="231">
        <v>131265.19</v>
      </c>
      <c r="EP17" s="229">
        <v>0.36499999999999999</v>
      </c>
      <c r="EQ17" s="231">
        <v>72961</v>
      </c>
      <c r="ER17" s="231">
        <v>56273</v>
      </c>
      <c r="ES17" s="231">
        <v>492557</v>
      </c>
      <c r="ET17" s="231">
        <v>38505832</v>
      </c>
      <c r="EU17" s="231">
        <v>621792</v>
      </c>
      <c r="EV17" s="231">
        <v>629092</v>
      </c>
      <c r="EW17" s="231">
        <v>-7300</v>
      </c>
      <c r="EX17" s="229">
        <v>-1.1599999999999999E-2</v>
      </c>
      <c r="EY17" s="229">
        <v>0.55079999999999996</v>
      </c>
    </row>
    <row r="18" spans="1:155" ht="17.25" thickBot="1" x14ac:dyDescent="0.3">
      <c r="A18" s="226">
        <v>46064</v>
      </c>
      <c r="B18" s="227" t="s">
        <v>221</v>
      </c>
      <c r="C18" s="227" t="s">
        <v>222</v>
      </c>
      <c r="D18" s="231">
        <v>1553.5</v>
      </c>
      <c r="E18" s="231">
        <v>1578.3</v>
      </c>
      <c r="F18" s="228">
        <v>-24.8</v>
      </c>
      <c r="G18" s="229">
        <v>-1.5699999999999999E-2</v>
      </c>
      <c r="H18" s="231">
        <v>1551.6</v>
      </c>
      <c r="I18" s="231">
        <v>1573.1</v>
      </c>
      <c r="J18" s="228">
        <v>-21.5</v>
      </c>
      <c r="K18" s="229">
        <v>-1.37E-2</v>
      </c>
      <c r="L18" s="231">
        <v>1553.5</v>
      </c>
      <c r="M18" s="231">
        <v>1578.3</v>
      </c>
      <c r="N18" s="228">
        <v>-24.8</v>
      </c>
      <c r="O18" s="229">
        <v>-1.5699999999999999E-2</v>
      </c>
      <c r="P18" s="231">
        <v>1562.3</v>
      </c>
      <c r="Q18" s="231">
        <v>1587.8</v>
      </c>
      <c r="R18" s="228">
        <v>-25.5</v>
      </c>
      <c r="S18" s="229">
        <v>-1.61E-2</v>
      </c>
      <c r="T18" s="231">
        <v>1563.3</v>
      </c>
      <c r="U18" s="231">
        <v>1587.3</v>
      </c>
      <c r="V18" s="228">
        <v>-24</v>
      </c>
      <c r="W18" s="229">
        <v>-1.5100000000000001E-2</v>
      </c>
      <c r="X18" s="228">
        <v>1.9</v>
      </c>
      <c r="Y18" s="228">
        <v>5.2</v>
      </c>
      <c r="Z18" s="228">
        <v>-3.3</v>
      </c>
      <c r="AA18" s="229">
        <v>1.1999999999999999E-3</v>
      </c>
      <c r="AB18" s="228">
        <v>1.9</v>
      </c>
      <c r="AC18" s="228">
        <v>5.2</v>
      </c>
      <c r="AD18" s="228">
        <v>-3.3</v>
      </c>
      <c r="AE18" s="229">
        <v>1.1999999999999999E-3</v>
      </c>
      <c r="AF18" s="228">
        <v>10.7</v>
      </c>
      <c r="AG18" s="228">
        <v>14.7</v>
      </c>
      <c r="AH18" s="228">
        <v>-4</v>
      </c>
      <c r="AI18" s="229">
        <v>6.8999999999999999E-3</v>
      </c>
      <c r="AJ18" s="228">
        <v>11.7</v>
      </c>
      <c r="AK18" s="228">
        <v>14.2</v>
      </c>
      <c r="AL18" s="228">
        <v>-2.5</v>
      </c>
      <c r="AM18" s="229">
        <v>7.4999999999999997E-3</v>
      </c>
      <c r="AN18" s="231">
        <v>1561.94</v>
      </c>
      <c r="AO18" s="231">
        <v>1570.41</v>
      </c>
      <c r="AP18" s="228">
        <v>0</v>
      </c>
      <c r="AQ18" s="230">
        <v>5985</v>
      </c>
      <c r="AR18" s="230">
        <v>10836</v>
      </c>
      <c r="AS18" s="230">
        <v>-4851</v>
      </c>
      <c r="AT18" s="229">
        <v>-0.44769999999999999</v>
      </c>
      <c r="AU18" s="230">
        <v>5398</v>
      </c>
      <c r="AV18" s="230">
        <v>9403</v>
      </c>
      <c r="AW18" s="230">
        <v>-4005</v>
      </c>
      <c r="AX18" s="229">
        <v>-0.4259</v>
      </c>
      <c r="AY18" s="228">
        <v>490</v>
      </c>
      <c r="AZ18" s="230">
        <v>1279</v>
      </c>
      <c r="BA18" s="228">
        <v>-789</v>
      </c>
      <c r="BB18" s="229">
        <v>-0.6169</v>
      </c>
      <c r="BC18" s="228">
        <v>97</v>
      </c>
      <c r="BD18" s="228">
        <v>154</v>
      </c>
      <c r="BE18" s="228">
        <v>-57</v>
      </c>
      <c r="BF18" s="229">
        <v>-0.37009999999999998</v>
      </c>
      <c r="BG18" s="230">
        <v>32035</v>
      </c>
      <c r="BH18" s="230">
        <v>30938</v>
      </c>
      <c r="BI18" s="230">
        <v>1097</v>
      </c>
      <c r="BJ18" s="229">
        <v>3.5499999999999997E-2</v>
      </c>
      <c r="BK18" s="230">
        <v>22540</v>
      </c>
      <c r="BL18" s="230">
        <v>17846</v>
      </c>
      <c r="BM18" s="230">
        <v>4694</v>
      </c>
      <c r="BN18" s="229">
        <v>0.26300000000000001</v>
      </c>
      <c r="BO18" s="230">
        <v>60560</v>
      </c>
      <c r="BP18" s="230">
        <v>59620</v>
      </c>
      <c r="BQ18" s="228">
        <v>940</v>
      </c>
      <c r="BR18" s="229">
        <v>1.5800000000000002E-2</v>
      </c>
      <c r="BS18" s="230">
        <v>3006786</v>
      </c>
      <c r="BT18" s="230">
        <v>3643682</v>
      </c>
      <c r="BU18" s="230">
        <v>-636896</v>
      </c>
      <c r="BV18" s="229">
        <v>-0.17480000000000001</v>
      </c>
      <c r="BW18" s="230">
        <v>19005700</v>
      </c>
      <c r="BX18" s="230">
        <v>19006400</v>
      </c>
      <c r="BY18" s="228">
        <v>-700</v>
      </c>
      <c r="BZ18" s="229">
        <v>0</v>
      </c>
      <c r="CA18" s="230">
        <v>18071900</v>
      </c>
      <c r="CB18" s="230">
        <v>18119850</v>
      </c>
      <c r="CC18" s="230">
        <v>-47950</v>
      </c>
      <c r="CD18" s="229">
        <v>-2.5999999999999999E-3</v>
      </c>
      <c r="CE18" s="230">
        <v>782250</v>
      </c>
      <c r="CF18" s="230">
        <v>752500</v>
      </c>
      <c r="CG18" s="230">
        <v>29750</v>
      </c>
      <c r="CH18" s="229">
        <v>3.95E-2</v>
      </c>
      <c r="CI18" s="230">
        <v>151550</v>
      </c>
      <c r="CJ18" s="230">
        <v>134050</v>
      </c>
      <c r="CK18" s="230">
        <v>17500</v>
      </c>
      <c r="CL18" s="229">
        <v>0.1305</v>
      </c>
      <c r="CM18" s="230">
        <v>10905650</v>
      </c>
      <c r="CN18" s="230">
        <v>9673300</v>
      </c>
      <c r="CO18" s="230">
        <v>1232350</v>
      </c>
      <c r="CP18" s="229">
        <v>0.12740000000000001</v>
      </c>
      <c r="CQ18" s="230">
        <v>5746650</v>
      </c>
      <c r="CR18" s="230">
        <v>5714450</v>
      </c>
      <c r="CS18" s="230">
        <v>32200</v>
      </c>
      <c r="CT18" s="229">
        <v>5.5999999999999999E-3</v>
      </c>
      <c r="CU18" s="230">
        <v>35658000</v>
      </c>
      <c r="CV18" s="230">
        <v>34394150</v>
      </c>
      <c r="CW18" s="230">
        <v>1263850</v>
      </c>
      <c r="CX18" s="229">
        <v>3.6700000000000003E-2</v>
      </c>
      <c r="CY18" s="228">
        <v>29.83</v>
      </c>
      <c r="CZ18" s="228">
        <v>28.65</v>
      </c>
      <c r="DA18" s="228">
        <v>1.18</v>
      </c>
      <c r="DB18" s="228">
        <v>1.18</v>
      </c>
      <c r="DC18" s="228">
        <v>27.62</v>
      </c>
      <c r="DD18" s="228">
        <v>27.62</v>
      </c>
      <c r="DE18" s="228">
        <v>2.21</v>
      </c>
      <c r="DF18" s="228">
        <v>0</v>
      </c>
      <c r="DG18" s="228">
        <v>29.63</v>
      </c>
      <c r="DH18" s="228">
        <v>28.41</v>
      </c>
      <c r="DI18" s="228">
        <v>1.22</v>
      </c>
      <c r="DJ18" s="228">
        <v>1.22</v>
      </c>
      <c r="DK18" s="228">
        <v>30.12</v>
      </c>
      <c r="DL18" s="228">
        <v>29.08</v>
      </c>
      <c r="DM18" s="228">
        <v>1.04</v>
      </c>
      <c r="DN18" s="228">
        <v>1.04</v>
      </c>
      <c r="DO18" s="228">
        <v>0.53</v>
      </c>
      <c r="DP18" s="228">
        <v>0.59</v>
      </c>
      <c r="DQ18" s="228">
        <v>-0.06</v>
      </c>
      <c r="DR18" s="229">
        <v>-0.1017</v>
      </c>
      <c r="DS18" s="231">
        <v>1700</v>
      </c>
      <c r="DT18" s="231">
        <v>1480</v>
      </c>
      <c r="DU18" s="228">
        <v>0.7</v>
      </c>
      <c r="DV18" s="228">
        <v>0.57999999999999996</v>
      </c>
      <c r="DW18" s="228">
        <v>0.12</v>
      </c>
      <c r="DX18" s="229">
        <v>0.2069</v>
      </c>
      <c r="DY18" s="229">
        <v>4.9099999999999998E-2</v>
      </c>
      <c r="DZ18" s="230">
        <v>886550</v>
      </c>
      <c r="EA18" s="229">
        <v>5.7000000000000002E-3</v>
      </c>
      <c r="EB18" s="229">
        <v>4.9099999999999998E-2</v>
      </c>
      <c r="EC18" s="228">
        <v>8.4700000000000006</v>
      </c>
      <c r="ED18" s="229">
        <v>5.4000000000000003E-3</v>
      </c>
      <c r="EE18" s="230">
        <v>1913264</v>
      </c>
      <c r="EF18" s="230">
        <v>2464140</v>
      </c>
      <c r="EG18" s="229">
        <v>-0.22359999999999999</v>
      </c>
      <c r="EH18" s="229">
        <v>0.63629999999999998</v>
      </c>
      <c r="EI18" s="231">
        <v>184096.98</v>
      </c>
      <c r="EJ18" s="231">
        <v>121726.96</v>
      </c>
      <c r="EK18" s="231">
        <v>32736.5</v>
      </c>
      <c r="EL18" s="231">
        <v>12320</v>
      </c>
      <c r="EM18" s="231">
        <v>338560.44</v>
      </c>
      <c r="EN18" s="231">
        <v>338772.58</v>
      </c>
      <c r="EO18" s="228">
        <v>-212.14</v>
      </c>
      <c r="EP18" s="229">
        <v>-5.9999999999999995E-4</v>
      </c>
      <c r="EQ18" s="231">
        <v>184440</v>
      </c>
      <c r="ER18" s="231">
        <v>89235</v>
      </c>
      <c r="ES18" s="231">
        <v>295337</v>
      </c>
      <c r="ET18" s="231">
        <v>106857976</v>
      </c>
      <c r="EU18" s="231">
        <v>569012</v>
      </c>
      <c r="EV18" s="231">
        <v>553988</v>
      </c>
      <c r="EW18" s="231">
        <v>15024</v>
      </c>
      <c r="EX18" s="229">
        <v>2.7099999999999999E-2</v>
      </c>
      <c r="EY18" s="229">
        <v>0.3337</v>
      </c>
    </row>
    <row r="19" spans="1:155" ht="17.25" thickBot="1" x14ac:dyDescent="0.3">
      <c r="A19" s="226">
        <v>46064</v>
      </c>
      <c r="B19" s="227" t="s">
        <v>172</v>
      </c>
      <c r="C19" s="227" t="s">
        <v>224</v>
      </c>
      <c r="D19" s="228">
        <v>930.7</v>
      </c>
      <c r="E19" s="228">
        <v>935.8</v>
      </c>
      <c r="F19" s="228">
        <v>-5.0999999999999996</v>
      </c>
      <c r="G19" s="229">
        <v>-5.4000000000000003E-3</v>
      </c>
      <c r="H19" s="228">
        <v>927.1</v>
      </c>
      <c r="I19" s="228">
        <v>932.4</v>
      </c>
      <c r="J19" s="228">
        <v>-5.3</v>
      </c>
      <c r="K19" s="229">
        <v>-5.7000000000000002E-3</v>
      </c>
      <c r="L19" s="228">
        <v>930.7</v>
      </c>
      <c r="M19" s="228">
        <v>935.8</v>
      </c>
      <c r="N19" s="228">
        <v>-5.0999999999999996</v>
      </c>
      <c r="O19" s="229">
        <v>-5.4000000000000003E-3</v>
      </c>
      <c r="P19" s="228">
        <v>936.55</v>
      </c>
      <c r="Q19" s="228">
        <v>941.95</v>
      </c>
      <c r="R19" s="228">
        <v>-5.4</v>
      </c>
      <c r="S19" s="229">
        <v>-5.7000000000000002E-3</v>
      </c>
      <c r="T19" s="228">
        <v>942</v>
      </c>
      <c r="U19" s="228">
        <v>947.4</v>
      </c>
      <c r="V19" s="228">
        <v>-5.4</v>
      </c>
      <c r="W19" s="229">
        <v>-5.7000000000000002E-3</v>
      </c>
      <c r="X19" s="228">
        <v>3.6</v>
      </c>
      <c r="Y19" s="228">
        <v>3.4</v>
      </c>
      <c r="Z19" s="228">
        <v>0.2</v>
      </c>
      <c r="AA19" s="229">
        <v>3.8999999999999998E-3</v>
      </c>
      <c r="AB19" s="228">
        <v>3.6</v>
      </c>
      <c r="AC19" s="228">
        <v>3.4</v>
      </c>
      <c r="AD19" s="228">
        <v>0.2</v>
      </c>
      <c r="AE19" s="229">
        <v>3.8999999999999998E-3</v>
      </c>
      <c r="AF19" s="228">
        <v>9.4499999999999993</v>
      </c>
      <c r="AG19" s="228">
        <v>9.5500000000000007</v>
      </c>
      <c r="AH19" s="228">
        <v>-0.1</v>
      </c>
      <c r="AI19" s="229">
        <v>1.0200000000000001E-2</v>
      </c>
      <c r="AJ19" s="228">
        <v>14.9</v>
      </c>
      <c r="AK19" s="228">
        <v>15</v>
      </c>
      <c r="AL19" s="228">
        <v>-0.1</v>
      </c>
      <c r="AM19" s="229">
        <v>1.61E-2</v>
      </c>
      <c r="AN19" s="228">
        <v>932.66</v>
      </c>
      <c r="AO19" s="228">
        <v>937.94</v>
      </c>
      <c r="AP19" s="228">
        <v>0</v>
      </c>
      <c r="AQ19" s="230">
        <v>38316</v>
      </c>
      <c r="AR19" s="230">
        <v>34017</v>
      </c>
      <c r="AS19" s="230">
        <v>4299</v>
      </c>
      <c r="AT19" s="229">
        <v>0.12640000000000001</v>
      </c>
      <c r="AU19" s="230">
        <v>34917</v>
      </c>
      <c r="AV19" s="230">
        <v>30492</v>
      </c>
      <c r="AW19" s="230">
        <v>4425</v>
      </c>
      <c r="AX19" s="229">
        <v>0.14510000000000001</v>
      </c>
      <c r="AY19" s="230">
        <v>2995</v>
      </c>
      <c r="AZ19" s="230">
        <v>3214</v>
      </c>
      <c r="BA19" s="228">
        <v>-219</v>
      </c>
      <c r="BB19" s="229">
        <v>-6.8099999999999994E-2</v>
      </c>
      <c r="BC19" s="228">
        <v>404</v>
      </c>
      <c r="BD19" s="228">
        <v>311</v>
      </c>
      <c r="BE19" s="228">
        <v>93</v>
      </c>
      <c r="BF19" s="229">
        <v>0.29899999999999999</v>
      </c>
      <c r="BG19" s="230">
        <v>127134</v>
      </c>
      <c r="BH19" s="230">
        <v>117279</v>
      </c>
      <c r="BI19" s="230">
        <v>9855</v>
      </c>
      <c r="BJ19" s="229">
        <v>8.4000000000000005E-2</v>
      </c>
      <c r="BK19" s="230">
        <v>63606</v>
      </c>
      <c r="BL19" s="230">
        <v>64748</v>
      </c>
      <c r="BM19" s="230">
        <v>-1142</v>
      </c>
      <c r="BN19" s="229">
        <v>-1.7600000000000001E-2</v>
      </c>
      <c r="BO19" s="230">
        <v>229056</v>
      </c>
      <c r="BP19" s="230">
        <v>216044</v>
      </c>
      <c r="BQ19" s="230">
        <v>13012</v>
      </c>
      <c r="BR19" s="229">
        <v>6.0199999999999997E-2</v>
      </c>
      <c r="BS19" s="230">
        <v>26779407</v>
      </c>
      <c r="BT19" s="230">
        <v>33074284</v>
      </c>
      <c r="BU19" s="230">
        <v>-6294877</v>
      </c>
      <c r="BV19" s="229">
        <v>-0.1903</v>
      </c>
      <c r="BW19" s="230">
        <v>263130450</v>
      </c>
      <c r="BX19" s="230">
        <v>260617500</v>
      </c>
      <c r="BY19" s="230">
        <v>2512950</v>
      </c>
      <c r="BZ19" s="229">
        <v>9.5999999999999992E-3</v>
      </c>
      <c r="CA19" s="230">
        <v>232007050</v>
      </c>
      <c r="CB19" s="230">
        <v>230604550</v>
      </c>
      <c r="CC19" s="230">
        <v>1402500</v>
      </c>
      <c r="CD19" s="229">
        <v>6.1000000000000004E-3</v>
      </c>
      <c r="CE19" s="230">
        <v>29896350</v>
      </c>
      <c r="CF19" s="230">
        <v>28919000</v>
      </c>
      <c r="CG19" s="230">
        <v>977350</v>
      </c>
      <c r="CH19" s="229">
        <v>3.3799999999999997E-2</v>
      </c>
      <c r="CI19" s="230">
        <v>1227050</v>
      </c>
      <c r="CJ19" s="230">
        <v>1093950</v>
      </c>
      <c r="CK19" s="230">
        <v>133100</v>
      </c>
      <c r="CL19" s="229">
        <v>0.1217</v>
      </c>
      <c r="CM19" s="230">
        <v>64589250</v>
      </c>
      <c r="CN19" s="230">
        <v>58248850</v>
      </c>
      <c r="CO19" s="230">
        <v>6340400</v>
      </c>
      <c r="CP19" s="229">
        <v>0.1089</v>
      </c>
      <c r="CQ19" s="230">
        <v>35627350</v>
      </c>
      <c r="CR19" s="230">
        <v>33878350</v>
      </c>
      <c r="CS19" s="230">
        <v>1749000</v>
      </c>
      <c r="CT19" s="229">
        <v>5.16E-2</v>
      </c>
      <c r="CU19" s="230">
        <v>363347050</v>
      </c>
      <c r="CV19" s="230">
        <v>352744700</v>
      </c>
      <c r="CW19" s="230">
        <v>10602350</v>
      </c>
      <c r="CX19" s="229">
        <v>3.0099999999999998E-2</v>
      </c>
      <c r="CY19" s="228">
        <v>19.16</v>
      </c>
      <c r="CZ19" s="228">
        <v>18.72</v>
      </c>
      <c r="DA19" s="228">
        <v>0.44</v>
      </c>
      <c r="DB19" s="228">
        <v>0.44</v>
      </c>
      <c r="DC19" s="228">
        <v>19.41</v>
      </c>
      <c r="DD19" s="228">
        <v>19.45</v>
      </c>
      <c r="DE19" s="228">
        <v>-0.25</v>
      </c>
      <c r="DF19" s="228">
        <v>-0.04</v>
      </c>
      <c r="DG19" s="228">
        <v>19.260000000000002</v>
      </c>
      <c r="DH19" s="228">
        <v>18.87</v>
      </c>
      <c r="DI19" s="228">
        <v>0.39</v>
      </c>
      <c r="DJ19" s="228">
        <v>0.39</v>
      </c>
      <c r="DK19" s="228">
        <v>18.95</v>
      </c>
      <c r="DL19" s="228">
        <v>18.45</v>
      </c>
      <c r="DM19" s="228">
        <v>0.5</v>
      </c>
      <c r="DN19" s="228">
        <v>0.5</v>
      </c>
      <c r="DO19" s="228">
        <v>0.55000000000000004</v>
      </c>
      <c r="DP19" s="228">
        <v>0.57999999999999996</v>
      </c>
      <c r="DQ19" s="228">
        <v>-0.03</v>
      </c>
      <c r="DR19" s="229">
        <v>-5.1700000000000003E-2</v>
      </c>
      <c r="DS19" s="228">
        <v>950</v>
      </c>
      <c r="DT19" s="228">
        <v>930</v>
      </c>
      <c r="DU19" s="228">
        <v>0.5</v>
      </c>
      <c r="DV19" s="228">
        <v>0.55000000000000004</v>
      </c>
      <c r="DW19" s="228">
        <v>-0.05</v>
      </c>
      <c r="DX19" s="229">
        <v>-9.0899999999999995E-2</v>
      </c>
      <c r="DY19" s="229">
        <v>0.1183</v>
      </c>
      <c r="DZ19" s="230">
        <v>30012950</v>
      </c>
      <c r="EA19" s="229">
        <v>6.3E-3</v>
      </c>
      <c r="EB19" s="229">
        <v>0.1183</v>
      </c>
      <c r="EC19" s="228">
        <v>5.28</v>
      </c>
      <c r="ED19" s="229">
        <v>5.7000000000000002E-3</v>
      </c>
      <c r="EE19" s="230">
        <v>18470149</v>
      </c>
      <c r="EF19" s="230">
        <v>19497953</v>
      </c>
      <c r="EG19" s="229">
        <v>-5.2699999999999997E-2</v>
      </c>
      <c r="EH19" s="229">
        <v>0.68969999999999998</v>
      </c>
      <c r="EI19" s="231">
        <v>671157.95</v>
      </c>
      <c r="EJ19" s="231">
        <v>324297.34999999998</v>
      </c>
      <c r="EK19" s="231">
        <v>196657.33</v>
      </c>
      <c r="EL19" s="231">
        <v>30368</v>
      </c>
      <c r="EM19" s="231">
        <v>1192112.6299999999</v>
      </c>
      <c r="EN19" s="231">
        <v>1130397.5</v>
      </c>
      <c r="EO19" s="231">
        <v>61715.13</v>
      </c>
      <c r="EP19" s="229">
        <v>5.4600000000000003E-2</v>
      </c>
      <c r="EQ19" s="231">
        <v>622812</v>
      </c>
      <c r="ER19" s="231">
        <v>328544</v>
      </c>
      <c r="ES19" s="231">
        <v>2450843</v>
      </c>
      <c r="ET19" s="231">
        <v>1330694977</v>
      </c>
      <c r="EU19" s="231">
        <v>3402198</v>
      </c>
      <c r="EV19" s="231">
        <v>3316528</v>
      </c>
      <c r="EW19" s="231">
        <v>85670</v>
      </c>
      <c r="EX19" s="229">
        <v>2.58E-2</v>
      </c>
      <c r="EY19" s="229">
        <v>0.27310000000000001</v>
      </c>
    </row>
    <row r="20" spans="1:155" ht="17.25" thickBot="1" x14ac:dyDescent="0.3">
      <c r="A20" s="226">
        <v>46064</v>
      </c>
      <c r="B20" s="227" t="s">
        <v>175</v>
      </c>
      <c r="C20" s="227" t="s">
        <v>225</v>
      </c>
      <c r="D20" s="228">
        <v>702.95</v>
      </c>
      <c r="E20" s="228">
        <v>706.35</v>
      </c>
      <c r="F20" s="228">
        <v>-3.4</v>
      </c>
      <c r="G20" s="229">
        <v>-4.7999999999999996E-3</v>
      </c>
      <c r="H20" s="228">
        <v>701.1</v>
      </c>
      <c r="I20" s="228">
        <v>703.95</v>
      </c>
      <c r="J20" s="228">
        <v>-2.85</v>
      </c>
      <c r="K20" s="229">
        <v>-4.0000000000000001E-3</v>
      </c>
      <c r="L20" s="228">
        <v>702.95</v>
      </c>
      <c r="M20" s="228">
        <v>706.35</v>
      </c>
      <c r="N20" s="228">
        <v>-3.4</v>
      </c>
      <c r="O20" s="229">
        <v>-4.7999999999999996E-3</v>
      </c>
      <c r="P20" s="228">
        <v>707.3</v>
      </c>
      <c r="Q20" s="228">
        <v>710.85</v>
      </c>
      <c r="R20" s="228">
        <v>-3.55</v>
      </c>
      <c r="S20" s="229">
        <v>-5.0000000000000001E-3</v>
      </c>
      <c r="T20" s="228">
        <v>712.35</v>
      </c>
      <c r="U20" s="228">
        <v>716</v>
      </c>
      <c r="V20" s="228">
        <v>-3.65</v>
      </c>
      <c r="W20" s="229">
        <v>-5.1000000000000004E-3</v>
      </c>
      <c r="X20" s="228">
        <v>1.85</v>
      </c>
      <c r="Y20" s="228">
        <v>2.4</v>
      </c>
      <c r="Z20" s="228">
        <v>-0.55000000000000004</v>
      </c>
      <c r="AA20" s="229">
        <v>2.5999999999999999E-3</v>
      </c>
      <c r="AB20" s="228">
        <v>1.85</v>
      </c>
      <c r="AC20" s="228">
        <v>2.4</v>
      </c>
      <c r="AD20" s="228">
        <v>-0.55000000000000004</v>
      </c>
      <c r="AE20" s="229">
        <v>2.5999999999999999E-3</v>
      </c>
      <c r="AF20" s="228">
        <v>6.2</v>
      </c>
      <c r="AG20" s="228">
        <v>6.9</v>
      </c>
      <c r="AH20" s="228">
        <v>-0.7</v>
      </c>
      <c r="AI20" s="229">
        <v>8.8000000000000005E-3</v>
      </c>
      <c r="AJ20" s="228">
        <v>11.25</v>
      </c>
      <c r="AK20" s="228">
        <v>12.05</v>
      </c>
      <c r="AL20" s="228">
        <v>-0.8</v>
      </c>
      <c r="AM20" s="229">
        <v>1.6E-2</v>
      </c>
      <c r="AN20" s="228">
        <v>703.66</v>
      </c>
      <c r="AO20" s="228">
        <v>708.09</v>
      </c>
      <c r="AP20" s="228">
        <v>0</v>
      </c>
      <c r="AQ20" s="230">
        <v>3616</v>
      </c>
      <c r="AR20" s="230">
        <v>2560</v>
      </c>
      <c r="AS20" s="230">
        <v>1056</v>
      </c>
      <c r="AT20" s="229">
        <v>0.41249999999999998</v>
      </c>
      <c r="AU20" s="230">
        <v>2899</v>
      </c>
      <c r="AV20" s="230">
        <v>2340</v>
      </c>
      <c r="AW20" s="228">
        <v>559</v>
      </c>
      <c r="AX20" s="229">
        <v>0.2389</v>
      </c>
      <c r="AY20" s="228">
        <v>694</v>
      </c>
      <c r="AZ20" s="228">
        <v>210</v>
      </c>
      <c r="BA20" s="228">
        <v>484</v>
      </c>
      <c r="BB20" s="229">
        <v>2.3048000000000002</v>
      </c>
      <c r="BC20" s="228">
        <v>23</v>
      </c>
      <c r="BD20" s="228">
        <v>10</v>
      </c>
      <c r="BE20" s="228">
        <v>13</v>
      </c>
      <c r="BF20" s="229">
        <v>1.3</v>
      </c>
      <c r="BG20" s="230">
        <v>8429</v>
      </c>
      <c r="BH20" s="230">
        <v>8857</v>
      </c>
      <c r="BI20" s="228">
        <v>-428</v>
      </c>
      <c r="BJ20" s="229">
        <v>-4.8300000000000003E-2</v>
      </c>
      <c r="BK20" s="230">
        <v>3278</v>
      </c>
      <c r="BL20" s="230">
        <v>2938</v>
      </c>
      <c r="BM20" s="228">
        <v>340</v>
      </c>
      <c r="BN20" s="229">
        <v>0.1157</v>
      </c>
      <c r="BO20" s="230">
        <v>15323</v>
      </c>
      <c r="BP20" s="230">
        <v>14355</v>
      </c>
      <c r="BQ20" s="228">
        <v>968</v>
      </c>
      <c r="BR20" s="229">
        <v>6.7400000000000002E-2</v>
      </c>
      <c r="BS20" s="230">
        <v>1912923</v>
      </c>
      <c r="BT20" s="230">
        <v>2469858</v>
      </c>
      <c r="BU20" s="230">
        <v>-556935</v>
      </c>
      <c r="BV20" s="229">
        <v>-0.22550000000000001</v>
      </c>
      <c r="BW20" s="230">
        <v>38634200</v>
      </c>
      <c r="BX20" s="230">
        <v>38194200</v>
      </c>
      <c r="BY20" s="230">
        <v>440000</v>
      </c>
      <c r="BZ20" s="229">
        <v>1.15E-2</v>
      </c>
      <c r="CA20" s="230">
        <v>36741100</v>
      </c>
      <c r="CB20" s="230">
        <v>36880800</v>
      </c>
      <c r="CC20" s="230">
        <v>-139700</v>
      </c>
      <c r="CD20" s="229">
        <v>-3.8E-3</v>
      </c>
      <c r="CE20" s="230">
        <v>1791900</v>
      </c>
      <c r="CF20" s="230">
        <v>1214400</v>
      </c>
      <c r="CG20" s="230">
        <v>577500</v>
      </c>
      <c r="CH20" s="229">
        <v>0.47549999999999998</v>
      </c>
      <c r="CI20" s="230">
        <v>101200</v>
      </c>
      <c r="CJ20" s="230">
        <v>99000</v>
      </c>
      <c r="CK20" s="230">
        <v>2200</v>
      </c>
      <c r="CL20" s="229">
        <v>2.2200000000000001E-2</v>
      </c>
      <c r="CM20" s="230">
        <v>15975300</v>
      </c>
      <c r="CN20" s="230">
        <v>15270200</v>
      </c>
      <c r="CO20" s="230">
        <v>705100</v>
      </c>
      <c r="CP20" s="229">
        <v>4.6199999999999998E-2</v>
      </c>
      <c r="CQ20" s="230">
        <v>6803500</v>
      </c>
      <c r="CR20" s="230">
        <v>6633000</v>
      </c>
      <c r="CS20" s="230">
        <v>170500</v>
      </c>
      <c r="CT20" s="229">
        <v>2.5700000000000001E-2</v>
      </c>
      <c r="CU20" s="230">
        <v>61413000</v>
      </c>
      <c r="CV20" s="230">
        <v>60097400</v>
      </c>
      <c r="CW20" s="230">
        <v>1315600</v>
      </c>
      <c r="CX20" s="229">
        <v>2.1899999999999999E-2</v>
      </c>
      <c r="CY20" s="228">
        <v>21.37</v>
      </c>
      <c r="CZ20" s="228">
        <v>20.79</v>
      </c>
      <c r="DA20" s="228">
        <v>0.57999999999999996</v>
      </c>
      <c r="DB20" s="228">
        <v>0.57999999999999996</v>
      </c>
      <c r="DC20" s="228">
        <v>24.47</v>
      </c>
      <c r="DD20" s="228">
        <v>24.53</v>
      </c>
      <c r="DE20" s="228">
        <v>-3.1</v>
      </c>
      <c r="DF20" s="228">
        <v>-0.06</v>
      </c>
      <c r="DG20" s="228">
        <v>21.66</v>
      </c>
      <c r="DH20" s="228">
        <v>20.84</v>
      </c>
      <c r="DI20" s="228">
        <v>0.82</v>
      </c>
      <c r="DJ20" s="228">
        <v>0.82</v>
      </c>
      <c r="DK20" s="228">
        <v>20.6</v>
      </c>
      <c r="DL20" s="228">
        <v>20.65</v>
      </c>
      <c r="DM20" s="228">
        <v>-0.05</v>
      </c>
      <c r="DN20" s="228">
        <v>-0.05</v>
      </c>
      <c r="DO20" s="228">
        <v>0.43</v>
      </c>
      <c r="DP20" s="228">
        <v>0.43</v>
      </c>
      <c r="DQ20" s="228">
        <v>0</v>
      </c>
      <c r="DR20" s="229">
        <v>0</v>
      </c>
      <c r="DS20" s="228">
        <v>740</v>
      </c>
      <c r="DT20" s="228">
        <v>700</v>
      </c>
      <c r="DU20" s="228">
        <v>0.39</v>
      </c>
      <c r="DV20" s="228">
        <v>0.33</v>
      </c>
      <c r="DW20" s="228">
        <v>0.06</v>
      </c>
      <c r="DX20" s="229">
        <v>0.18179999999999999</v>
      </c>
      <c r="DY20" s="229">
        <v>4.9000000000000002E-2</v>
      </c>
      <c r="DZ20" s="230">
        <v>1313400</v>
      </c>
      <c r="EA20" s="229">
        <v>6.1999999999999998E-3</v>
      </c>
      <c r="EB20" s="229">
        <v>4.9000000000000002E-2</v>
      </c>
      <c r="EC20" s="228">
        <v>4.43</v>
      </c>
      <c r="ED20" s="229">
        <v>6.3E-3</v>
      </c>
      <c r="EE20" s="230">
        <v>1130299</v>
      </c>
      <c r="EF20" s="230">
        <v>1717488</v>
      </c>
      <c r="EG20" s="229">
        <v>-0.34189999999999998</v>
      </c>
      <c r="EH20" s="229">
        <v>0.59089999999999998</v>
      </c>
      <c r="EI20" s="231">
        <v>67636.83</v>
      </c>
      <c r="EJ20" s="231">
        <v>25348.22</v>
      </c>
      <c r="EK20" s="231">
        <v>28024.92</v>
      </c>
      <c r="EL20" s="231">
        <v>3546</v>
      </c>
      <c r="EM20" s="231">
        <v>121009.97</v>
      </c>
      <c r="EN20" s="231">
        <v>114169.35</v>
      </c>
      <c r="EO20" s="231">
        <v>6840.62</v>
      </c>
      <c r="EP20" s="229">
        <v>5.9900000000000002E-2</v>
      </c>
      <c r="EQ20" s="231">
        <v>119278</v>
      </c>
      <c r="ER20" s="231">
        <v>47226</v>
      </c>
      <c r="ES20" s="231">
        <v>271667</v>
      </c>
      <c r="ET20" s="231">
        <v>128849634</v>
      </c>
      <c r="EU20" s="231">
        <v>438171</v>
      </c>
      <c r="EV20" s="231">
        <v>430343</v>
      </c>
      <c r="EW20" s="231">
        <v>7828</v>
      </c>
      <c r="EX20" s="229">
        <v>1.8200000000000001E-2</v>
      </c>
      <c r="EY20" s="229">
        <v>0.47660000000000002</v>
      </c>
    </row>
    <row r="21" spans="1:155" ht="17.25" thickBot="1" x14ac:dyDescent="0.3">
      <c r="A21" s="226">
        <v>46064</v>
      </c>
      <c r="B21" s="227" t="s">
        <v>227</v>
      </c>
      <c r="C21" s="227" t="s">
        <v>228</v>
      </c>
      <c r="D21" s="228">
        <v>964.85</v>
      </c>
      <c r="E21" s="228">
        <v>968.2</v>
      </c>
      <c r="F21" s="228">
        <v>-3.35</v>
      </c>
      <c r="G21" s="229">
        <v>-3.5000000000000001E-3</v>
      </c>
      <c r="H21" s="228">
        <v>965.95</v>
      </c>
      <c r="I21" s="228">
        <v>968.9</v>
      </c>
      <c r="J21" s="228">
        <v>-2.95</v>
      </c>
      <c r="K21" s="229">
        <v>-3.0000000000000001E-3</v>
      </c>
      <c r="L21" s="228">
        <v>964.85</v>
      </c>
      <c r="M21" s="228">
        <v>968.2</v>
      </c>
      <c r="N21" s="228">
        <v>-3.35</v>
      </c>
      <c r="O21" s="229">
        <v>-3.5000000000000001E-3</v>
      </c>
      <c r="P21" s="228">
        <v>970.5</v>
      </c>
      <c r="Q21" s="228">
        <v>973.35</v>
      </c>
      <c r="R21" s="228">
        <v>-2.85</v>
      </c>
      <c r="S21" s="229">
        <v>-2.8999999999999998E-3</v>
      </c>
      <c r="T21" s="228">
        <v>976.1</v>
      </c>
      <c r="U21" s="228">
        <v>979.15</v>
      </c>
      <c r="V21" s="228">
        <v>-3.05</v>
      </c>
      <c r="W21" s="229">
        <v>-3.0999999999999999E-3</v>
      </c>
      <c r="X21" s="228">
        <v>-1.1000000000000001</v>
      </c>
      <c r="Y21" s="228">
        <v>-0.7</v>
      </c>
      <c r="Z21" s="228">
        <v>-0.4</v>
      </c>
      <c r="AA21" s="229">
        <v>-1.1000000000000001E-3</v>
      </c>
      <c r="AB21" s="228">
        <v>-1.1000000000000001</v>
      </c>
      <c r="AC21" s="228">
        <v>-0.7</v>
      </c>
      <c r="AD21" s="228">
        <v>-0.4</v>
      </c>
      <c r="AE21" s="229">
        <v>-1.1000000000000001E-3</v>
      </c>
      <c r="AF21" s="228">
        <v>4.55</v>
      </c>
      <c r="AG21" s="228">
        <v>4.45</v>
      </c>
      <c r="AH21" s="228">
        <v>0.1</v>
      </c>
      <c r="AI21" s="229">
        <v>4.7000000000000002E-3</v>
      </c>
      <c r="AJ21" s="228">
        <v>10.15</v>
      </c>
      <c r="AK21" s="228">
        <v>10.25</v>
      </c>
      <c r="AL21" s="228">
        <v>-0.1</v>
      </c>
      <c r="AM21" s="229">
        <v>1.0500000000000001E-2</v>
      </c>
      <c r="AN21" s="228">
        <v>958.89</v>
      </c>
      <c r="AO21" s="228">
        <v>962.48</v>
      </c>
      <c r="AP21" s="228">
        <v>0</v>
      </c>
      <c r="AQ21" s="230">
        <v>17165</v>
      </c>
      <c r="AR21" s="230">
        <v>8574</v>
      </c>
      <c r="AS21" s="230">
        <v>8591</v>
      </c>
      <c r="AT21" s="229">
        <v>1.002</v>
      </c>
      <c r="AU21" s="230">
        <v>15733</v>
      </c>
      <c r="AV21" s="230">
        <v>7988</v>
      </c>
      <c r="AW21" s="230">
        <v>7745</v>
      </c>
      <c r="AX21" s="229">
        <v>0.96960000000000002</v>
      </c>
      <c r="AY21" s="230">
        <v>1348</v>
      </c>
      <c r="AZ21" s="228">
        <v>529</v>
      </c>
      <c r="BA21" s="228">
        <v>819</v>
      </c>
      <c r="BB21" s="229">
        <v>1.5482</v>
      </c>
      <c r="BC21" s="228">
        <v>84</v>
      </c>
      <c r="BD21" s="228">
        <v>57</v>
      </c>
      <c r="BE21" s="228">
        <v>27</v>
      </c>
      <c r="BF21" s="229">
        <v>0.47370000000000001</v>
      </c>
      <c r="BG21" s="230">
        <v>33763</v>
      </c>
      <c r="BH21" s="230">
        <v>20378</v>
      </c>
      <c r="BI21" s="230">
        <v>13385</v>
      </c>
      <c r="BJ21" s="229">
        <v>0.65680000000000005</v>
      </c>
      <c r="BK21" s="230">
        <v>20012</v>
      </c>
      <c r="BL21" s="230">
        <v>9064</v>
      </c>
      <c r="BM21" s="230">
        <v>10948</v>
      </c>
      <c r="BN21" s="229">
        <v>1.2079</v>
      </c>
      <c r="BO21" s="230">
        <v>70940</v>
      </c>
      <c r="BP21" s="230">
        <v>38016</v>
      </c>
      <c r="BQ21" s="230">
        <v>32924</v>
      </c>
      <c r="BR21" s="229">
        <v>0.86609999999999998</v>
      </c>
      <c r="BS21" s="230">
        <v>6426219</v>
      </c>
      <c r="BT21" s="230">
        <v>4299409</v>
      </c>
      <c r="BU21" s="230">
        <v>2126810</v>
      </c>
      <c r="BV21" s="229">
        <v>0.49469999999999997</v>
      </c>
      <c r="BW21" s="230">
        <v>46258800</v>
      </c>
      <c r="BX21" s="230">
        <v>45510500</v>
      </c>
      <c r="BY21" s="230">
        <v>748300</v>
      </c>
      <c r="BZ21" s="229">
        <v>1.6400000000000001E-2</v>
      </c>
      <c r="CA21" s="230">
        <v>43402800</v>
      </c>
      <c r="CB21" s="230">
        <v>43094800</v>
      </c>
      <c r="CC21" s="230">
        <v>308000</v>
      </c>
      <c r="CD21" s="229">
        <v>7.1000000000000004E-3</v>
      </c>
      <c r="CE21" s="230">
        <v>2675400</v>
      </c>
      <c r="CF21" s="230">
        <v>2251900</v>
      </c>
      <c r="CG21" s="230">
        <v>423500</v>
      </c>
      <c r="CH21" s="229">
        <v>0.18809999999999999</v>
      </c>
      <c r="CI21" s="230">
        <v>180600</v>
      </c>
      <c r="CJ21" s="230">
        <v>163800</v>
      </c>
      <c r="CK21" s="230">
        <v>16800</v>
      </c>
      <c r="CL21" s="229">
        <v>0.1026</v>
      </c>
      <c r="CM21" s="230">
        <v>13443500</v>
      </c>
      <c r="CN21" s="230">
        <v>12527900</v>
      </c>
      <c r="CO21" s="230">
        <v>915600</v>
      </c>
      <c r="CP21" s="229">
        <v>7.3099999999999998E-2</v>
      </c>
      <c r="CQ21" s="230">
        <v>10687600</v>
      </c>
      <c r="CR21" s="230">
        <v>9368100</v>
      </c>
      <c r="CS21" s="230">
        <v>1319500</v>
      </c>
      <c r="CT21" s="229">
        <v>0.1409</v>
      </c>
      <c r="CU21" s="230">
        <v>70389900</v>
      </c>
      <c r="CV21" s="230">
        <v>67406500</v>
      </c>
      <c r="CW21" s="230">
        <v>2983400</v>
      </c>
      <c r="CX21" s="229">
        <v>4.4299999999999999E-2</v>
      </c>
      <c r="CY21" s="228">
        <v>46.57</v>
      </c>
      <c r="CZ21" s="228">
        <v>42.82</v>
      </c>
      <c r="DA21" s="228">
        <v>3.75</v>
      </c>
      <c r="DB21" s="228">
        <v>3.75</v>
      </c>
      <c r="DC21" s="228">
        <v>34.479999999999997</v>
      </c>
      <c r="DD21" s="228">
        <v>34.57</v>
      </c>
      <c r="DE21" s="228">
        <v>12.09</v>
      </c>
      <c r="DF21" s="228">
        <v>-0.09</v>
      </c>
      <c r="DG21" s="228">
        <v>46.37</v>
      </c>
      <c r="DH21" s="228">
        <v>42.64</v>
      </c>
      <c r="DI21" s="228">
        <v>3.73</v>
      </c>
      <c r="DJ21" s="228">
        <v>3.73</v>
      </c>
      <c r="DK21" s="228">
        <v>46.92</v>
      </c>
      <c r="DL21" s="228">
        <v>43.23</v>
      </c>
      <c r="DM21" s="228">
        <v>3.69</v>
      </c>
      <c r="DN21" s="228">
        <v>3.69</v>
      </c>
      <c r="DO21" s="228">
        <v>0.8</v>
      </c>
      <c r="DP21" s="228">
        <v>0.75</v>
      </c>
      <c r="DQ21" s="228">
        <v>0.05</v>
      </c>
      <c r="DR21" s="229">
        <v>6.6699999999999995E-2</v>
      </c>
      <c r="DS21" s="231">
        <v>1000</v>
      </c>
      <c r="DT21" s="228">
        <v>900</v>
      </c>
      <c r="DU21" s="228">
        <v>0.59</v>
      </c>
      <c r="DV21" s="228">
        <v>0.44</v>
      </c>
      <c r="DW21" s="228">
        <v>0.15</v>
      </c>
      <c r="DX21" s="229">
        <v>0.34089999999999998</v>
      </c>
      <c r="DY21" s="229">
        <v>6.1699999999999998E-2</v>
      </c>
      <c r="DZ21" s="230">
        <v>2415700</v>
      </c>
      <c r="EA21" s="229">
        <v>5.8999999999999999E-3</v>
      </c>
      <c r="EB21" s="229">
        <v>6.1699999999999998E-2</v>
      </c>
      <c r="EC21" s="228">
        <v>3.59</v>
      </c>
      <c r="ED21" s="229">
        <v>3.7000000000000002E-3</v>
      </c>
      <c r="EE21" s="230">
        <v>3658635</v>
      </c>
      <c r="EF21" s="230">
        <v>2389792</v>
      </c>
      <c r="EG21" s="229">
        <v>0.53090000000000004</v>
      </c>
      <c r="EH21" s="229">
        <v>0.56930000000000003</v>
      </c>
      <c r="EI21" s="231">
        <v>239718.56</v>
      </c>
      <c r="EJ21" s="231">
        <v>133971.20000000001</v>
      </c>
      <c r="EK21" s="231">
        <v>115255.13</v>
      </c>
      <c r="EL21" s="231">
        <v>9554</v>
      </c>
      <c r="EM21" s="231">
        <v>488944.89</v>
      </c>
      <c r="EN21" s="231">
        <v>264387.28999999998</v>
      </c>
      <c r="EO21" s="231">
        <v>224557.6</v>
      </c>
      <c r="EP21" s="229">
        <v>0.84940000000000004</v>
      </c>
      <c r="EQ21" s="231">
        <v>134651</v>
      </c>
      <c r="ER21" s="231">
        <v>97705</v>
      </c>
      <c r="ES21" s="231">
        <v>446500</v>
      </c>
      <c r="ET21" s="231">
        <v>212176873</v>
      </c>
      <c r="EU21" s="231">
        <v>678855</v>
      </c>
      <c r="EV21" s="231">
        <v>651459</v>
      </c>
      <c r="EW21" s="231">
        <v>27396</v>
      </c>
      <c r="EX21" s="229">
        <v>4.2099999999999999E-2</v>
      </c>
      <c r="EY21" s="229">
        <v>0.33179999999999998</v>
      </c>
    </row>
    <row r="22" spans="1:155" ht="17.25" thickBot="1" x14ac:dyDescent="0.3">
      <c r="A22" s="226">
        <v>46064</v>
      </c>
      <c r="B22" s="227" t="s">
        <v>168</v>
      </c>
      <c r="C22" s="227" t="s">
        <v>230</v>
      </c>
      <c r="D22" s="231">
        <v>2469.1999999999998</v>
      </c>
      <c r="E22" s="231">
        <v>2454.1999999999998</v>
      </c>
      <c r="F22" s="228">
        <v>15</v>
      </c>
      <c r="G22" s="229">
        <v>6.1000000000000004E-3</v>
      </c>
      <c r="H22" s="231">
        <v>2462.9</v>
      </c>
      <c r="I22" s="231">
        <v>2453.6</v>
      </c>
      <c r="J22" s="228">
        <v>9.3000000000000007</v>
      </c>
      <c r="K22" s="229">
        <v>3.8E-3</v>
      </c>
      <c r="L22" s="231">
        <v>2469.1999999999998</v>
      </c>
      <c r="M22" s="231">
        <v>2454.1999999999998</v>
      </c>
      <c r="N22" s="228">
        <v>15</v>
      </c>
      <c r="O22" s="229">
        <v>6.1000000000000004E-3</v>
      </c>
      <c r="P22" s="231">
        <v>2481.5</v>
      </c>
      <c r="Q22" s="231">
        <v>2467.4</v>
      </c>
      <c r="R22" s="228">
        <v>14.1</v>
      </c>
      <c r="S22" s="229">
        <v>5.7000000000000002E-3</v>
      </c>
      <c r="T22" s="231">
        <v>2494.6</v>
      </c>
      <c r="U22" s="231">
        <v>2483.6999999999998</v>
      </c>
      <c r="V22" s="228">
        <v>10.9</v>
      </c>
      <c r="W22" s="229">
        <v>4.4000000000000003E-3</v>
      </c>
      <c r="X22" s="228">
        <v>6.3</v>
      </c>
      <c r="Y22" s="228">
        <v>0.6</v>
      </c>
      <c r="Z22" s="228">
        <v>5.7</v>
      </c>
      <c r="AA22" s="229">
        <v>2.5999999999999999E-3</v>
      </c>
      <c r="AB22" s="228">
        <v>6.3</v>
      </c>
      <c r="AC22" s="228">
        <v>0.6</v>
      </c>
      <c r="AD22" s="228">
        <v>5.7</v>
      </c>
      <c r="AE22" s="229">
        <v>2.5999999999999999E-3</v>
      </c>
      <c r="AF22" s="228">
        <v>18.600000000000001</v>
      </c>
      <c r="AG22" s="228">
        <v>13.8</v>
      </c>
      <c r="AH22" s="228">
        <v>4.8</v>
      </c>
      <c r="AI22" s="229">
        <v>7.6E-3</v>
      </c>
      <c r="AJ22" s="228">
        <v>31.7</v>
      </c>
      <c r="AK22" s="228">
        <v>30.1</v>
      </c>
      <c r="AL22" s="228">
        <v>1.6</v>
      </c>
      <c r="AM22" s="229">
        <v>1.29E-2</v>
      </c>
      <c r="AN22" s="231">
        <v>2464.9699999999998</v>
      </c>
      <c r="AO22" s="231">
        <v>2477.59</v>
      </c>
      <c r="AP22" s="228">
        <v>0</v>
      </c>
      <c r="AQ22" s="230">
        <v>5619</v>
      </c>
      <c r="AR22" s="230">
        <v>4078</v>
      </c>
      <c r="AS22" s="230">
        <v>1541</v>
      </c>
      <c r="AT22" s="229">
        <v>0.37790000000000001</v>
      </c>
      <c r="AU22" s="230">
        <v>4989</v>
      </c>
      <c r="AV22" s="230">
        <v>3709</v>
      </c>
      <c r="AW22" s="230">
        <v>1280</v>
      </c>
      <c r="AX22" s="229">
        <v>0.34510000000000002</v>
      </c>
      <c r="AY22" s="228">
        <v>580</v>
      </c>
      <c r="AZ22" s="228">
        <v>321</v>
      </c>
      <c r="BA22" s="228">
        <v>259</v>
      </c>
      <c r="BB22" s="229">
        <v>0.80689999999999995</v>
      </c>
      <c r="BC22" s="228">
        <v>50</v>
      </c>
      <c r="BD22" s="228">
        <v>48</v>
      </c>
      <c r="BE22" s="228">
        <v>2</v>
      </c>
      <c r="BF22" s="229">
        <v>4.1700000000000001E-2</v>
      </c>
      <c r="BG22" s="230">
        <v>27397</v>
      </c>
      <c r="BH22" s="230">
        <v>24591</v>
      </c>
      <c r="BI22" s="230">
        <v>2806</v>
      </c>
      <c r="BJ22" s="229">
        <v>0.11409999999999999</v>
      </c>
      <c r="BK22" s="230">
        <v>11959</v>
      </c>
      <c r="BL22" s="230">
        <v>9077</v>
      </c>
      <c r="BM22" s="230">
        <v>2882</v>
      </c>
      <c r="BN22" s="229">
        <v>0.3175</v>
      </c>
      <c r="BO22" s="230">
        <v>44975</v>
      </c>
      <c r="BP22" s="230">
        <v>37746</v>
      </c>
      <c r="BQ22" s="230">
        <v>7229</v>
      </c>
      <c r="BR22" s="229">
        <v>0.1915</v>
      </c>
      <c r="BS22" s="230">
        <v>1191024</v>
      </c>
      <c r="BT22" s="230">
        <v>812491</v>
      </c>
      <c r="BU22" s="230">
        <v>378533</v>
      </c>
      <c r="BV22" s="229">
        <v>0.46589999999999998</v>
      </c>
      <c r="BW22" s="230">
        <v>14951400</v>
      </c>
      <c r="BX22" s="230">
        <v>14919300</v>
      </c>
      <c r="BY22" s="230">
        <v>32100</v>
      </c>
      <c r="BZ22" s="229">
        <v>2.2000000000000001E-3</v>
      </c>
      <c r="CA22" s="230">
        <v>14511000</v>
      </c>
      <c r="CB22" s="230">
        <v>14547300</v>
      </c>
      <c r="CC22" s="230">
        <v>-36300</v>
      </c>
      <c r="CD22" s="229">
        <v>-2.5000000000000001E-3</v>
      </c>
      <c r="CE22" s="230">
        <v>405900</v>
      </c>
      <c r="CF22" s="230">
        <v>339600</v>
      </c>
      <c r="CG22" s="230">
        <v>66300</v>
      </c>
      <c r="CH22" s="229">
        <v>0.19520000000000001</v>
      </c>
      <c r="CI22" s="230">
        <v>34500</v>
      </c>
      <c r="CJ22" s="230">
        <v>32400</v>
      </c>
      <c r="CK22" s="230">
        <v>2100</v>
      </c>
      <c r="CL22" s="229">
        <v>6.4799999999999996E-2</v>
      </c>
      <c r="CM22" s="230">
        <v>5642100</v>
      </c>
      <c r="CN22" s="230">
        <v>5356500</v>
      </c>
      <c r="CO22" s="230">
        <v>285600</v>
      </c>
      <c r="CP22" s="229">
        <v>5.33E-2</v>
      </c>
      <c r="CQ22" s="230">
        <v>4059900</v>
      </c>
      <c r="CR22" s="230">
        <v>3759000</v>
      </c>
      <c r="CS22" s="230">
        <v>300900</v>
      </c>
      <c r="CT22" s="229">
        <v>0.08</v>
      </c>
      <c r="CU22" s="230">
        <v>24653400</v>
      </c>
      <c r="CV22" s="230">
        <v>24034800</v>
      </c>
      <c r="CW22" s="230">
        <v>618600</v>
      </c>
      <c r="CX22" s="229">
        <v>2.5700000000000001E-2</v>
      </c>
      <c r="CY22" s="228">
        <v>28.13</v>
      </c>
      <c r="CZ22" s="228">
        <v>26.96</v>
      </c>
      <c r="DA22" s="228">
        <v>1.17</v>
      </c>
      <c r="DB22" s="228">
        <v>1.17</v>
      </c>
      <c r="DC22" s="228">
        <v>21.72</v>
      </c>
      <c r="DD22" s="228">
        <v>21.77</v>
      </c>
      <c r="DE22" s="228">
        <v>6.41</v>
      </c>
      <c r="DF22" s="228">
        <v>-0.05</v>
      </c>
      <c r="DG22" s="228">
        <v>27.63</v>
      </c>
      <c r="DH22" s="228">
        <v>26.74</v>
      </c>
      <c r="DI22" s="228">
        <v>0.89</v>
      </c>
      <c r="DJ22" s="228">
        <v>0.89</v>
      </c>
      <c r="DK22" s="228">
        <v>29.29</v>
      </c>
      <c r="DL22" s="228">
        <v>27.55</v>
      </c>
      <c r="DM22" s="228">
        <v>1.74</v>
      </c>
      <c r="DN22" s="228">
        <v>1.74</v>
      </c>
      <c r="DO22" s="228">
        <v>0.72</v>
      </c>
      <c r="DP22" s="228">
        <v>0.7</v>
      </c>
      <c r="DQ22" s="228">
        <v>0.02</v>
      </c>
      <c r="DR22" s="229">
        <v>2.86E-2</v>
      </c>
      <c r="DS22" s="231">
        <v>2500</v>
      </c>
      <c r="DT22" s="231">
        <v>2340</v>
      </c>
      <c r="DU22" s="228">
        <v>0.44</v>
      </c>
      <c r="DV22" s="228">
        <v>0.37</v>
      </c>
      <c r="DW22" s="228">
        <v>7.0000000000000007E-2</v>
      </c>
      <c r="DX22" s="229">
        <v>0.18920000000000001</v>
      </c>
      <c r="DY22" s="229">
        <v>2.9499999999999998E-2</v>
      </c>
      <c r="DZ22" s="230">
        <v>372000</v>
      </c>
      <c r="EA22" s="229">
        <v>5.0000000000000001E-3</v>
      </c>
      <c r="EB22" s="229">
        <v>2.9499999999999998E-2</v>
      </c>
      <c r="EC22" s="228">
        <v>12.62</v>
      </c>
      <c r="ED22" s="229">
        <v>5.1000000000000004E-3</v>
      </c>
      <c r="EE22" s="230">
        <v>744334</v>
      </c>
      <c r="EF22" s="230">
        <v>386167</v>
      </c>
      <c r="EG22" s="229">
        <v>0.92749999999999999</v>
      </c>
      <c r="EH22" s="229">
        <v>0.625</v>
      </c>
      <c r="EI22" s="231">
        <v>211944.46</v>
      </c>
      <c r="EJ22" s="231">
        <v>84265.25</v>
      </c>
      <c r="EK22" s="231">
        <v>41578.120000000003</v>
      </c>
      <c r="EL22" s="231">
        <v>5546</v>
      </c>
      <c r="EM22" s="231">
        <v>337787.83</v>
      </c>
      <c r="EN22" s="231">
        <v>281387.52000000002</v>
      </c>
      <c r="EO22" s="231">
        <v>56400.31</v>
      </c>
      <c r="EP22" s="229">
        <v>0.20039999999999999</v>
      </c>
      <c r="EQ22" s="231">
        <v>142400</v>
      </c>
      <c r="ER22" s="231">
        <v>93295</v>
      </c>
      <c r="ES22" s="231">
        <v>369239</v>
      </c>
      <c r="ET22" s="231">
        <v>91001773</v>
      </c>
      <c r="EU22" s="231">
        <v>604933</v>
      </c>
      <c r="EV22" s="231">
        <v>586662</v>
      </c>
      <c r="EW22" s="231">
        <v>18271</v>
      </c>
      <c r="EX22" s="229">
        <v>3.1099999999999999E-2</v>
      </c>
      <c r="EY22" s="229">
        <v>0.27089999999999997</v>
      </c>
    </row>
    <row r="23" spans="1:155" ht="17.25" thickBot="1" x14ac:dyDescent="0.3">
      <c r="A23" s="226">
        <v>46064</v>
      </c>
      <c r="B23" s="227" t="s">
        <v>172</v>
      </c>
      <c r="C23" s="227" t="s">
        <v>232</v>
      </c>
      <c r="D23" s="231">
        <v>1409.6</v>
      </c>
      <c r="E23" s="231">
        <v>1408.3</v>
      </c>
      <c r="F23" s="228">
        <v>1.3</v>
      </c>
      <c r="G23" s="229">
        <v>8.9999999999999998E-4</v>
      </c>
      <c r="H23" s="231">
        <v>1406.1</v>
      </c>
      <c r="I23" s="231">
        <v>1406.5</v>
      </c>
      <c r="J23" s="228">
        <v>-0.4</v>
      </c>
      <c r="K23" s="229">
        <v>-2.9999999999999997E-4</v>
      </c>
      <c r="L23" s="231">
        <v>1409.6</v>
      </c>
      <c r="M23" s="231">
        <v>1408.3</v>
      </c>
      <c r="N23" s="228">
        <v>1.3</v>
      </c>
      <c r="O23" s="229">
        <v>8.9999999999999998E-4</v>
      </c>
      <c r="P23" s="231">
        <v>1418.5</v>
      </c>
      <c r="Q23" s="231">
        <v>1416.8</v>
      </c>
      <c r="R23" s="228">
        <v>1.7</v>
      </c>
      <c r="S23" s="229">
        <v>1.1999999999999999E-3</v>
      </c>
      <c r="T23" s="231">
        <v>1427.5</v>
      </c>
      <c r="U23" s="231">
        <v>1426.6</v>
      </c>
      <c r="V23" s="228">
        <v>0.9</v>
      </c>
      <c r="W23" s="229">
        <v>5.9999999999999995E-4</v>
      </c>
      <c r="X23" s="228">
        <v>3.5</v>
      </c>
      <c r="Y23" s="228">
        <v>1.8</v>
      </c>
      <c r="Z23" s="228">
        <v>1.7</v>
      </c>
      <c r="AA23" s="229">
        <v>2.5000000000000001E-3</v>
      </c>
      <c r="AB23" s="228">
        <v>3.5</v>
      </c>
      <c r="AC23" s="228">
        <v>1.8</v>
      </c>
      <c r="AD23" s="228">
        <v>1.7</v>
      </c>
      <c r="AE23" s="229">
        <v>2.5000000000000001E-3</v>
      </c>
      <c r="AF23" s="228">
        <v>12.4</v>
      </c>
      <c r="AG23" s="228">
        <v>10.3</v>
      </c>
      <c r="AH23" s="228">
        <v>2.1</v>
      </c>
      <c r="AI23" s="229">
        <v>8.8000000000000005E-3</v>
      </c>
      <c r="AJ23" s="228">
        <v>21.4</v>
      </c>
      <c r="AK23" s="228">
        <v>20.100000000000001</v>
      </c>
      <c r="AL23" s="228">
        <v>1.3</v>
      </c>
      <c r="AM23" s="229">
        <v>1.52E-2</v>
      </c>
      <c r="AN23" s="231">
        <v>1408.99</v>
      </c>
      <c r="AO23" s="231">
        <v>1417.29</v>
      </c>
      <c r="AP23" s="228">
        <v>0</v>
      </c>
      <c r="AQ23" s="230">
        <v>15151</v>
      </c>
      <c r="AR23" s="230">
        <v>15603</v>
      </c>
      <c r="AS23" s="228">
        <v>-452</v>
      </c>
      <c r="AT23" s="229">
        <v>-2.9000000000000001E-2</v>
      </c>
      <c r="AU23" s="230">
        <v>14213</v>
      </c>
      <c r="AV23" s="230">
        <v>14883</v>
      </c>
      <c r="AW23" s="228">
        <v>-670</v>
      </c>
      <c r="AX23" s="229">
        <v>-4.4999999999999998E-2</v>
      </c>
      <c r="AY23" s="228">
        <v>870</v>
      </c>
      <c r="AZ23" s="228">
        <v>638</v>
      </c>
      <c r="BA23" s="228">
        <v>232</v>
      </c>
      <c r="BB23" s="229">
        <v>0.36359999999999998</v>
      </c>
      <c r="BC23" s="228">
        <v>68</v>
      </c>
      <c r="BD23" s="228">
        <v>82</v>
      </c>
      <c r="BE23" s="228">
        <v>-14</v>
      </c>
      <c r="BF23" s="229">
        <v>-0.17069999999999999</v>
      </c>
      <c r="BG23" s="230">
        <v>31080</v>
      </c>
      <c r="BH23" s="230">
        <v>47463</v>
      </c>
      <c r="BI23" s="230">
        <v>-16383</v>
      </c>
      <c r="BJ23" s="229">
        <v>-0.34520000000000001</v>
      </c>
      <c r="BK23" s="230">
        <v>22650</v>
      </c>
      <c r="BL23" s="230">
        <v>32614</v>
      </c>
      <c r="BM23" s="230">
        <v>-9964</v>
      </c>
      <c r="BN23" s="229">
        <v>-0.30549999999999999</v>
      </c>
      <c r="BO23" s="230">
        <v>68881</v>
      </c>
      <c r="BP23" s="230">
        <v>95680</v>
      </c>
      <c r="BQ23" s="230">
        <v>-26799</v>
      </c>
      <c r="BR23" s="229">
        <v>-0.28010000000000002</v>
      </c>
      <c r="BS23" s="230">
        <v>12063529</v>
      </c>
      <c r="BT23" s="230">
        <v>20123601</v>
      </c>
      <c r="BU23" s="230">
        <v>-8060072</v>
      </c>
      <c r="BV23" s="229">
        <v>-0.40050000000000002</v>
      </c>
      <c r="BW23" s="230">
        <v>123474400</v>
      </c>
      <c r="BX23" s="230">
        <v>121638300</v>
      </c>
      <c r="BY23" s="230">
        <v>1836100</v>
      </c>
      <c r="BZ23" s="229">
        <v>1.5100000000000001E-2</v>
      </c>
      <c r="CA23" s="230">
        <v>109717300</v>
      </c>
      <c r="CB23" s="230">
        <v>108059000</v>
      </c>
      <c r="CC23" s="230">
        <v>1658300</v>
      </c>
      <c r="CD23" s="229">
        <v>1.5299999999999999E-2</v>
      </c>
      <c r="CE23" s="230">
        <v>13399400</v>
      </c>
      <c r="CF23" s="230">
        <v>13224400</v>
      </c>
      <c r="CG23" s="230">
        <v>175000</v>
      </c>
      <c r="CH23" s="229">
        <v>1.32E-2</v>
      </c>
      <c r="CI23" s="230">
        <v>357700</v>
      </c>
      <c r="CJ23" s="230">
        <v>354900</v>
      </c>
      <c r="CK23" s="230">
        <v>2800</v>
      </c>
      <c r="CL23" s="229">
        <v>7.9000000000000008E-3</v>
      </c>
      <c r="CM23" s="230">
        <v>36578500</v>
      </c>
      <c r="CN23" s="230">
        <v>36665300</v>
      </c>
      <c r="CO23" s="230">
        <v>-86800</v>
      </c>
      <c r="CP23" s="229">
        <v>-2.3999999999999998E-3</v>
      </c>
      <c r="CQ23" s="230">
        <v>23844100</v>
      </c>
      <c r="CR23" s="230">
        <v>23507400</v>
      </c>
      <c r="CS23" s="230">
        <v>336700</v>
      </c>
      <c r="CT23" s="229">
        <v>1.43E-2</v>
      </c>
      <c r="CU23" s="230">
        <v>183897000</v>
      </c>
      <c r="CV23" s="230">
        <v>181811000</v>
      </c>
      <c r="CW23" s="230">
        <v>2086000</v>
      </c>
      <c r="CX23" s="229">
        <v>1.15E-2</v>
      </c>
      <c r="CY23" s="228">
        <v>14.98</v>
      </c>
      <c r="CZ23" s="228">
        <v>14.69</v>
      </c>
      <c r="DA23" s="228">
        <v>0.28999999999999998</v>
      </c>
      <c r="DB23" s="228">
        <v>0.28999999999999998</v>
      </c>
      <c r="DC23" s="228">
        <v>21.06</v>
      </c>
      <c r="DD23" s="228">
        <v>21.12</v>
      </c>
      <c r="DE23" s="228">
        <v>-6.08</v>
      </c>
      <c r="DF23" s="228">
        <v>-0.06</v>
      </c>
      <c r="DG23" s="228">
        <v>14.4</v>
      </c>
      <c r="DH23" s="228">
        <v>14.15</v>
      </c>
      <c r="DI23" s="228">
        <v>0.25</v>
      </c>
      <c r="DJ23" s="228">
        <v>0.25</v>
      </c>
      <c r="DK23" s="228">
        <v>15.79</v>
      </c>
      <c r="DL23" s="228">
        <v>15.47</v>
      </c>
      <c r="DM23" s="228">
        <v>0.32</v>
      </c>
      <c r="DN23" s="228">
        <v>0.32</v>
      </c>
      <c r="DO23" s="228">
        <v>0.65</v>
      </c>
      <c r="DP23" s="228">
        <v>0.64</v>
      </c>
      <c r="DQ23" s="228">
        <v>0.01</v>
      </c>
      <c r="DR23" s="229">
        <v>1.5599999999999999E-2</v>
      </c>
      <c r="DS23" s="231">
        <v>1410</v>
      </c>
      <c r="DT23" s="231">
        <v>1400</v>
      </c>
      <c r="DU23" s="228">
        <v>0.73</v>
      </c>
      <c r="DV23" s="228">
        <v>0.69</v>
      </c>
      <c r="DW23" s="228">
        <v>0.04</v>
      </c>
      <c r="DX23" s="229">
        <v>5.8000000000000003E-2</v>
      </c>
      <c r="DY23" s="229">
        <v>0.1114</v>
      </c>
      <c r="DZ23" s="230">
        <v>13579300</v>
      </c>
      <c r="EA23" s="229">
        <v>6.3E-3</v>
      </c>
      <c r="EB23" s="229">
        <v>0.1114</v>
      </c>
      <c r="EC23" s="228">
        <v>8.3000000000000007</v>
      </c>
      <c r="ED23" s="229">
        <v>5.8999999999999999E-3</v>
      </c>
      <c r="EE23" s="230">
        <v>8528166</v>
      </c>
      <c r="EF23" s="230">
        <v>12909031</v>
      </c>
      <c r="EG23" s="229">
        <v>-0.33939999999999998</v>
      </c>
      <c r="EH23" s="229">
        <v>0.70689999999999997</v>
      </c>
      <c r="EI23" s="231">
        <v>312146.28000000003</v>
      </c>
      <c r="EJ23" s="231">
        <v>220437.19</v>
      </c>
      <c r="EK23" s="231">
        <v>149491.96</v>
      </c>
      <c r="EL23" s="231">
        <v>17162</v>
      </c>
      <c r="EM23" s="231">
        <v>682075.43</v>
      </c>
      <c r="EN23" s="231">
        <v>946344.48</v>
      </c>
      <c r="EO23" s="231">
        <v>-264269.05</v>
      </c>
      <c r="EP23" s="229">
        <v>-0.27929999999999999</v>
      </c>
      <c r="EQ23" s="231">
        <v>517248</v>
      </c>
      <c r="ER23" s="231">
        <v>324391</v>
      </c>
      <c r="ES23" s="231">
        <v>1741752</v>
      </c>
      <c r="ET23" s="231">
        <v>580601807</v>
      </c>
      <c r="EU23" s="231">
        <v>2583391</v>
      </c>
      <c r="EV23" s="231">
        <v>2551585</v>
      </c>
      <c r="EW23" s="231">
        <v>31806</v>
      </c>
      <c r="EX23" s="229">
        <v>1.2500000000000001E-2</v>
      </c>
      <c r="EY23" s="229">
        <v>0.31669999999999998</v>
      </c>
    </row>
    <row r="24" spans="1:155" ht="17.25" thickBot="1" x14ac:dyDescent="0.3">
      <c r="A24" s="226">
        <v>46064</v>
      </c>
      <c r="B24" s="227" t="s">
        <v>215</v>
      </c>
      <c r="C24" s="227" t="s">
        <v>238</v>
      </c>
      <c r="D24" s="231">
        <v>5017.6000000000004</v>
      </c>
      <c r="E24" s="231">
        <v>4978.1000000000004</v>
      </c>
      <c r="F24" s="228">
        <v>39.5</v>
      </c>
      <c r="G24" s="229">
        <v>7.9000000000000008E-3</v>
      </c>
      <c r="H24" s="231">
        <v>5013.8</v>
      </c>
      <c r="I24" s="231">
        <v>4960.3999999999996</v>
      </c>
      <c r="J24" s="228">
        <v>53.4</v>
      </c>
      <c r="K24" s="229">
        <v>1.0800000000000001E-2</v>
      </c>
      <c r="L24" s="231">
        <v>5017.6000000000004</v>
      </c>
      <c r="M24" s="231">
        <v>4978.1000000000004</v>
      </c>
      <c r="N24" s="228">
        <v>39.5</v>
      </c>
      <c r="O24" s="229">
        <v>7.9000000000000008E-3</v>
      </c>
      <c r="P24" s="231">
        <v>5042.5</v>
      </c>
      <c r="Q24" s="231">
        <v>5004.7</v>
      </c>
      <c r="R24" s="228">
        <v>37.799999999999997</v>
      </c>
      <c r="S24" s="229">
        <v>7.6E-3</v>
      </c>
      <c r="T24" s="231">
        <v>5073.8999999999996</v>
      </c>
      <c r="U24" s="231">
        <v>5036</v>
      </c>
      <c r="V24" s="228">
        <v>37.9</v>
      </c>
      <c r="W24" s="229">
        <v>7.4999999999999997E-3</v>
      </c>
      <c r="X24" s="228">
        <v>3.8</v>
      </c>
      <c r="Y24" s="228">
        <v>17.7</v>
      </c>
      <c r="Z24" s="228">
        <v>-13.9</v>
      </c>
      <c r="AA24" s="229">
        <v>8.0000000000000004E-4</v>
      </c>
      <c r="AB24" s="228">
        <v>3.8</v>
      </c>
      <c r="AC24" s="228">
        <v>17.7</v>
      </c>
      <c r="AD24" s="228">
        <v>-13.9</v>
      </c>
      <c r="AE24" s="229">
        <v>8.0000000000000004E-4</v>
      </c>
      <c r="AF24" s="228">
        <v>28.7</v>
      </c>
      <c r="AG24" s="228">
        <v>44.3</v>
      </c>
      <c r="AH24" s="228">
        <v>-15.6</v>
      </c>
      <c r="AI24" s="229">
        <v>5.7000000000000002E-3</v>
      </c>
      <c r="AJ24" s="228">
        <v>60.1</v>
      </c>
      <c r="AK24" s="228">
        <v>75.599999999999994</v>
      </c>
      <c r="AL24" s="228">
        <v>-15.5</v>
      </c>
      <c r="AM24" s="229">
        <v>1.2E-2</v>
      </c>
      <c r="AN24" s="231">
        <v>5024.5600000000004</v>
      </c>
      <c r="AO24" s="231">
        <v>5051.54</v>
      </c>
      <c r="AP24" s="228">
        <v>0</v>
      </c>
      <c r="AQ24" s="230">
        <v>7444</v>
      </c>
      <c r="AR24" s="230">
        <v>8063</v>
      </c>
      <c r="AS24" s="228">
        <v>-619</v>
      </c>
      <c r="AT24" s="229">
        <v>-7.6799999999999993E-2</v>
      </c>
      <c r="AU24" s="230">
        <v>6992</v>
      </c>
      <c r="AV24" s="230">
        <v>7713</v>
      </c>
      <c r="AW24" s="228">
        <v>-721</v>
      </c>
      <c r="AX24" s="229">
        <v>-9.35E-2</v>
      </c>
      <c r="AY24" s="228">
        <v>406</v>
      </c>
      <c r="AZ24" s="228">
        <v>305</v>
      </c>
      <c r="BA24" s="228">
        <v>101</v>
      </c>
      <c r="BB24" s="229">
        <v>0.33110000000000001</v>
      </c>
      <c r="BC24" s="228">
        <v>46</v>
      </c>
      <c r="BD24" s="228">
        <v>45</v>
      </c>
      <c r="BE24" s="228">
        <v>1</v>
      </c>
      <c r="BF24" s="229">
        <v>2.2200000000000001E-2</v>
      </c>
      <c r="BG24" s="230">
        <v>39953</v>
      </c>
      <c r="BH24" s="230">
        <v>15563</v>
      </c>
      <c r="BI24" s="230">
        <v>24390</v>
      </c>
      <c r="BJ24" s="229">
        <v>1.5671999999999999</v>
      </c>
      <c r="BK24" s="230">
        <v>18664</v>
      </c>
      <c r="BL24" s="230">
        <v>11146</v>
      </c>
      <c r="BM24" s="230">
        <v>7518</v>
      </c>
      <c r="BN24" s="229">
        <v>0.67449999999999999</v>
      </c>
      <c r="BO24" s="230">
        <v>66061</v>
      </c>
      <c r="BP24" s="230">
        <v>34772</v>
      </c>
      <c r="BQ24" s="230">
        <v>31289</v>
      </c>
      <c r="BR24" s="229">
        <v>0.89980000000000004</v>
      </c>
      <c r="BS24" s="230">
        <v>546723</v>
      </c>
      <c r="BT24" s="230">
        <v>1148218</v>
      </c>
      <c r="BU24" s="230">
        <v>-601495</v>
      </c>
      <c r="BV24" s="229">
        <v>-0.52390000000000003</v>
      </c>
      <c r="BW24" s="230">
        <v>9291900</v>
      </c>
      <c r="BX24" s="230">
        <v>9377400</v>
      </c>
      <c r="BY24" s="230">
        <v>-85500</v>
      </c>
      <c r="BZ24" s="229">
        <v>-9.1000000000000004E-3</v>
      </c>
      <c r="CA24" s="230">
        <v>9124500</v>
      </c>
      <c r="CB24" s="230">
        <v>9216450</v>
      </c>
      <c r="CC24" s="230">
        <v>-91950</v>
      </c>
      <c r="CD24" s="229">
        <v>-0.01</v>
      </c>
      <c r="CE24" s="230">
        <v>147450</v>
      </c>
      <c r="CF24" s="230">
        <v>142950</v>
      </c>
      <c r="CG24" s="230">
        <v>4500</v>
      </c>
      <c r="CH24" s="229">
        <v>3.15E-2</v>
      </c>
      <c r="CI24" s="230">
        <v>19950</v>
      </c>
      <c r="CJ24" s="230">
        <v>18000</v>
      </c>
      <c r="CK24" s="230">
        <v>1950</v>
      </c>
      <c r="CL24" s="229">
        <v>0.10829999999999999</v>
      </c>
      <c r="CM24" s="230">
        <v>3189900</v>
      </c>
      <c r="CN24" s="230">
        <v>2998200</v>
      </c>
      <c r="CO24" s="230">
        <v>191700</v>
      </c>
      <c r="CP24" s="229">
        <v>6.3899999999999998E-2</v>
      </c>
      <c r="CQ24" s="230">
        <v>2721750</v>
      </c>
      <c r="CR24" s="230">
        <v>2582700</v>
      </c>
      <c r="CS24" s="230">
        <v>139050</v>
      </c>
      <c r="CT24" s="229">
        <v>5.3800000000000001E-2</v>
      </c>
      <c r="CU24" s="230">
        <v>15203550</v>
      </c>
      <c r="CV24" s="230">
        <v>14958300</v>
      </c>
      <c r="CW24" s="230">
        <v>245250</v>
      </c>
      <c r="CX24" s="229">
        <v>1.6400000000000001E-2</v>
      </c>
      <c r="CY24" s="228">
        <v>26.79</v>
      </c>
      <c r="CZ24" s="228">
        <v>25.5</v>
      </c>
      <c r="DA24" s="228">
        <v>1.29</v>
      </c>
      <c r="DB24" s="228">
        <v>1.29</v>
      </c>
      <c r="DC24" s="228">
        <v>33.86</v>
      </c>
      <c r="DD24" s="228">
        <v>33.92</v>
      </c>
      <c r="DE24" s="228">
        <v>-7.07</v>
      </c>
      <c r="DF24" s="228">
        <v>-0.06</v>
      </c>
      <c r="DG24" s="228">
        <v>25.86</v>
      </c>
      <c r="DH24" s="228">
        <v>24.01</v>
      </c>
      <c r="DI24" s="228">
        <v>1.85</v>
      </c>
      <c r="DJ24" s="228">
        <v>1.85</v>
      </c>
      <c r="DK24" s="228">
        <v>28.8</v>
      </c>
      <c r="DL24" s="228">
        <v>27.58</v>
      </c>
      <c r="DM24" s="228">
        <v>1.22</v>
      </c>
      <c r="DN24" s="228">
        <v>1.22</v>
      </c>
      <c r="DO24" s="228">
        <v>0.85</v>
      </c>
      <c r="DP24" s="228">
        <v>0.86</v>
      </c>
      <c r="DQ24" s="228">
        <v>-0.01</v>
      </c>
      <c r="DR24" s="229">
        <v>-1.1599999999999999E-2</v>
      </c>
      <c r="DS24" s="231">
        <v>5000</v>
      </c>
      <c r="DT24" s="231">
        <v>4700</v>
      </c>
      <c r="DU24" s="228">
        <v>0.47</v>
      </c>
      <c r="DV24" s="228">
        <v>0.72</v>
      </c>
      <c r="DW24" s="228">
        <v>-0.25</v>
      </c>
      <c r="DX24" s="229">
        <v>-0.34720000000000001</v>
      </c>
      <c r="DY24" s="229">
        <v>1.7999999999999999E-2</v>
      </c>
      <c r="DZ24" s="230">
        <v>160950</v>
      </c>
      <c r="EA24" s="229">
        <v>5.0000000000000001E-3</v>
      </c>
      <c r="EB24" s="229">
        <v>1.7999999999999999E-2</v>
      </c>
      <c r="EC24" s="228">
        <v>26.98</v>
      </c>
      <c r="ED24" s="229">
        <v>5.4000000000000003E-3</v>
      </c>
      <c r="EE24" s="230">
        <v>213357</v>
      </c>
      <c r="EF24" s="230">
        <v>799520</v>
      </c>
      <c r="EG24" s="229">
        <v>-0.73309999999999997</v>
      </c>
      <c r="EH24" s="229">
        <v>0.39019999999999999</v>
      </c>
      <c r="EI24" s="231">
        <v>312084.15999999997</v>
      </c>
      <c r="EJ24" s="231">
        <v>137284.71</v>
      </c>
      <c r="EK24" s="231">
        <v>56124.6</v>
      </c>
      <c r="EL24" s="231">
        <v>8161</v>
      </c>
      <c r="EM24" s="231">
        <v>505493.47</v>
      </c>
      <c r="EN24" s="231">
        <v>261769.86</v>
      </c>
      <c r="EO24" s="231">
        <v>243723.61</v>
      </c>
      <c r="EP24" s="229">
        <v>0.93110000000000004</v>
      </c>
      <c r="EQ24" s="231">
        <v>161383</v>
      </c>
      <c r="ER24" s="231">
        <v>130746</v>
      </c>
      <c r="ES24" s="231">
        <v>466278</v>
      </c>
      <c r="ET24" s="231">
        <v>33874835</v>
      </c>
      <c r="EU24" s="231">
        <v>758407</v>
      </c>
      <c r="EV24" s="231">
        <v>741466</v>
      </c>
      <c r="EW24" s="231">
        <v>16941</v>
      </c>
      <c r="EX24" s="229">
        <v>2.2800000000000001E-2</v>
      </c>
      <c r="EY24" s="229">
        <v>0.44879999999999998</v>
      </c>
    </row>
    <row r="25" spans="1:155" ht="17.25" thickBot="1" x14ac:dyDescent="0.3">
      <c r="A25" s="226">
        <v>46064</v>
      </c>
      <c r="B25" s="227" t="s">
        <v>221</v>
      </c>
      <c r="C25" s="227" t="s">
        <v>240</v>
      </c>
      <c r="D25" s="231">
        <v>1472.4</v>
      </c>
      <c r="E25" s="231">
        <v>1501.7</v>
      </c>
      <c r="F25" s="228">
        <v>-29.3</v>
      </c>
      <c r="G25" s="229">
        <v>-1.95E-2</v>
      </c>
      <c r="H25" s="231">
        <v>1471.9</v>
      </c>
      <c r="I25" s="231">
        <v>1497.8</v>
      </c>
      <c r="J25" s="228">
        <v>-25.9</v>
      </c>
      <c r="K25" s="229">
        <v>-1.7299999999999999E-2</v>
      </c>
      <c r="L25" s="231">
        <v>1472.4</v>
      </c>
      <c r="M25" s="231">
        <v>1501.7</v>
      </c>
      <c r="N25" s="228">
        <v>-29.3</v>
      </c>
      <c r="O25" s="229">
        <v>-1.95E-2</v>
      </c>
      <c r="P25" s="231">
        <v>1481</v>
      </c>
      <c r="Q25" s="231">
        <v>1510.4</v>
      </c>
      <c r="R25" s="228">
        <v>-29.4</v>
      </c>
      <c r="S25" s="229">
        <v>-1.95E-2</v>
      </c>
      <c r="T25" s="231">
        <v>1490.6</v>
      </c>
      <c r="U25" s="231">
        <v>1520</v>
      </c>
      <c r="V25" s="228">
        <v>-29.4</v>
      </c>
      <c r="W25" s="229">
        <v>-1.9300000000000001E-2</v>
      </c>
      <c r="X25" s="228">
        <v>0.5</v>
      </c>
      <c r="Y25" s="228">
        <v>3.9</v>
      </c>
      <c r="Z25" s="228">
        <v>-3.4</v>
      </c>
      <c r="AA25" s="229">
        <v>2.9999999999999997E-4</v>
      </c>
      <c r="AB25" s="228">
        <v>0.5</v>
      </c>
      <c r="AC25" s="228">
        <v>3.9</v>
      </c>
      <c r="AD25" s="228">
        <v>-3.4</v>
      </c>
      <c r="AE25" s="229">
        <v>2.9999999999999997E-4</v>
      </c>
      <c r="AF25" s="228">
        <v>9.1</v>
      </c>
      <c r="AG25" s="228">
        <v>12.6</v>
      </c>
      <c r="AH25" s="228">
        <v>-3.5</v>
      </c>
      <c r="AI25" s="229">
        <v>6.1999999999999998E-3</v>
      </c>
      <c r="AJ25" s="228">
        <v>18.7</v>
      </c>
      <c r="AK25" s="228">
        <v>22.2</v>
      </c>
      <c r="AL25" s="228">
        <v>-3.5</v>
      </c>
      <c r="AM25" s="229">
        <v>1.2699999999999999E-2</v>
      </c>
      <c r="AN25" s="231">
        <v>1485.31</v>
      </c>
      <c r="AO25" s="231">
        <v>1495.28</v>
      </c>
      <c r="AP25" s="228">
        <v>0</v>
      </c>
      <c r="AQ25" s="230">
        <v>27281</v>
      </c>
      <c r="AR25" s="230">
        <v>24968</v>
      </c>
      <c r="AS25" s="230">
        <v>2313</v>
      </c>
      <c r="AT25" s="229">
        <v>9.2600000000000002E-2</v>
      </c>
      <c r="AU25" s="230">
        <v>24531</v>
      </c>
      <c r="AV25" s="230">
        <v>22269</v>
      </c>
      <c r="AW25" s="230">
        <v>2262</v>
      </c>
      <c r="AX25" s="229">
        <v>0.1016</v>
      </c>
      <c r="AY25" s="230">
        <v>2279</v>
      </c>
      <c r="AZ25" s="230">
        <v>2330</v>
      </c>
      <c r="BA25" s="228">
        <v>-51</v>
      </c>
      <c r="BB25" s="229">
        <v>-2.1899999999999999E-2</v>
      </c>
      <c r="BC25" s="228">
        <v>471</v>
      </c>
      <c r="BD25" s="228">
        <v>369</v>
      </c>
      <c r="BE25" s="228">
        <v>102</v>
      </c>
      <c r="BF25" s="229">
        <v>0.27639999999999998</v>
      </c>
      <c r="BG25" s="230">
        <v>144220</v>
      </c>
      <c r="BH25" s="230">
        <v>128931</v>
      </c>
      <c r="BI25" s="230">
        <v>15289</v>
      </c>
      <c r="BJ25" s="229">
        <v>0.1186</v>
      </c>
      <c r="BK25" s="230">
        <v>83557</v>
      </c>
      <c r="BL25" s="230">
        <v>65310</v>
      </c>
      <c r="BM25" s="230">
        <v>18247</v>
      </c>
      <c r="BN25" s="229">
        <v>0.27939999999999998</v>
      </c>
      <c r="BO25" s="230">
        <v>255058</v>
      </c>
      <c r="BP25" s="230">
        <v>219209</v>
      </c>
      <c r="BQ25" s="230">
        <v>35849</v>
      </c>
      <c r="BR25" s="229">
        <v>0.16350000000000001</v>
      </c>
      <c r="BS25" s="230">
        <v>8302983</v>
      </c>
      <c r="BT25" s="230">
        <v>8879457</v>
      </c>
      <c r="BU25" s="230">
        <v>-576474</v>
      </c>
      <c r="BV25" s="229">
        <v>-6.4899999999999999E-2</v>
      </c>
      <c r="BW25" s="230">
        <v>75071200</v>
      </c>
      <c r="BX25" s="230">
        <v>75501600</v>
      </c>
      <c r="BY25" s="230">
        <v>-430400</v>
      </c>
      <c r="BZ25" s="229">
        <v>-5.7000000000000002E-3</v>
      </c>
      <c r="CA25" s="230">
        <v>69483600</v>
      </c>
      <c r="CB25" s="230">
        <v>70448800</v>
      </c>
      <c r="CC25" s="230">
        <v>-965200</v>
      </c>
      <c r="CD25" s="229">
        <v>-1.37E-2</v>
      </c>
      <c r="CE25" s="230">
        <v>4841600</v>
      </c>
      <c r="CF25" s="230">
        <v>4446400</v>
      </c>
      <c r="CG25" s="230">
        <v>395200</v>
      </c>
      <c r="CH25" s="229">
        <v>8.8900000000000007E-2</v>
      </c>
      <c r="CI25" s="230">
        <v>746000</v>
      </c>
      <c r="CJ25" s="230">
        <v>606400</v>
      </c>
      <c r="CK25" s="230">
        <v>139600</v>
      </c>
      <c r="CL25" s="229">
        <v>0.23019999999999999</v>
      </c>
      <c r="CM25" s="230">
        <v>51607200</v>
      </c>
      <c r="CN25" s="230">
        <v>49408400</v>
      </c>
      <c r="CO25" s="230">
        <v>2198800</v>
      </c>
      <c r="CP25" s="229">
        <v>4.4499999999999998E-2</v>
      </c>
      <c r="CQ25" s="230">
        <v>22626000</v>
      </c>
      <c r="CR25" s="230">
        <v>22306400</v>
      </c>
      <c r="CS25" s="230">
        <v>319600</v>
      </c>
      <c r="CT25" s="229">
        <v>1.43E-2</v>
      </c>
      <c r="CU25" s="230">
        <v>149304400</v>
      </c>
      <c r="CV25" s="230">
        <v>147216400</v>
      </c>
      <c r="CW25" s="230">
        <v>2088000</v>
      </c>
      <c r="CX25" s="229">
        <v>1.4200000000000001E-2</v>
      </c>
      <c r="CY25" s="228">
        <v>33.229999999999997</v>
      </c>
      <c r="CZ25" s="228">
        <v>31.36</v>
      </c>
      <c r="DA25" s="228">
        <v>1.87</v>
      </c>
      <c r="DB25" s="228">
        <v>1.87</v>
      </c>
      <c r="DC25" s="228">
        <v>29.87</v>
      </c>
      <c r="DD25" s="228">
        <v>29.85</v>
      </c>
      <c r="DE25" s="228">
        <v>3.36</v>
      </c>
      <c r="DF25" s="228">
        <v>0.02</v>
      </c>
      <c r="DG25" s="228">
        <v>33.119999999999997</v>
      </c>
      <c r="DH25" s="228">
        <v>31.29</v>
      </c>
      <c r="DI25" s="228">
        <v>1.83</v>
      </c>
      <c r="DJ25" s="228">
        <v>1.83</v>
      </c>
      <c r="DK25" s="228">
        <v>33.42</v>
      </c>
      <c r="DL25" s="228">
        <v>31.49</v>
      </c>
      <c r="DM25" s="228">
        <v>1.93</v>
      </c>
      <c r="DN25" s="228">
        <v>1.93</v>
      </c>
      <c r="DO25" s="228">
        <v>0.44</v>
      </c>
      <c r="DP25" s="228">
        <v>0.45</v>
      </c>
      <c r="DQ25" s="228">
        <v>-0.01</v>
      </c>
      <c r="DR25" s="229">
        <v>-2.2200000000000001E-2</v>
      </c>
      <c r="DS25" s="231">
        <v>1600</v>
      </c>
      <c r="DT25" s="231">
        <v>1400</v>
      </c>
      <c r="DU25" s="228">
        <v>0.57999999999999996</v>
      </c>
      <c r="DV25" s="228">
        <v>0.51</v>
      </c>
      <c r="DW25" s="228">
        <v>7.0000000000000007E-2</v>
      </c>
      <c r="DX25" s="229">
        <v>0.13730000000000001</v>
      </c>
      <c r="DY25" s="229">
        <v>7.4399999999999994E-2</v>
      </c>
      <c r="DZ25" s="230">
        <v>5052800</v>
      </c>
      <c r="EA25" s="229">
        <v>5.7999999999999996E-3</v>
      </c>
      <c r="EB25" s="229">
        <v>7.4399999999999994E-2</v>
      </c>
      <c r="EC25" s="228">
        <v>9.9700000000000006</v>
      </c>
      <c r="ED25" s="229">
        <v>6.7000000000000002E-3</v>
      </c>
      <c r="EE25" s="230">
        <v>4586882</v>
      </c>
      <c r="EF25" s="230">
        <v>4175061</v>
      </c>
      <c r="EG25" s="229">
        <v>9.8599999999999993E-2</v>
      </c>
      <c r="EH25" s="229">
        <v>0.5524</v>
      </c>
      <c r="EI25" s="231">
        <v>915144.08</v>
      </c>
      <c r="EJ25" s="231">
        <v>487382.55</v>
      </c>
      <c r="EK25" s="231">
        <v>162206.06</v>
      </c>
      <c r="EL25" s="231">
        <v>40896</v>
      </c>
      <c r="EM25" s="231">
        <v>1564732.69</v>
      </c>
      <c r="EN25" s="231">
        <v>1363499.1</v>
      </c>
      <c r="EO25" s="231">
        <v>201233.59</v>
      </c>
      <c r="EP25" s="229">
        <v>0.14760000000000001</v>
      </c>
      <c r="EQ25" s="231">
        <v>832433</v>
      </c>
      <c r="ER25" s="231">
        <v>336027</v>
      </c>
      <c r="ES25" s="231">
        <v>1105900</v>
      </c>
      <c r="ET25" s="231">
        <v>368703409</v>
      </c>
      <c r="EU25" s="231">
        <v>2274360</v>
      </c>
      <c r="EV25" s="231">
        <v>2267276</v>
      </c>
      <c r="EW25" s="231">
        <v>7084</v>
      </c>
      <c r="EX25" s="229">
        <v>3.0999999999999999E-3</v>
      </c>
      <c r="EY25" s="229">
        <v>0.40489999999999998</v>
      </c>
    </row>
    <row r="26" spans="1:155" ht="17.25" thickBot="1" x14ac:dyDescent="0.3">
      <c r="A26" s="226">
        <v>46064</v>
      </c>
      <c r="B26" s="227" t="s">
        <v>168</v>
      </c>
      <c r="C26" s="227" t="s">
        <v>242</v>
      </c>
      <c r="D26" s="228">
        <v>319.14999999999998</v>
      </c>
      <c r="E26" s="228">
        <v>321.89999999999998</v>
      </c>
      <c r="F26" s="228">
        <v>-2.75</v>
      </c>
      <c r="G26" s="229">
        <v>-8.5000000000000006E-3</v>
      </c>
      <c r="H26" s="228">
        <v>318.25</v>
      </c>
      <c r="I26" s="228">
        <v>321.39999999999998</v>
      </c>
      <c r="J26" s="228">
        <v>-3.15</v>
      </c>
      <c r="K26" s="229">
        <v>-9.7999999999999997E-3</v>
      </c>
      <c r="L26" s="228">
        <v>319.14999999999998</v>
      </c>
      <c r="M26" s="228">
        <v>321.89999999999998</v>
      </c>
      <c r="N26" s="228">
        <v>-2.75</v>
      </c>
      <c r="O26" s="229">
        <v>-8.5000000000000006E-3</v>
      </c>
      <c r="P26" s="228">
        <v>321.2</v>
      </c>
      <c r="Q26" s="228">
        <v>324</v>
      </c>
      <c r="R26" s="228">
        <v>-2.8</v>
      </c>
      <c r="S26" s="229">
        <v>-8.6E-3</v>
      </c>
      <c r="T26" s="228">
        <v>323.14999999999998</v>
      </c>
      <c r="U26" s="228">
        <v>326</v>
      </c>
      <c r="V26" s="228">
        <v>-2.85</v>
      </c>
      <c r="W26" s="229">
        <v>-8.6999999999999994E-3</v>
      </c>
      <c r="X26" s="228">
        <v>0.9</v>
      </c>
      <c r="Y26" s="228">
        <v>0.5</v>
      </c>
      <c r="Z26" s="228">
        <v>0.4</v>
      </c>
      <c r="AA26" s="229">
        <v>2.8E-3</v>
      </c>
      <c r="AB26" s="228">
        <v>0.9</v>
      </c>
      <c r="AC26" s="228">
        <v>0.5</v>
      </c>
      <c r="AD26" s="228">
        <v>0.4</v>
      </c>
      <c r="AE26" s="229">
        <v>2.8E-3</v>
      </c>
      <c r="AF26" s="228">
        <v>2.95</v>
      </c>
      <c r="AG26" s="228">
        <v>2.6</v>
      </c>
      <c r="AH26" s="228">
        <v>0.35</v>
      </c>
      <c r="AI26" s="229">
        <v>9.2999999999999992E-3</v>
      </c>
      <c r="AJ26" s="228">
        <v>4.9000000000000004</v>
      </c>
      <c r="AK26" s="228">
        <v>4.5999999999999996</v>
      </c>
      <c r="AL26" s="228">
        <v>0.3</v>
      </c>
      <c r="AM26" s="229">
        <v>1.54E-2</v>
      </c>
      <c r="AN26" s="228">
        <v>319.25</v>
      </c>
      <c r="AO26" s="228">
        <v>321.33999999999997</v>
      </c>
      <c r="AP26" s="228">
        <v>0</v>
      </c>
      <c r="AQ26" s="230">
        <v>12223</v>
      </c>
      <c r="AR26" s="230">
        <v>10133</v>
      </c>
      <c r="AS26" s="230">
        <v>2090</v>
      </c>
      <c r="AT26" s="229">
        <v>0.20630000000000001</v>
      </c>
      <c r="AU26" s="230">
        <v>9912</v>
      </c>
      <c r="AV26" s="230">
        <v>8526</v>
      </c>
      <c r="AW26" s="230">
        <v>1386</v>
      </c>
      <c r="AX26" s="229">
        <v>0.16259999999999999</v>
      </c>
      <c r="AY26" s="230">
        <v>1996</v>
      </c>
      <c r="AZ26" s="230">
        <v>1334</v>
      </c>
      <c r="BA26" s="228">
        <v>662</v>
      </c>
      <c r="BB26" s="229">
        <v>0.49630000000000002</v>
      </c>
      <c r="BC26" s="228">
        <v>315</v>
      </c>
      <c r="BD26" s="228">
        <v>273</v>
      </c>
      <c r="BE26" s="228">
        <v>42</v>
      </c>
      <c r="BF26" s="229">
        <v>0.15379999999999999</v>
      </c>
      <c r="BG26" s="230">
        <v>98829</v>
      </c>
      <c r="BH26" s="230">
        <v>74544</v>
      </c>
      <c r="BI26" s="230">
        <v>24285</v>
      </c>
      <c r="BJ26" s="229">
        <v>0.32579999999999998</v>
      </c>
      <c r="BK26" s="230">
        <v>45794</v>
      </c>
      <c r="BL26" s="230">
        <v>30263</v>
      </c>
      <c r="BM26" s="230">
        <v>15531</v>
      </c>
      <c r="BN26" s="229">
        <v>0.51319999999999999</v>
      </c>
      <c r="BO26" s="230">
        <v>156846</v>
      </c>
      <c r="BP26" s="230">
        <v>114940</v>
      </c>
      <c r="BQ26" s="230">
        <v>41906</v>
      </c>
      <c r="BR26" s="229">
        <v>0.36459999999999998</v>
      </c>
      <c r="BS26" s="230">
        <v>25577376</v>
      </c>
      <c r="BT26" s="230">
        <v>11920303</v>
      </c>
      <c r="BU26" s="230">
        <v>13657073</v>
      </c>
      <c r="BV26" s="229">
        <v>1.1456999999999999</v>
      </c>
      <c r="BW26" s="230">
        <v>201121600</v>
      </c>
      <c r="BX26" s="230">
        <v>198185600</v>
      </c>
      <c r="BY26" s="230">
        <v>2936000</v>
      </c>
      <c r="BZ26" s="229">
        <v>1.4800000000000001E-2</v>
      </c>
      <c r="CA26" s="230">
        <v>178345600</v>
      </c>
      <c r="CB26" s="230">
        <v>177401600</v>
      </c>
      <c r="CC26" s="230">
        <v>944000</v>
      </c>
      <c r="CD26" s="229">
        <v>5.3E-3</v>
      </c>
      <c r="CE26" s="230">
        <v>19305600</v>
      </c>
      <c r="CF26" s="230">
        <v>17472000</v>
      </c>
      <c r="CG26" s="230">
        <v>1833600</v>
      </c>
      <c r="CH26" s="229">
        <v>0.10489999999999999</v>
      </c>
      <c r="CI26" s="230">
        <v>3470400</v>
      </c>
      <c r="CJ26" s="230">
        <v>3312000</v>
      </c>
      <c r="CK26" s="230">
        <v>158400</v>
      </c>
      <c r="CL26" s="229">
        <v>4.7800000000000002E-2</v>
      </c>
      <c r="CM26" s="230">
        <v>195238400</v>
      </c>
      <c r="CN26" s="230">
        <v>187168000</v>
      </c>
      <c r="CO26" s="230">
        <v>8070400</v>
      </c>
      <c r="CP26" s="229">
        <v>4.3099999999999999E-2</v>
      </c>
      <c r="CQ26" s="230">
        <v>90598400</v>
      </c>
      <c r="CR26" s="230">
        <v>90793600</v>
      </c>
      <c r="CS26" s="230">
        <v>-195200</v>
      </c>
      <c r="CT26" s="229">
        <v>-2.0999999999999999E-3</v>
      </c>
      <c r="CU26" s="230">
        <v>486958400</v>
      </c>
      <c r="CV26" s="230">
        <v>476147200</v>
      </c>
      <c r="CW26" s="230">
        <v>10811200</v>
      </c>
      <c r="CX26" s="229">
        <v>2.2700000000000001E-2</v>
      </c>
      <c r="CY26" s="228">
        <v>22.86</v>
      </c>
      <c r="CZ26" s="228">
        <v>23.16</v>
      </c>
      <c r="DA26" s="228">
        <v>-0.3</v>
      </c>
      <c r="DB26" s="228">
        <v>-0.3</v>
      </c>
      <c r="DC26" s="228">
        <v>24.42</v>
      </c>
      <c r="DD26" s="228">
        <v>24.45</v>
      </c>
      <c r="DE26" s="228">
        <v>-1.56</v>
      </c>
      <c r="DF26" s="228">
        <v>-0.03</v>
      </c>
      <c r="DG26" s="228">
        <v>23.75</v>
      </c>
      <c r="DH26" s="228">
        <v>23.76</v>
      </c>
      <c r="DI26" s="228">
        <v>-0.01</v>
      </c>
      <c r="DJ26" s="228">
        <v>-0.01</v>
      </c>
      <c r="DK26" s="228">
        <v>20.93</v>
      </c>
      <c r="DL26" s="228">
        <v>21.7</v>
      </c>
      <c r="DM26" s="228">
        <v>-0.77</v>
      </c>
      <c r="DN26" s="228">
        <v>-0.77</v>
      </c>
      <c r="DO26" s="228">
        <v>0.46</v>
      </c>
      <c r="DP26" s="228">
        <v>0.49</v>
      </c>
      <c r="DQ26" s="228">
        <v>-0.03</v>
      </c>
      <c r="DR26" s="229">
        <v>-6.1199999999999997E-2</v>
      </c>
      <c r="DS26" s="228">
        <v>330</v>
      </c>
      <c r="DT26" s="228">
        <v>293.5</v>
      </c>
      <c r="DU26" s="228">
        <v>0.46</v>
      </c>
      <c r="DV26" s="228">
        <v>0.41</v>
      </c>
      <c r="DW26" s="228">
        <v>0.05</v>
      </c>
      <c r="DX26" s="229">
        <v>0.122</v>
      </c>
      <c r="DY26" s="229">
        <v>0.1132</v>
      </c>
      <c r="DZ26" s="230">
        <v>20784000</v>
      </c>
      <c r="EA26" s="229">
        <v>6.4000000000000003E-3</v>
      </c>
      <c r="EB26" s="229">
        <v>0.1132</v>
      </c>
      <c r="EC26" s="228">
        <v>2.09</v>
      </c>
      <c r="ED26" s="229">
        <v>6.4999999999999997E-3</v>
      </c>
      <c r="EE26" s="230">
        <v>18613433</v>
      </c>
      <c r="EF26" s="230">
        <v>6246846</v>
      </c>
      <c r="EG26" s="229">
        <v>1.9797</v>
      </c>
      <c r="EH26" s="229">
        <v>0.72770000000000001</v>
      </c>
      <c r="EI26" s="231">
        <v>531292.86</v>
      </c>
      <c r="EJ26" s="231">
        <v>231688.15</v>
      </c>
      <c r="EK26" s="231">
        <v>62523.08</v>
      </c>
      <c r="EL26" s="231">
        <v>20728</v>
      </c>
      <c r="EM26" s="231">
        <v>825504.09</v>
      </c>
      <c r="EN26" s="231">
        <v>611869.15</v>
      </c>
      <c r="EO26" s="231">
        <v>213634.94</v>
      </c>
      <c r="EP26" s="229">
        <v>0.34920000000000001</v>
      </c>
      <c r="EQ26" s="231">
        <v>660886</v>
      </c>
      <c r="ER26" s="231">
        <v>285252</v>
      </c>
      <c r="ES26" s="231">
        <v>642414</v>
      </c>
      <c r="ET26" s="231">
        <v>1252401670</v>
      </c>
      <c r="EU26" s="231">
        <v>1588551</v>
      </c>
      <c r="EV26" s="231">
        <v>1558901</v>
      </c>
      <c r="EW26" s="231">
        <v>29650</v>
      </c>
      <c r="EX26" s="229">
        <v>1.9E-2</v>
      </c>
      <c r="EY26" s="229">
        <v>0.38879999999999998</v>
      </c>
    </row>
    <row r="27" spans="1:155" ht="17.25" thickBot="1" x14ac:dyDescent="0.3">
      <c r="A27" s="226">
        <v>46064</v>
      </c>
      <c r="B27" s="227" t="s">
        <v>175</v>
      </c>
      <c r="C27" s="227" t="s">
        <v>570</v>
      </c>
      <c r="D27" s="228">
        <v>270.85000000000002</v>
      </c>
      <c r="E27" s="228">
        <v>270.85000000000002</v>
      </c>
      <c r="F27" s="228">
        <v>0</v>
      </c>
      <c r="G27" s="229">
        <v>0</v>
      </c>
      <c r="H27" s="228">
        <v>270.3</v>
      </c>
      <c r="I27" s="228">
        <v>270.2</v>
      </c>
      <c r="J27" s="228">
        <v>0.1</v>
      </c>
      <c r="K27" s="229">
        <v>4.0000000000000002E-4</v>
      </c>
      <c r="L27" s="228">
        <v>270.85000000000002</v>
      </c>
      <c r="M27" s="228">
        <v>270.85000000000002</v>
      </c>
      <c r="N27" s="228">
        <v>0</v>
      </c>
      <c r="O27" s="229">
        <v>0</v>
      </c>
      <c r="P27" s="228">
        <v>272.55</v>
      </c>
      <c r="Q27" s="228">
        <v>272.7</v>
      </c>
      <c r="R27" s="228">
        <v>-0.15</v>
      </c>
      <c r="S27" s="229">
        <v>-5.9999999999999995E-4</v>
      </c>
      <c r="T27" s="228">
        <v>274.39999999999998</v>
      </c>
      <c r="U27" s="228">
        <v>274.39999999999998</v>
      </c>
      <c r="V27" s="228">
        <v>0</v>
      </c>
      <c r="W27" s="229">
        <v>0</v>
      </c>
      <c r="X27" s="228">
        <v>0.55000000000000004</v>
      </c>
      <c r="Y27" s="228">
        <v>0.65</v>
      </c>
      <c r="Z27" s="228">
        <v>-0.1</v>
      </c>
      <c r="AA27" s="229">
        <v>2E-3</v>
      </c>
      <c r="AB27" s="228">
        <v>0.55000000000000004</v>
      </c>
      <c r="AC27" s="228">
        <v>0.65</v>
      </c>
      <c r="AD27" s="228">
        <v>-0.1</v>
      </c>
      <c r="AE27" s="229">
        <v>2E-3</v>
      </c>
      <c r="AF27" s="228">
        <v>2.25</v>
      </c>
      <c r="AG27" s="228">
        <v>2.5</v>
      </c>
      <c r="AH27" s="228">
        <v>-0.25</v>
      </c>
      <c r="AI27" s="229">
        <v>8.3000000000000001E-3</v>
      </c>
      <c r="AJ27" s="228">
        <v>4.0999999999999996</v>
      </c>
      <c r="AK27" s="228">
        <v>4.2</v>
      </c>
      <c r="AL27" s="228">
        <v>-0.1</v>
      </c>
      <c r="AM27" s="229">
        <v>1.52E-2</v>
      </c>
      <c r="AN27" s="228">
        <v>270.39</v>
      </c>
      <c r="AO27" s="228">
        <v>272.10000000000002</v>
      </c>
      <c r="AP27" s="228">
        <v>0</v>
      </c>
      <c r="AQ27" s="230">
        <v>5204</v>
      </c>
      <c r="AR27" s="230">
        <v>6536</v>
      </c>
      <c r="AS27" s="230">
        <v>-1332</v>
      </c>
      <c r="AT27" s="229">
        <v>-0.20380000000000001</v>
      </c>
      <c r="AU27" s="230">
        <v>4428</v>
      </c>
      <c r="AV27" s="230">
        <v>5405</v>
      </c>
      <c r="AW27" s="228">
        <v>-977</v>
      </c>
      <c r="AX27" s="229">
        <v>-0.18079999999999999</v>
      </c>
      <c r="AY27" s="228">
        <v>650</v>
      </c>
      <c r="AZ27" s="228">
        <v>939</v>
      </c>
      <c r="BA27" s="228">
        <v>-289</v>
      </c>
      <c r="BB27" s="229">
        <v>-0.30780000000000002</v>
      </c>
      <c r="BC27" s="228">
        <v>126</v>
      </c>
      <c r="BD27" s="228">
        <v>192</v>
      </c>
      <c r="BE27" s="228">
        <v>-66</v>
      </c>
      <c r="BF27" s="229">
        <v>-0.34379999999999999</v>
      </c>
      <c r="BG27" s="230">
        <v>20970</v>
      </c>
      <c r="BH27" s="230">
        <v>28485</v>
      </c>
      <c r="BI27" s="230">
        <v>-7515</v>
      </c>
      <c r="BJ27" s="229">
        <v>-0.26379999999999998</v>
      </c>
      <c r="BK27" s="230">
        <v>7162</v>
      </c>
      <c r="BL27" s="230">
        <v>10953</v>
      </c>
      <c r="BM27" s="230">
        <v>-3791</v>
      </c>
      <c r="BN27" s="229">
        <v>-0.34610000000000002</v>
      </c>
      <c r="BO27" s="230">
        <v>33336</v>
      </c>
      <c r="BP27" s="230">
        <v>45974</v>
      </c>
      <c r="BQ27" s="230">
        <v>-12638</v>
      </c>
      <c r="BR27" s="229">
        <v>-0.27489999999999998</v>
      </c>
      <c r="BS27" s="230">
        <v>7243308</v>
      </c>
      <c r="BT27" s="230">
        <v>13544194</v>
      </c>
      <c r="BU27" s="230">
        <v>-6300886</v>
      </c>
      <c r="BV27" s="229">
        <v>-0.4652</v>
      </c>
      <c r="BW27" s="230">
        <v>169200000</v>
      </c>
      <c r="BX27" s="230">
        <v>168936800</v>
      </c>
      <c r="BY27" s="230">
        <v>263200</v>
      </c>
      <c r="BZ27" s="229">
        <v>1.6000000000000001E-3</v>
      </c>
      <c r="CA27" s="230">
        <v>153997850</v>
      </c>
      <c r="CB27" s="230">
        <v>154583000</v>
      </c>
      <c r="CC27" s="230">
        <v>-585150</v>
      </c>
      <c r="CD27" s="229">
        <v>-3.8E-3</v>
      </c>
      <c r="CE27" s="230">
        <v>13148250</v>
      </c>
      <c r="CF27" s="230">
        <v>12426800</v>
      </c>
      <c r="CG27" s="230">
        <v>721450</v>
      </c>
      <c r="CH27" s="229">
        <v>5.8099999999999999E-2</v>
      </c>
      <c r="CI27" s="230">
        <v>2053900</v>
      </c>
      <c r="CJ27" s="230">
        <v>1927000</v>
      </c>
      <c r="CK27" s="230">
        <v>126900</v>
      </c>
      <c r="CL27" s="229">
        <v>6.59E-2</v>
      </c>
      <c r="CM27" s="230">
        <v>76957800</v>
      </c>
      <c r="CN27" s="230">
        <v>81584950</v>
      </c>
      <c r="CO27" s="230">
        <v>-4627150</v>
      </c>
      <c r="CP27" s="229">
        <v>-5.67E-2</v>
      </c>
      <c r="CQ27" s="230">
        <v>53749200</v>
      </c>
      <c r="CR27" s="230">
        <v>53967750</v>
      </c>
      <c r="CS27" s="230">
        <v>-218550</v>
      </c>
      <c r="CT27" s="229">
        <v>-4.0000000000000001E-3</v>
      </c>
      <c r="CU27" s="230">
        <v>299907000</v>
      </c>
      <c r="CV27" s="230">
        <v>304489500</v>
      </c>
      <c r="CW27" s="230">
        <v>-4582500</v>
      </c>
      <c r="CX27" s="229">
        <v>-1.4999999999999999E-2</v>
      </c>
      <c r="CY27" s="228">
        <v>29.58</v>
      </c>
      <c r="CZ27" s="228">
        <v>29.89</v>
      </c>
      <c r="DA27" s="228">
        <v>-0.31</v>
      </c>
      <c r="DB27" s="228">
        <v>-0.31</v>
      </c>
      <c r="DC27" s="228">
        <v>35.36</v>
      </c>
      <c r="DD27" s="228">
        <v>35.450000000000003</v>
      </c>
      <c r="DE27" s="228">
        <v>-5.78</v>
      </c>
      <c r="DF27" s="228">
        <v>-0.09</v>
      </c>
      <c r="DG27" s="228">
        <v>29.67</v>
      </c>
      <c r="DH27" s="228">
        <v>30.39</v>
      </c>
      <c r="DI27" s="228">
        <v>-0.72</v>
      </c>
      <c r="DJ27" s="228">
        <v>-0.72</v>
      </c>
      <c r="DK27" s="228">
        <v>29.32</v>
      </c>
      <c r="DL27" s="228">
        <v>28.58</v>
      </c>
      <c r="DM27" s="228">
        <v>0.74</v>
      </c>
      <c r="DN27" s="228">
        <v>0.74</v>
      </c>
      <c r="DO27" s="228">
        <v>0.7</v>
      </c>
      <c r="DP27" s="228">
        <v>0.66</v>
      </c>
      <c r="DQ27" s="228">
        <v>0.04</v>
      </c>
      <c r="DR27" s="229">
        <v>6.0600000000000001E-2</v>
      </c>
      <c r="DS27" s="228">
        <v>300</v>
      </c>
      <c r="DT27" s="228">
        <v>260</v>
      </c>
      <c r="DU27" s="228">
        <v>0.34</v>
      </c>
      <c r="DV27" s="228">
        <v>0.38</v>
      </c>
      <c r="DW27" s="228">
        <v>-0.04</v>
      </c>
      <c r="DX27" s="229">
        <v>-0.1053</v>
      </c>
      <c r="DY27" s="229">
        <v>8.9800000000000005E-2</v>
      </c>
      <c r="DZ27" s="230">
        <v>14353800</v>
      </c>
      <c r="EA27" s="229">
        <v>6.3E-3</v>
      </c>
      <c r="EB27" s="229">
        <v>8.9800000000000005E-2</v>
      </c>
      <c r="EC27" s="228">
        <v>1.71</v>
      </c>
      <c r="ED27" s="229">
        <v>6.3E-3</v>
      </c>
      <c r="EE27" s="230">
        <v>3593369</v>
      </c>
      <c r="EF27" s="230">
        <v>7266052</v>
      </c>
      <c r="EG27" s="229">
        <v>-0.50549999999999995</v>
      </c>
      <c r="EH27" s="229">
        <v>0.49609999999999999</v>
      </c>
      <c r="EI27" s="231">
        <v>142410.70000000001</v>
      </c>
      <c r="EJ27" s="231">
        <v>44380.65</v>
      </c>
      <c r="EK27" s="231">
        <v>33104</v>
      </c>
      <c r="EL27" s="231">
        <v>7268</v>
      </c>
      <c r="EM27" s="231">
        <v>219895.35</v>
      </c>
      <c r="EN27" s="231">
        <v>303134.01</v>
      </c>
      <c r="EO27" s="231">
        <v>-83238.66</v>
      </c>
      <c r="EP27" s="229">
        <v>-0.27460000000000001</v>
      </c>
      <c r="EQ27" s="231">
        <v>218762</v>
      </c>
      <c r="ER27" s="231">
        <v>143279</v>
      </c>
      <c r="ES27" s="231">
        <v>458575</v>
      </c>
      <c r="ET27" s="231">
        <v>355358091</v>
      </c>
      <c r="EU27" s="231">
        <v>820616</v>
      </c>
      <c r="EV27" s="231">
        <v>833831</v>
      </c>
      <c r="EW27" s="231">
        <v>-13215</v>
      </c>
      <c r="EX27" s="229">
        <v>-1.5800000000000002E-2</v>
      </c>
      <c r="EY27" s="229">
        <v>0.84399999999999997</v>
      </c>
    </row>
    <row r="28" spans="1:155" ht="17.25" thickBot="1" x14ac:dyDescent="0.3">
      <c r="A28" s="226">
        <v>46064</v>
      </c>
      <c r="B28" s="227" t="s">
        <v>227</v>
      </c>
      <c r="C28" s="227" t="s">
        <v>244</v>
      </c>
      <c r="D28" s="231">
        <v>1250.5</v>
      </c>
      <c r="E28" s="231">
        <v>1248.2</v>
      </c>
      <c r="F28" s="228">
        <v>2.2999999999999998</v>
      </c>
      <c r="G28" s="229">
        <v>1.8E-3</v>
      </c>
      <c r="H28" s="231">
        <v>1249.2</v>
      </c>
      <c r="I28" s="231">
        <v>1244.0999999999999</v>
      </c>
      <c r="J28" s="228">
        <v>5.0999999999999996</v>
      </c>
      <c r="K28" s="229">
        <v>4.1000000000000003E-3</v>
      </c>
      <c r="L28" s="231">
        <v>1250.5</v>
      </c>
      <c r="M28" s="231">
        <v>1248.2</v>
      </c>
      <c r="N28" s="228">
        <v>2.2999999999999998</v>
      </c>
      <c r="O28" s="229">
        <v>1.8E-3</v>
      </c>
      <c r="P28" s="231">
        <v>1258.7</v>
      </c>
      <c r="Q28" s="231">
        <v>1255.2</v>
      </c>
      <c r="R28" s="228">
        <v>3.5</v>
      </c>
      <c r="S28" s="229">
        <v>2.8E-3</v>
      </c>
      <c r="T28" s="231">
        <v>1263.9000000000001</v>
      </c>
      <c r="U28" s="231">
        <v>1261.0999999999999</v>
      </c>
      <c r="V28" s="228">
        <v>2.8</v>
      </c>
      <c r="W28" s="229">
        <v>2.2000000000000001E-3</v>
      </c>
      <c r="X28" s="228">
        <v>1.3</v>
      </c>
      <c r="Y28" s="228">
        <v>4.0999999999999996</v>
      </c>
      <c r="Z28" s="228">
        <v>-2.8</v>
      </c>
      <c r="AA28" s="229">
        <v>1E-3</v>
      </c>
      <c r="AB28" s="228">
        <v>1.3</v>
      </c>
      <c r="AC28" s="228">
        <v>4.0999999999999996</v>
      </c>
      <c r="AD28" s="228">
        <v>-2.8</v>
      </c>
      <c r="AE28" s="229">
        <v>1E-3</v>
      </c>
      <c r="AF28" s="228">
        <v>9.5</v>
      </c>
      <c r="AG28" s="228">
        <v>11.1</v>
      </c>
      <c r="AH28" s="228">
        <v>-1.6</v>
      </c>
      <c r="AI28" s="229">
        <v>7.6E-3</v>
      </c>
      <c r="AJ28" s="228">
        <v>14.7</v>
      </c>
      <c r="AK28" s="228">
        <v>17</v>
      </c>
      <c r="AL28" s="228">
        <v>-2.2999999999999998</v>
      </c>
      <c r="AM28" s="229">
        <v>1.18E-2</v>
      </c>
      <c r="AN28" s="231">
        <v>1250.5999999999999</v>
      </c>
      <c r="AO28" s="231">
        <v>1257.8</v>
      </c>
      <c r="AP28" s="228">
        <v>0</v>
      </c>
      <c r="AQ28" s="230">
        <v>2530</v>
      </c>
      <c r="AR28" s="230">
        <v>4035</v>
      </c>
      <c r="AS28" s="230">
        <v>-1505</v>
      </c>
      <c r="AT28" s="229">
        <v>-0.373</v>
      </c>
      <c r="AU28" s="230">
        <v>2381</v>
      </c>
      <c r="AV28" s="230">
        <v>3828</v>
      </c>
      <c r="AW28" s="230">
        <v>-1447</v>
      </c>
      <c r="AX28" s="229">
        <v>-0.378</v>
      </c>
      <c r="AY28" s="228">
        <v>138</v>
      </c>
      <c r="AZ28" s="228">
        <v>191</v>
      </c>
      <c r="BA28" s="228">
        <v>-53</v>
      </c>
      <c r="BB28" s="229">
        <v>-0.27750000000000002</v>
      </c>
      <c r="BC28" s="228">
        <v>11</v>
      </c>
      <c r="BD28" s="228">
        <v>16</v>
      </c>
      <c r="BE28" s="228">
        <v>-5</v>
      </c>
      <c r="BF28" s="229">
        <v>-0.3125</v>
      </c>
      <c r="BG28" s="230">
        <v>7227</v>
      </c>
      <c r="BH28" s="230">
        <v>18742</v>
      </c>
      <c r="BI28" s="230">
        <v>-11515</v>
      </c>
      <c r="BJ28" s="229">
        <v>-0.61439999999999995</v>
      </c>
      <c r="BK28" s="230">
        <v>4239</v>
      </c>
      <c r="BL28" s="230">
        <v>7121</v>
      </c>
      <c r="BM28" s="230">
        <v>-2882</v>
      </c>
      <c r="BN28" s="229">
        <v>-0.4047</v>
      </c>
      <c r="BO28" s="230">
        <v>13996</v>
      </c>
      <c r="BP28" s="230">
        <v>29898</v>
      </c>
      <c r="BQ28" s="230">
        <v>-15902</v>
      </c>
      <c r="BR28" s="229">
        <v>-0.53190000000000004</v>
      </c>
      <c r="BS28" s="230">
        <v>890766</v>
      </c>
      <c r="BT28" s="230">
        <v>1173793</v>
      </c>
      <c r="BU28" s="230">
        <v>-283027</v>
      </c>
      <c r="BV28" s="229">
        <v>-0.24110000000000001</v>
      </c>
      <c r="BW28" s="230">
        <v>54212625</v>
      </c>
      <c r="BX28" s="230">
        <v>54270675</v>
      </c>
      <c r="BY28" s="230">
        <v>-58050</v>
      </c>
      <c r="BZ28" s="229">
        <v>-1.1000000000000001E-3</v>
      </c>
      <c r="CA28" s="230">
        <v>53412075</v>
      </c>
      <c r="CB28" s="230">
        <v>53474175</v>
      </c>
      <c r="CC28" s="230">
        <v>-62100</v>
      </c>
      <c r="CD28" s="229">
        <v>-1.1999999999999999E-3</v>
      </c>
      <c r="CE28" s="230">
        <v>768150</v>
      </c>
      <c r="CF28" s="230">
        <v>762075</v>
      </c>
      <c r="CG28" s="230">
        <v>6075</v>
      </c>
      <c r="CH28" s="229">
        <v>8.0000000000000002E-3</v>
      </c>
      <c r="CI28" s="230">
        <v>32400</v>
      </c>
      <c r="CJ28" s="230">
        <v>34425</v>
      </c>
      <c r="CK28" s="230">
        <v>-2025</v>
      </c>
      <c r="CL28" s="229">
        <v>-5.8799999999999998E-2</v>
      </c>
      <c r="CM28" s="230">
        <v>6637950</v>
      </c>
      <c r="CN28" s="230">
        <v>6822225</v>
      </c>
      <c r="CO28" s="230">
        <v>-184275</v>
      </c>
      <c r="CP28" s="229">
        <v>-2.7E-2</v>
      </c>
      <c r="CQ28" s="230">
        <v>4762125</v>
      </c>
      <c r="CR28" s="230">
        <v>4850550</v>
      </c>
      <c r="CS28" s="230">
        <v>-88425</v>
      </c>
      <c r="CT28" s="229">
        <v>-1.8200000000000001E-2</v>
      </c>
      <c r="CU28" s="230">
        <v>65612700</v>
      </c>
      <c r="CV28" s="230">
        <v>65943450</v>
      </c>
      <c r="CW28" s="230">
        <v>-330750</v>
      </c>
      <c r="CX28" s="229">
        <v>-5.0000000000000001E-3</v>
      </c>
      <c r="CY28" s="228">
        <v>24.82</v>
      </c>
      <c r="CZ28" s="228">
        <v>24.46</v>
      </c>
      <c r="DA28" s="228">
        <v>0.36</v>
      </c>
      <c r="DB28" s="228">
        <v>0.36</v>
      </c>
      <c r="DC28" s="228">
        <v>29.38</v>
      </c>
      <c r="DD28" s="228">
        <v>29.45</v>
      </c>
      <c r="DE28" s="228">
        <v>-4.5599999999999996</v>
      </c>
      <c r="DF28" s="228">
        <v>-7.0000000000000007E-2</v>
      </c>
      <c r="DG28" s="228">
        <v>24.18</v>
      </c>
      <c r="DH28" s="228">
        <v>24.17</v>
      </c>
      <c r="DI28" s="228">
        <v>0.01</v>
      </c>
      <c r="DJ28" s="228">
        <v>0.01</v>
      </c>
      <c r="DK28" s="228">
        <v>25.91</v>
      </c>
      <c r="DL28" s="228">
        <v>25.21</v>
      </c>
      <c r="DM28" s="228">
        <v>0.7</v>
      </c>
      <c r="DN28" s="228">
        <v>0.7</v>
      </c>
      <c r="DO28" s="228">
        <v>0.72</v>
      </c>
      <c r="DP28" s="228">
        <v>0.71</v>
      </c>
      <c r="DQ28" s="228">
        <v>0.01</v>
      </c>
      <c r="DR28" s="229">
        <v>1.41E-2</v>
      </c>
      <c r="DS28" s="231">
        <v>1400</v>
      </c>
      <c r="DT28" s="231">
        <v>1100</v>
      </c>
      <c r="DU28" s="228">
        <v>0.59</v>
      </c>
      <c r="DV28" s="228">
        <v>0.38</v>
      </c>
      <c r="DW28" s="228">
        <v>0.21</v>
      </c>
      <c r="DX28" s="229">
        <v>0.55259999999999998</v>
      </c>
      <c r="DY28" s="229">
        <v>1.4800000000000001E-2</v>
      </c>
      <c r="DZ28" s="230">
        <v>796500</v>
      </c>
      <c r="EA28" s="229">
        <v>6.6E-3</v>
      </c>
      <c r="EB28" s="229">
        <v>1.4800000000000001E-2</v>
      </c>
      <c r="EC28" s="228">
        <v>7.2</v>
      </c>
      <c r="ED28" s="229">
        <v>5.7999999999999996E-3</v>
      </c>
      <c r="EE28" s="230">
        <v>411250</v>
      </c>
      <c r="EF28" s="230">
        <v>496260</v>
      </c>
      <c r="EG28" s="229">
        <v>-0.17130000000000001</v>
      </c>
      <c r="EH28" s="229">
        <v>0.4617</v>
      </c>
      <c r="EI28" s="231">
        <v>62866.47</v>
      </c>
      <c r="EJ28" s="231">
        <v>35107.67</v>
      </c>
      <c r="EK28" s="231">
        <v>21364.7</v>
      </c>
      <c r="EL28" s="231">
        <v>3831</v>
      </c>
      <c r="EM28" s="231">
        <v>119338.84</v>
      </c>
      <c r="EN28" s="231">
        <v>256848.53</v>
      </c>
      <c r="EO28" s="231">
        <v>-137509.69</v>
      </c>
      <c r="EP28" s="229">
        <v>-0.53539999999999999</v>
      </c>
      <c r="EQ28" s="231">
        <v>85161</v>
      </c>
      <c r="ER28" s="231">
        <v>55242</v>
      </c>
      <c r="ES28" s="231">
        <v>677996</v>
      </c>
      <c r="ET28" s="231">
        <v>133434355</v>
      </c>
      <c r="EU28" s="231">
        <v>818399</v>
      </c>
      <c r="EV28" s="231">
        <v>821131</v>
      </c>
      <c r="EW28" s="231">
        <v>-2732</v>
      </c>
      <c r="EX28" s="229">
        <v>-3.3E-3</v>
      </c>
      <c r="EY28" s="229">
        <v>0.49170000000000003</v>
      </c>
    </row>
    <row r="29" spans="1:155" ht="17.25" thickBot="1" x14ac:dyDescent="0.3">
      <c r="A29" s="226">
        <v>46064</v>
      </c>
      <c r="B29" s="227" t="s">
        <v>172</v>
      </c>
      <c r="C29" s="227" t="s">
        <v>246</v>
      </c>
      <c r="D29" s="228">
        <v>429.9</v>
      </c>
      <c r="E29" s="228">
        <v>429.8</v>
      </c>
      <c r="F29" s="228">
        <v>0.1</v>
      </c>
      <c r="G29" s="229">
        <v>2.0000000000000001E-4</v>
      </c>
      <c r="H29" s="228">
        <v>429.55</v>
      </c>
      <c r="I29" s="228">
        <v>429.3</v>
      </c>
      <c r="J29" s="228">
        <v>0.25</v>
      </c>
      <c r="K29" s="229">
        <v>5.9999999999999995E-4</v>
      </c>
      <c r="L29" s="228">
        <v>429.9</v>
      </c>
      <c r="M29" s="228">
        <v>429.8</v>
      </c>
      <c r="N29" s="228">
        <v>0.1</v>
      </c>
      <c r="O29" s="229">
        <v>2.0000000000000001E-4</v>
      </c>
      <c r="P29" s="228">
        <v>432.6</v>
      </c>
      <c r="Q29" s="228">
        <v>432.35</v>
      </c>
      <c r="R29" s="228">
        <v>0.25</v>
      </c>
      <c r="S29" s="229">
        <v>5.9999999999999995E-4</v>
      </c>
      <c r="T29" s="228">
        <v>435.9</v>
      </c>
      <c r="U29" s="228">
        <v>435</v>
      </c>
      <c r="V29" s="228">
        <v>0.9</v>
      </c>
      <c r="W29" s="229">
        <v>2.0999999999999999E-3</v>
      </c>
      <c r="X29" s="228">
        <v>0.35</v>
      </c>
      <c r="Y29" s="228">
        <v>0.5</v>
      </c>
      <c r="Z29" s="228">
        <v>-0.15</v>
      </c>
      <c r="AA29" s="229">
        <v>8.0000000000000004E-4</v>
      </c>
      <c r="AB29" s="228">
        <v>0.35</v>
      </c>
      <c r="AC29" s="228">
        <v>0.5</v>
      </c>
      <c r="AD29" s="228">
        <v>-0.15</v>
      </c>
      <c r="AE29" s="229">
        <v>8.0000000000000004E-4</v>
      </c>
      <c r="AF29" s="228">
        <v>3.05</v>
      </c>
      <c r="AG29" s="228">
        <v>3.05</v>
      </c>
      <c r="AH29" s="228">
        <v>0</v>
      </c>
      <c r="AI29" s="229">
        <v>7.1000000000000004E-3</v>
      </c>
      <c r="AJ29" s="228">
        <v>6.35</v>
      </c>
      <c r="AK29" s="228">
        <v>5.7</v>
      </c>
      <c r="AL29" s="228">
        <v>0.65</v>
      </c>
      <c r="AM29" s="229">
        <v>1.4800000000000001E-2</v>
      </c>
      <c r="AN29" s="228">
        <v>429.77</v>
      </c>
      <c r="AO29" s="228">
        <v>432.52</v>
      </c>
      <c r="AP29" s="228">
        <v>0</v>
      </c>
      <c r="AQ29" s="230">
        <v>6067</v>
      </c>
      <c r="AR29" s="230">
        <v>6711</v>
      </c>
      <c r="AS29" s="228">
        <v>-644</v>
      </c>
      <c r="AT29" s="229">
        <v>-9.6000000000000002E-2</v>
      </c>
      <c r="AU29" s="230">
        <v>5811</v>
      </c>
      <c r="AV29" s="230">
        <v>6203</v>
      </c>
      <c r="AW29" s="228">
        <v>-392</v>
      </c>
      <c r="AX29" s="229">
        <v>-6.3200000000000006E-2</v>
      </c>
      <c r="AY29" s="228">
        <v>236</v>
      </c>
      <c r="AZ29" s="228">
        <v>442</v>
      </c>
      <c r="BA29" s="228">
        <v>-206</v>
      </c>
      <c r="BB29" s="229">
        <v>-0.46610000000000001</v>
      </c>
      <c r="BC29" s="228">
        <v>20</v>
      </c>
      <c r="BD29" s="228">
        <v>66</v>
      </c>
      <c r="BE29" s="228">
        <v>-46</v>
      </c>
      <c r="BF29" s="229">
        <v>-0.69699999999999995</v>
      </c>
      <c r="BG29" s="230">
        <v>11631</v>
      </c>
      <c r="BH29" s="230">
        <v>18855</v>
      </c>
      <c r="BI29" s="230">
        <v>-7224</v>
      </c>
      <c r="BJ29" s="229">
        <v>-0.3831</v>
      </c>
      <c r="BK29" s="230">
        <v>8624</v>
      </c>
      <c r="BL29" s="230">
        <v>13445</v>
      </c>
      <c r="BM29" s="230">
        <v>-4821</v>
      </c>
      <c r="BN29" s="229">
        <v>-0.35859999999999997</v>
      </c>
      <c r="BO29" s="230">
        <v>26322</v>
      </c>
      <c r="BP29" s="230">
        <v>39011</v>
      </c>
      <c r="BQ29" s="230">
        <v>-12689</v>
      </c>
      <c r="BR29" s="229">
        <v>-0.32529999999999998</v>
      </c>
      <c r="BS29" s="230">
        <v>13182259</v>
      </c>
      <c r="BT29" s="230">
        <v>21204089</v>
      </c>
      <c r="BU29" s="230">
        <v>-8021830</v>
      </c>
      <c r="BV29" s="229">
        <v>-0.37830000000000003</v>
      </c>
      <c r="BW29" s="230">
        <v>201884000</v>
      </c>
      <c r="BX29" s="230">
        <v>204940000</v>
      </c>
      <c r="BY29" s="230">
        <v>-3056000</v>
      </c>
      <c r="BZ29" s="229">
        <v>-1.49E-2</v>
      </c>
      <c r="CA29" s="230">
        <v>186174000</v>
      </c>
      <c r="CB29" s="230">
        <v>189312000</v>
      </c>
      <c r="CC29" s="230">
        <v>-3138000</v>
      </c>
      <c r="CD29" s="229">
        <v>-1.66E-2</v>
      </c>
      <c r="CE29" s="230">
        <v>15154000</v>
      </c>
      <c r="CF29" s="230">
        <v>15092000</v>
      </c>
      <c r="CG29" s="230">
        <v>62000</v>
      </c>
      <c r="CH29" s="229">
        <v>4.1000000000000003E-3</v>
      </c>
      <c r="CI29" s="230">
        <v>556000</v>
      </c>
      <c r="CJ29" s="230">
        <v>536000</v>
      </c>
      <c r="CK29" s="230">
        <v>20000</v>
      </c>
      <c r="CL29" s="229">
        <v>3.73E-2</v>
      </c>
      <c r="CM29" s="230">
        <v>37068000</v>
      </c>
      <c r="CN29" s="230">
        <v>37332000</v>
      </c>
      <c r="CO29" s="230">
        <v>-264000</v>
      </c>
      <c r="CP29" s="229">
        <v>-7.1000000000000004E-3</v>
      </c>
      <c r="CQ29" s="230">
        <v>35904000</v>
      </c>
      <c r="CR29" s="230">
        <v>36770000</v>
      </c>
      <c r="CS29" s="230">
        <v>-866000</v>
      </c>
      <c r="CT29" s="229">
        <v>-2.3599999999999999E-2</v>
      </c>
      <c r="CU29" s="230">
        <v>274856000</v>
      </c>
      <c r="CV29" s="230">
        <v>279042000</v>
      </c>
      <c r="CW29" s="230">
        <v>-4186000</v>
      </c>
      <c r="CX29" s="229">
        <v>-1.4999999999999999E-2</v>
      </c>
      <c r="CY29" s="228">
        <v>19.89</v>
      </c>
      <c r="CZ29" s="228">
        <v>20.260000000000002</v>
      </c>
      <c r="DA29" s="228">
        <v>-0.37</v>
      </c>
      <c r="DB29" s="228">
        <v>-0.37</v>
      </c>
      <c r="DC29" s="228">
        <v>25.31</v>
      </c>
      <c r="DD29" s="228">
        <v>25.37</v>
      </c>
      <c r="DE29" s="228">
        <v>-5.42</v>
      </c>
      <c r="DF29" s="228">
        <v>-0.06</v>
      </c>
      <c r="DG29" s="228">
        <v>19.079999999999998</v>
      </c>
      <c r="DH29" s="228">
        <v>19.93</v>
      </c>
      <c r="DI29" s="228">
        <v>-0.85</v>
      </c>
      <c r="DJ29" s="228">
        <v>-0.85</v>
      </c>
      <c r="DK29" s="228">
        <v>20.99</v>
      </c>
      <c r="DL29" s="228">
        <v>20.71</v>
      </c>
      <c r="DM29" s="228">
        <v>0.28000000000000003</v>
      </c>
      <c r="DN29" s="228">
        <v>0.28000000000000003</v>
      </c>
      <c r="DO29" s="228">
        <v>0.97</v>
      </c>
      <c r="DP29" s="228">
        <v>0.98</v>
      </c>
      <c r="DQ29" s="228">
        <v>-0.01</v>
      </c>
      <c r="DR29" s="229">
        <v>-1.0200000000000001E-2</v>
      </c>
      <c r="DS29" s="228">
        <v>430</v>
      </c>
      <c r="DT29" s="228">
        <v>410</v>
      </c>
      <c r="DU29" s="228">
        <v>0.74</v>
      </c>
      <c r="DV29" s="228">
        <v>0.71</v>
      </c>
      <c r="DW29" s="228">
        <v>0.03</v>
      </c>
      <c r="DX29" s="229">
        <v>4.2299999999999997E-2</v>
      </c>
      <c r="DY29" s="229">
        <v>7.7799999999999994E-2</v>
      </c>
      <c r="DZ29" s="230">
        <v>15628000</v>
      </c>
      <c r="EA29" s="229">
        <v>6.3E-3</v>
      </c>
      <c r="EB29" s="229">
        <v>7.7799999999999994E-2</v>
      </c>
      <c r="EC29" s="228">
        <v>2.75</v>
      </c>
      <c r="ED29" s="229">
        <v>6.4000000000000003E-3</v>
      </c>
      <c r="EE29" s="230">
        <v>10146807</v>
      </c>
      <c r="EF29" s="230">
        <v>16844466</v>
      </c>
      <c r="EG29" s="229">
        <v>-0.39760000000000001</v>
      </c>
      <c r="EH29" s="229">
        <v>0.76970000000000005</v>
      </c>
      <c r="EI29" s="231">
        <v>102380.42</v>
      </c>
      <c r="EJ29" s="231">
        <v>73177.63</v>
      </c>
      <c r="EK29" s="231">
        <v>52163.09</v>
      </c>
      <c r="EL29" s="231">
        <v>13215</v>
      </c>
      <c r="EM29" s="231">
        <v>227721.14</v>
      </c>
      <c r="EN29" s="231">
        <v>338835.97</v>
      </c>
      <c r="EO29" s="231">
        <v>-111114.83</v>
      </c>
      <c r="EP29" s="229">
        <v>-0.32790000000000002</v>
      </c>
      <c r="EQ29" s="231">
        <v>160894</v>
      </c>
      <c r="ER29" s="231">
        <v>145446</v>
      </c>
      <c r="ES29" s="231">
        <v>868342</v>
      </c>
      <c r="ET29" s="231">
        <v>781025350</v>
      </c>
      <c r="EU29" s="231">
        <v>1174682</v>
      </c>
      <c r="EV29" s="231">
        <v>1192213</v>
      </c>
      <c r="EW29" s="231">
        <v>-17531</v>
      </c>
      <c r="EX29" s="229">
        <v>-1.47E-2</v>
      </c>
      <c r="EY29" s="229">
        <v>0.35189999999999999</v>
      </c>
    </row>
    <row r="30" spans="1:155" ht="17.25" thickBot="1" x14ac:dyDescent="0.3">
      <c r="A30" s="226">
        <v>46064</v>
      </c>
      <c r="B30" s="227" t="s">
        <v>184</v>
      </c>
      <c r="C30" s="227" t="s">
        <v>249</v>
      </c>
      <c r="D30" s="231">
        <v>4170.8999999999996</v>
      </c>
      <c r="E30" s="231">
        <v>4169.8999999999996</v>
      </c>
      <c r="F30" s="228">
        <v>1</v>
      </c>
      <c r="G30" s="229">
        <v>2.0000000000000001E-4</v>
      </c>
      <c r="H30" s="231">
        <v>4170.3999999999996</v>
      </c>
      <c r="I30" s="231">
        <v>4169</v>
      </c>
      <c r="J30" s="228">
        <v>1.4</v>
      </c>
      <c r="K30" s="229">
        <v>2.9999999999999997E-4</v>
      </c>
      <c r="L30" s="231">
        <v>4170.8999999999996</v>
      </c>
      <c r="M30" s="231">
        <v>4169.8999999999996</v>
      </c>
      <c r="N30" s="228">
        <v>1</v>
      </c>
      <c r="O30" s="229">
        <v>2.0000000000000001E-4</v>
      </c>
      <c r="P30" s="231">
        <v>4197.2</v>
      </c>
      <c r="Q30" s="231">
        <v>4195</v>
      </c>
      <c r="R30" s="228">
        <v>2.2000000000000002</v>
      </c>
      <c r="S30" s="229">
        <v>5.0000000000000001E-4</v>
      </c>
      <c r="T30" s="231">
        <v>4223.8</v>
      </c>
      <c r="U30" s="231">
        <v>4224</v>
      </c>
      <c r="V30" s="228">
        <v>-0.2</v>
      </c>
      <c r="W30" s="229">
        <v>0</v>
      </c>
      <c r="X30" s="228">
        <v>0.5</v>
      </c>
      <c r="Y30" s="228">
        <v>0.9</v>
      </c>
      <c r="Z30" s="228">
        <v>-0.4</v>
      </c>
      <c r="AA30" s="229">
        <v>1E-4</v>
      </c>
      <c r="AB30" s="228">
        <v>0.5</v>
      </c>
      <c r="AC30" s="228">
        <v>0.9</v>
      </c>
      <c r="AD30" s="228">
        <v>-0.4</v>
      </c>
      <c r="AE30" s="229">
        <v>1E-4</v>
      </c>
      <c r="AF30" s="228">
        <v>26.8</v>
      </c>
      <c r="AG30" s="228">
        <v>26</v>
      </c>
      <c r="AH30" s="228">
        <v>0.8</v>
      </c>
      <c r="AI30" s="229">
        <v>6.4000000000000003E-3</v>
      </c>
      <c r="AJ30" s="228">
        <v>53.4</v>
      </c>
      <c r="AK30" s="228">
        <v>55</v>
      </c>
      <c r="AL30" s="228">
        <v>-1.6</v>
      </c>
      <c r="AM30" s="229">
        <v>1.2800000000000001E-2</v>
      </c>
      <c r="AN30" s="231">
        <v>4167.1000000000004</v>
      </c>
      <c r="AO30" s="231">
        <v>4192.3599999999997</v>
      </c>
      <c r="AP30" s="228">
        <v>0</v>
      </c>
      <c r="AQ30" s="230">
        <v>7597</v>
      </c>
      <c r="AR30" s="230">
        <v>8568</v>
      </c>
      <c r="AS30" s="228">
        <v>-971</v>
      </c>
      <c r="AT30" s="229">
        <v>-0.1133</v>
      </c>
      <c r="AU30" s="230">
        <v>7075</v>
      </c>
      <c r="AV30" s="230">
        <v>7840</v>
      </c>
      <c r="AW30" s="228">
        <v>-765</v>
      </c>
      <c r="AX30" s="229">
        <v>-9.7600000000000006E-2</v>
      </c>
      <c r="AY30" s="228">
        <v>430</v>
      </c>
      <c r="AZ30" s="228">
        <v>583</v>
      </c>
      <c r="BA30" s="228">
        <v>-153</v>
      </c>
      <c r="BB30" s="229">
        <v>-0.26240000000000002</v>
      </c>
      <c r="BC30" s="228">
        <v>92</v>
      </c>
      <c r="BD30" s="228">
        <v>145</v>
      </c>
      <c r="BE30" s="228">
        <v>-53</v>
      </c>
      <c r="BF30" s="229">
        <v>-0.36549999999999999</v>
      </c>
      <c r="BG30" s="230">
        <v>34914</v>
      </c>
      <c r="BH30" s="230">
        <v>49874</v>
      </c>
      <c r="BI30" s="230">
        <v>-14960</v>
      </c>
      <c r="BJ30" s="229">
        <v>-0.3</v>
      </c>
      <c r="BK30" s="230">
        <v>45140</v>
      </c>
      <c r="BL30" s="230">
        <v>33005</v>
      </c>
      <c r="BM30" s="230">
        <v>12135</v>
      </c>
      <c r="BN30" s="229">
        <v>0.36770000000000003</v>
      </c>
      <c r="BO30" s="230">
        <v>87651</v>
      </c>
      <c r="BP30" s="230">
        <v>91447</v>
      </c>
      <c r="BQ30" s="230">
        <v>-3796</v>
      </c>
      <c r="BR30" s="229">
        <v>-4.1500000000000002E-2</v>
      </c>
      <c r="BS30" s="230">
        <v>2512915</v>
      </c>
      <c r="BT30" s="230">
        <v>2010143</v>
      </c>
      <c r="BU30" s="230">
        <v>502772</v>
      </c>
      <c r="BV30" s="229">
        <v>0.25009999999999999</v>
      </c>
      <c r="BW30" s="230">
        <v>15129275</v>
      </c>
      <c r="BX30" s="230">
        <v>15031800</v>
      </c>
      <c r="BY30" s="230">
        <v>97475</v>
      </c>
      <c r="BZ30" s="229">
        <v>6.4999999999999997E-3</v>
      </c>
      <c r="CA30" s="230">
        <v>13720525</v>
      </c>
      <c r="CB30" s="230">
        <v>13642125</v>
      </c>
      <c r="CC30" s="230">
        <v>78400</v>
      </c>
      <c r="CD30" s="229">
        <v>5.7000000000000002E-3</v>
      </c>
      <c r="CE30" s="230">
        <v>1338925</v>
      </c>
      <c r="CF30" s="230">
        <v>1321600</v>
      </c>
      <c r="CG30" s="230">
        <v>17325</v>
      </c>
      <c r="CH30" s="229">
        <v>1.3100000000000001E-2</v>
      </c>
      <c r="CI30" s="230">
        <v>69825</v>
      </c>
      <c r="CJ30" s="230">
        <v>68075</v>
      </c>
      <c r="CK30" s="230">
        <v>1750</v>
      </c>
      <c r="CL30" s="229">
        <v>2.5700000000000001E-2</v>
      </c>
      <c r="CM30" s="230">
        <v>8380050</v>
      </c>
      <c r="CN30" s="230">
        <v>8082025</v>
      </c>
      <c r="CO30" s="230">
        <v>298025</v>
      </c>
      <c r="CP30" s="229">
        <v>3.6900000000000002E-2</v>
      </c>
      <c r="CQ30" s="230">
        <v>6931050</v>
      </c>
      <c r="CR30" s="230">
        <v>6860350</v>
      </c>
      <c r="CS30" s="230">
        <v>70700</v>
      </c>
      <c r="CT30" s="229">
        <v>1.03E-2</v>
      </c>
      <c r="CU30" s="230">
        <v>30440375</v>
      </c>
      <c r="CV30" s="230">
        <v>29974175</v>
      </c>
      <c r="CW30" s="230">
        <v>466200</v>
      </c>
      <c r="CX30" s="229">
        <v>1.5599999999999999E-2</v>
      </c>
      <c r="CY30" s="228">
        <v>16.739999999999998</v>
      </c>
      <c r="CZ30" s="228">
        <v>16.55</v>
      </c>
      <c r="DA30" s="228">
        <v>0.19</v>
      </c>
      <c r="DB30" s="228">
        <v>0.19</v>
      </c>
      <c r="DC30" s="228">
        <v>26.36</v>
      </c>
      <c r="DD30" s="228">
        <v>26.42</v>
      </c>
      <c r="DE30" s="228">
        <v>-9.6199999999999992</v>
      </c>
      <c r="DF30" s="228">
        <v>-0.06</v>
      </c>
      <c r="DG30" s="228">
        <v>15.98</v>
      </c>
      <c r="DH30" s="228">
        <v>15.39</v>
      </c>
      <c r="DI30" s="228">
        <v>0.59</v>
      </c>
      <c r="DJ30" s="228">
        <v>0.59</v>
      </c>
      <c r="DK30" s="228">
        <v>17.34</v>
      </c>
      <c r="DL30" s="228">
        <v>18.3</v>
      </c>
      <c r="DM30" s="228">
        <v>-0.96</v>
      </c>
      <c r="DN30" s="228">
        <v>-0.96</v>
      </c>
      <c r="DO30" s="228">
        <v>0.83</v>
      </c>
      <c r="DP30" s="228">
        <v>0.85</v>
      </c>
      <c r="DQ30" s="228">
        <v>-0.02</v>
      </c>
      <c r="DR30" s="229">
        <v>-2.35E-2</v>
      </c>
      <c r="DS30" s="231">
        <v>4100</v>
      </c>
      <c r="DT30" s="231">
        <v>4100</v>
      </c>
      <c r="DU30" s="228">
        <v>1.29</v>
      </c>
      <c r="DV30" s="228">
        <v>0.66</v>
      </c>
      <c r="DW30" s="228">
        <v>0.63</v>
      </c>
      <c r="DX30" s="229">
        <v>0.95450000000000002</v>
      </c>
      <c r="DY30" s="229">
        <v>9.3100000000000002E-2</v>
      </c>
      <c r="DZ30" s="230">
        <v>1389675</v>
      </c>
      <c r="EA30" s="229">
        <v>6.3E-3</v>
      </c>
      <c r="EB30" s="229">
        <v>9.3100000000000002E-2</v>
      </c>
      <c r="EC30" s="228">
        <v>25.26</v>
      </c>
      <c r="ED30" s="229">
        <v>6.1000000000000004E-3</v>
      </c>
      <c r="EE30" s="230">
        <v>2044060</v>
      </c>
      <c r="EF30" s="230">
        <v>1145311</v>
      </c>
      <c r="EG30" s="229">
        <v>0.78469999999999995</v>
      </c>
      <c r="EH30" s="229">
        <v>0.81340000000000001</v>
      </c>
      <c r="EI30" s="231">
        <v>259401.11</v>
      </c>
      <c r="EJ30" s="231">
        <v>323660.06</v>
      </c>
      <c r="EK30" s="231">
        <v>55427.48</v>
      </c>
      <c r="EL30" s="231">
        <v>8350</v>
      </c>
      <c r="EM30" s="231">
        <v>638488.65</v>
      </c>
      <c r="EN30" s="231">
        <v>666505.39</v>
      </c>
      <c r="EO30" s="231">
        <v>-28016.74</v>
      </c>
      <c r="EP30" s="229">
        <v>-4.2000000000000003E-2</v>
      </c>
      <c r="EQ30" s="231">
        <v>344063</v>
      </c>
      <c r="ER30" s="231">
        <v>273091</v>
      </c>
      <c r="ES30" s="231">
        <v>631416</v>
      </c>
      <c r="ET30" s="231">
        <v>136109374</v>
      </c>
      <c r="EU30" s="231">
        <v>1248570</v>
      </c>
      <c r="EV30" s="231">
        <v>1228224</v>
      </c>
      <c r="EW30" s="231">
        <v>20346</v>
      </c>
      <c r="EX30" s="229">
        <v>1.66E-2</v>
      </c>
      <c r="EY30" s="229">
        <v>0.22359999999999999</v>
      </c>
    </row>
    <row r="31" spans="1:155" ht="17.25" thickBot="1" x14ac:dyDescent="0.3">
      <c r="A31" s="226">
        <v>46064</v>
      </c>
      <c r="B31" s="227" t="s">
        <v>162</v>
      </c>
      <c r="C31" s="227" t="s">
        <v>251</v>
      </c>
      <c r="D31" s="231">
        <v>3680.7</v>
      </c>
      <c r="E31" s="231">
        <v>3680.6</v>
      </c>
      <c r="F31" s="228">
        <v>0.1</v>
      </c>
      <c r="G31" s="229">
        <v>0</v>
      </c>
      <c r="H31" s="231">
        <v>3674.9</v>
      </c>
      <c r="I31" s="231">
        <v>3675.8</v>
      </c>
      <c r="J31" s="228">
        <v>-0.9</v>
      </c>
      <c r="K31" s="229">
        <v>-2.0000000000000001E-4</v>
      </c>
      <c r="L31" s="231">
        <v>3680.7</v>
      </c>
      <c r="M31" s="231">
        <v>3680.6</v>
      </c>
      <c r="N31" s="228">
        <v>0.1</v>
      </c>
      <c r="O31" s="229">
        <v>0</v>
      </c>
      <c r="P31" s="231">
        <v>3705.3</v>
      </c>
      <c r="Q31" s="231">
        <v>3704.1</v>
      </c>
      <c r="R31" s="228">
        <v>1.2</v>
      </c>
      <c r="S31" s="229">
        <v>2.9999999999999997E-4</v>
      </c>
      <c r="T31" s="231">
        <v>3728.2</v>
      </c>
      <c r="U31" s="231">
        <v>3726.9</v>
      </c>
      <c r="V31" s="228">
        <v>1.3</v>
      </c>
      <c r="W31" s="229">
        <v>2.9999999999999997E-4</v>
      </c>
      <c r="X31" s="228">
        <v>5.8</v>
      </c>
      <c r="Y31" s="228">
        <v>4.8</v>
      </c>
      <c r="Z31" s="228">
        <v>1</v>
      </c>
      <c r="AA31" s="229">
        <v>1.6000000000000001E-3</v>
      </c>
      <c r="AB31" s="228">
        <v>5.8</v>
      </c>
      <c r="AC31" s="228">
        <v>4.8</v>
      </c>
      <c r="AD31" s="228">
        <v>1</v>
      </c>
      <c r="AE31" s="229">
        <v>1.6000000000000001E-3</v>
      </c>
      <c r="AF31" s="228">
        <v>30.4</v>
      </c>
      <c r="AG31" s="228">
        <v>28.3</v>
      </c>
      <c r="AH31" s="228">
        <v>2.1</v>
      </c>
      <c r="AI31" s="229">
        <v>8.3000000000000001E-3</v>
      </c>
      <c r="AJ31" s="228">
        <v>53.3</v>
      </c>
      <c r="AK31" s="228">
        <v>51.1</v>
      </c>
      <c r="AL31" s="228">
        <v>2.2000000000000002</v>
      </c>
      <c r="AM31" s="229">
        <v>1.4500000000000001E-2</v>
      </c>
      <c r="AN31" s="231">
        <v>3722.22</v>
      </c>
      <c r="AO31" s="231">
        <v>3745.53</v>
      </c>
      <c r="AP31" s="228">
        <v>0</v>
      </c>
      <c r="AQ31" s="230">
        <v>34165</v>
      </c>
      <c r="AR31" s="230">
        <v>10062</v>
      </c>
      <c r="AS31" s="230">
        <v>24103</v>
      </c>
      <c r="AT31" s="229">
        <v>2.3954</v>
      </c>
      <c r="AU31" s="230">
        <v>31825</v>
      </c>
      <c r="AV31" s="230">
        <v>9372</v>
      </c>
      <c r="AW31" s="230">
        <v>22453</v>
      </c>
      <c r="AX31" s="229">
        <v>2.3957999999999999</v>
      </c>
      <c r="AY31" s="230">
        <v>1987</v>
      </c>
      <c r="AZ31" s="228">
        <v>557</v>
      </c>
      <c r="BA31" s="230">
        <v>1430</v>
      </c>
      <c r="BB31" s="229">
        <v>2.5672999999999999</v>
      </c>
      <c r="BC31" s="228">
        <v>353</v>
      </c>
      <c r="BD31" s="228">
        <v>133</v>
      </c>
      <c r="BE31" s="228">
        <v>220</v>
      </c>
      <c r="BF31" s="229">
        <v>1.6540999999999999</v>
      </c>
      <c r="BG31" s="230">
        <v>336569</v>
      </c>
      <c r="BH31" s="230">
        <v>71039</v>
      </c>
      <c r="BI31" s="230">
        <v>265530</v>
      </c>
      <c r="BJ31" s="229">
        <v>3.7378</v>
      </c>
      <c r="BK31" s="230">
        <v>136221</v>
      </c>
      <c r="BL31" s="230">
        <v>24853</v>
      </c>
      <c r="BM31" s="230">
        <v>111368</v>
      </c>
      <c r="BN31" s="229">
        <v>4.4810999999999996</v>
      </c>
      <c r="BO31" s="230">
        <v>506955</v>
      </c>
      <c r="BP31" s="230">
        <v>105954</v>
      </c>
      <c r="BQ31" s="230">
        <v>401001</v>
      </c>
      <c r="BR31" s="229">
        <v>3.7847</v>
      </c>
      <c r="BS31" s="230">
        <v>4993646</v>
      </c>
      <c r="BT31" s="230">
        <v>2022498</v>
      </c>
      <c r="BU31" s="230">
        <v>2971148</v>
      </c>
      <c r="BV31" s="229">
        <v>1.4690000000000001</v>
      </c>
      <c r="BW31" s="230">
        <v>19366600</v>
      </c>
      <c r="BX31" s="230">
        <v>19558600</v>
      </c>
      <c r="BY31" s="230">
        <v>-192000</v>
      </c>
      <c r="BZ31" s="229">
        <v>-9.7999999999999997E-3</v>
      </c>
      <c r="CA31" s="230">
        <v>17448600</v>
      </c>
      <c r="CB31" s="230">
        <v>17743800</v>
      </c>
      <c r="CC31" s="230">
        <v>-295200</v>
      </c>
      <c r="CD31" s="229">
        <v>-1.66E-2</v>
      </c>
      <c r="CE31" s="230">
        <v>1824400</v>
      </c>
      <c r="CF31" s="230">
        <v>1749200</v>
      </c>
      <c r="CG31" s="230">
        <v>75200</v>
      </c>
      <c r="CH31" s="229">
        <v>4.2999999999999997E-2</v>
      </c>
      <c r="CI31" s="230">
        <v>93600</v>
      </c>
      <c r="CJ31" s="230">
        <v>65600</v>
      </c>
      <c r="CK31" s="230">
        <v>28000</v>
      </c>
      <c r="CL31" s="229">
        <v>0.42680000000000001</v>
      </c>
      <c r="CM31" s="230">
        <v>9578800</v>
      </c>
      <c r="CN31" s="230">
        <v>5183600</v>
      </c>
      <c r="CO31" s="230">
        <v>4395200</v>
      </c>
      <c r="CP31" s="229">
        <v>0.84789999999999999</v>
      </c>
      <c r="CQ31" s="230">
        <v>4494200</v>
      </c>
      <c r="CR31" s="230">
        <v>3438600</v>
      </c>
      <c r="CS31" s="230">
        <v>1055600</v>
      </c>
      <c r="CT31" s="229">
        <v>0.307</v>
      </c>
      <c r="CU31" s="230">
        <v>33439600</v>
      </c>
      <c r="CV31" s="230">
        <v>28180800</v>
      </c>
      <c r="CW31" s="230">
        <v>5258800</v>
      </c>
      <c r="CX31" s="229">
        <v>0.18659999999999999</v>
      </c>
      <c r="CY31" s="228">
        <v>32.15</v>
      </c>
      <c r="CZ31" s="228">
        <v>30.38</v>
      </c>
      <c r="DA31" s="228">
        <v>1.77</v>
      </c>
      <c r="DB31" s="228">
        <v>1.77</v>
      </c>
      <c r="DC31" s="228">
        <v>31.26</v>
      </c>
      <c r="DD31" s="228">
        <v>31.34</v>
      </c>
      <c r="DE31" s="228">
        <v>0.89</v>
      </c>
      <c r="DF31" s="228">
        <v>-0.08</v>
      </c>
      <c r="DG31" s="228">
        <v>32.549999999999997</v>
      </c>
      <c r="DH31" s="228">
        <v>30</v>
      </c>
      <c r="DI31" s="228">
        <v>2.5499999999999998</v>
      </c>
      <c r="DJ31" s="228">
        <v>2.5499999999999998</v>
      </c>
      <c r="DK31" s="228">
        <v>31.16</v>
      </c>
      <c r="DL31" s="228">
        <v>31.49</v>
      </c>
      <c r="DM31" s="228">
        <v>-0.33</v>
      </c>
      <c r="DN31" s="228">
        <v>-0.33</v>
      </c>
      <c r="DO31" s="228">
        <v>0.47</v>
      </c>
      <c r="DP31" s="228">
        <v>0.66</v>
      </c>
      <c r="DQ31" s="228">
        <v>-0.19</v>
      </c>
      <c r="DR31" s="229">
        <v>-0.28789999999999999</v>
      </c>
      <c r="DS31" s="231">
        <v>3800</v>
      </c>
      <c r="DT31" s="231">
        <v>3500</v>
      </c>
      <c r="DU31" s="228">
        <v>0.4</v>
      </c>
      <c r="DV31" s="228">
        <v>0.35</v>
      </c>
      <c r="DW31" s="228">
        <v>0.05</v>
      </c>
      <c r="DX31" s="229">
        <v>0.1429</v>
      </c>
      <c r="DY31" s="229">
        <v>9.9000000000000005E-2</v>
      </c>
      <c r="DZ31" s="230">
        <v>1814800</v>
      </c>
      <c r="EA31" s="229">
        <v>6.7000000000000002E-3</v>
      </c>
      <c r="EB31" s="229">
        <v>9.9000000000000005E-2</v>
      </c>
      <c r="EC31" s="228">
        <v>23.31</v>
      </c>
      <c r="ED31" s="229">
        <v>6.3E-3</v>
      </c>
      <c r="EE31" s="230">
        <v>1623084</v>
      </c>
      <c r="EF31" s="230">
        <v>1110493</v>
      </c>
      <c r="EG31" s="229">
        <v>0.46160000000000001</v>
      </c>
      <c r="EH31" s="229">
        <v>0.32500000000000001</v>
      </c>
      <c r="EI31" s="231">
        <v>2634534.12</v>
      </c>
      <c r="EJ31" s="231">
        <v>993275.71</v>
      </c>
      <c r="EK31" s="231">
        <v>254469.19</v>
      </c>
      <c r="EL31" s="231">
        <v>9531</v>
      </c>
      <c r="EM31" s="231">
        <v>3882279.02</v>
      </c>
      <c r="EN31" s="231">
        <v>793974.65</v>
      </c>
      <c r="EO31" s="231">
        <v>3088304.37</v>
      </c>
      <c r="EP31" s="229">
        <v>3.8896999999999999</v>
      </c>
      <c r="EQ31" s="231">
        <v>366905</v>
      </c>
      <c r="ER31" s="231">
        <v>155467</v>
      </c>
      <c r="ES31" s="231">
        <v>713320</v>
      </c>
      <c r="ET31" s="231">
        <v>95452027</v>
      </c>
      <c r="EU31" s="231">
        <v>1235692</v>
      </c>
      <c r="EV31" s="231">
        <v>1030710</v>
      </c>
      <c r="EW31" s="231">
        <v>204982</v>
      </c>
      <c r="EX31" s="229">
        <v>0.19889999999999999</v>
      </c>
      <c r="EY31" s="229">
        <v>0.3503</v>
      </c>
    </row>
    <row r="32" spans="1:155" ht="17.25" thickBot="1" x14ac:dyDescent="0.3">
      <c r="A32" s="226">
        <v>46064</v>
      </c>
      <c r="B32" s="227" t="s">
        <v>162</v>
      </c>
      <c r="C32" s="227" t="s">
        <v>255</v>
      </c>
      <c r="D32" s="231">
        <v>15418</v>
      </c>
      <c r="E32" s="231">
        <v>15197</v>
      </c>
      <c r="F32" s="228">
        <v>221</v>
      </c>
      <c r="G32" s="229">
        <v>1.4500000000000001E-2</v>
      </c>
      <c r="H32" s="231">
        <v>15412</v>
      </c>
      <c r="I32" s="231">
        <v>15146</v>
      </c>
      <c r="J32" s="228">
        <v>266</v>
      </c>
      <c r="K32" s="229">
        <v>1.7600000000000001E-2</v>
      </c>
      <c r="L32" s="231">
        <v>15418</v>
      </c>
      <c r="M32" s="231">
        <v>15197</v>
      </c>
      <c r="N32" s="228">
        <v>221</v>
      </c>
      <c r="O32" s="229">
        <v>1.4500000000000001E-2</v>
      </c>
      <c r="P32" s="231">
        <v>15515</v>
      </c>
      <c r="Q32" s="231">
        <v>15285</v>
      </c>
      <c r="R32" s="228">
        <v>230</v>
      </c>
      <c r="S32" s="229">
        <v>1.4999999999999999E-2</v>
      </c>
      <c r="T32" s="231">
        <v>15608</v>
      </c>
      <c r="U32" s="231">
        <v>15386</v>
      </c>
      <c r="V32" s="228">
        <v>222</v>
      </c>
      <c r="W32" s="229">
        <v>1.44E-2</v>
      </c>
      <c r="X32" s="228">
        <v>6</v>
      </c>
      <c r="Y32" s="228">
        <v>51</v>
      </c>
      <c r="Z32" s="228">
        <v>-45</v>
      </c>
      <c r="AA32" s="229">
        <v>4.0000000000000002E-4</v>
      </c>
      <c r="AB32" s="228">
        <v>6</v>
      </c>
      <c r="AC32" s="228">
        <v>51</v>
      </c>
      <c r="AD32" s="228">
        <v>-45</v>
      </c>
      <c r="AE32" s="229">
        <v>4.0000000000000002E-4</v>
      </c>
      <c r="AF32" s="228">
        <v>103</v>
      </c>
      <c r="AG32" s="228">
        <v>139</v>
      </c>
      <c r="AH32" s="228">
        <v>-36</v>
      </c>
      <c r="AI32" s="229">
        <v>6.7000000000000002E-3</v>
      </c>
      <c r="AJ32" s="228">
        <v>196</v>
      </c>
      <c r="AK32" s="228">
        <v>240</v>
      </c>
      <c r="AL32" s="228">
        <v>-44</v>
      </c>
      <c r="AM32" s="229">
        <v>1.2699999999999999E-2</v>
      </c>
      <c r="AN32" s="231">
        <v>15378.23</v>
      </c>
      <c r="AO32" s="231">
        <v>15470.28</v>
      </c>
      <c r="AP32" s="228">
        <v>0</v>
      </c>
      <c r="AQ32" s="230">
        <v>11645</v>
      </c>
      <c r="AR32" s="230">
        <v>11169</v>
      </c>
      <c r="AS32" s="228">
        <v>476</v>
      </c>
      <c r="AT32" s="229">
        <v>4.2599999999999999E-2</v>
      </c>
      <c r="AU32" s="230">
        <v>10782</v>
      </c>
      <c r="AV32" s="230">
        <v>10195</v>
      </c>
      <c r="AW32" s="228">
        <v>587</v>
      </c>
      <c r="AX32" s="229">
        <v>5.7599999999999998E-2</v>
      </c>
      <c r="AY32" s="228">
        <v>817</v>
      </c>
      <c r="AZ32" s="228">
        <v>905</v>
      </c>
      <c r="BA32" s="228">
        <v>-88</v>
      </c>
      <c r="BB32" s="229">
        <v>-9.7199999999999995E-2</v>
      </c>
      <c r="BC32" s="228">
        <v>46</v>
      </c>
      <c r="BD32" s="228">
        <v>69</v>
      </c>
      <c r="BE32" s="228">
        <v>-23</v>
      </c>
      <c r="BF32" s="229">
        <v>-0.33329999999999999</v>
      </c>
      <c r="BG32" s="230">
        <v>150449</v>
      </c>
      <c r="BH32" s="230">
        <v>170705</v>
      </c>
      <c r="BI32" s="230">
        <v>-20256</v>
      </c>
      <c r="BJ32" s="229">
        <v>-0.1187</v>
      </c>
      <c r="BK32" s="230">
        <v>65143</v>
      </c>
      <c r="BL32" s="230">
        <v>70846</v>
      </c>
      <c r="BM32" s="230">
        <v>-5703</v>
      </c>
      <c r="BN32" s="229">
        <v>-8.0500000000000002E-2</v>
      </c>
      <c r="BO32" s="230">
        <v>227237</v>
      </c>
      <c r="BP32" s="230">
        <v>252720</v>
      </c>
      <c r="BQ32" s="230">
        <v>-25483</v>
      </c>
      <c r="BR32" s="229">
        <v>-0.1008</v>
      </c>
      <c r="BS32" s="230">
        <v>374793</v>
      </c>
      <c r="BT32" s="230">
        <v>371688</v>
      </c>
      <c r="BU32" s="230">
        <v>3105</v>
      </c>
      <c r="BV32" s="229">
        <v>8.3999999999999995E-3</v>
      </c>
      <c r="BW32" s="230">
        <v>3214900</v>
      </c>
      <c r="BX32" s="230">
        <v>3189200</v>
      </c>
      <c r="BY32" s="230">
        <v>25700</v>
      </c>
      <c r="BZ32" s="229">
        <v>8.0999999999999996E-3</v>
      </c>
      <c r="CA32" s="230">
        <v>2984850</v>
      </c>
      <c r="CB32" s="230">
        <v>2968450</v>
      </c>
      <c r="CC32" s="230">
        <v>16400</v>
      </c>
      <c r="CD32" s="229">
        <v>5.4999999999999997E-3</v>
      </c>
      <c r="CE32" s="230">
        <v>215250</v>
      </c>
      <c r="CF32" s="230">
        <v>206550</v>
      </c>
      <c r="CG32" s="230">
        <v>8700</v>
      </c>
      <c r="CH32" s="229">
        <v>4.2099999999999999E-2</v>
      </c>
      <c r="CI32" s="230">
        <v>14800</v>
      </c>
      <c r="CJ32" s="230">
        <v>14200</v>
      </c>
      <c r="CK32" s="228">
        <v>600</v>
      </c>
      <c r="CL32" s="229">
        <v>4.2299999999999997E-2</v>
      </c>
      <c r="CM32" s="230">
        <v>2839200</v>
      </c>
      <c r="CN32" s="230">
        <v>3003450</v>
      </c>
      <c r="CO32" s="230">
        <v>-164250</v>
      </c>
      <c r="CP32" s="229">
        <v>-5.4699999999999999E-2</v>
      </c>
      <c r="CQ32" s="230">
        <v>1655950</v>
      </c>
      <c r="CR32" s="230">
        <v>1468650</v>
      </c>
      <c r="CS32" s="230">
        <v>187300</v>
      </c>
      <c r="CT32" s="229">
        <v>0.1275</v>
      </c>
      <c r="CU32" s="230">
        <v>7710050</v>
      </c>
      <c r="CV32" s="230">
        <v>7661300</v>
      </c>
      <c r="CW32" s="230">
        <v>48750</v>
      </c>
      <c r="CX32" s="229">
        <v>6.4000000000000003E-3</v>
      </c>
      <c r="CY32" s="228">
        <v>20.58</v>
      </c>
      <c r="CZ32" s="228">
        <v>21.6</v>
      </c>
      <c r="DA32" s="228">
        <v>-1.02</v>
      </c>
      <c r="DB32" s="228">
        <v>-1.02</v>
      </c>
      <c r="DC32" s="228">
        <v>25.12</v>
      </c>
      <c r="DD32" s="228">
        <v>25.07</v>
      </c>
      <c r="DE32" s="228">
        <v>-4.54</v>
      </c>
      <c r="DF32" s="228">
        <v>0.05</v>
      </c>
      <c r="DG32" s="228">
        <v>20.05</v>
      </c>
      <c r="DH32" s="228">
        <v>21.56</v>
      </c>
      <c r="DI32" s="228">
        <v>-1.51</v>
      </c>
      <c r="DJ32" s="228">
        <v>-1.51</v>
      </c>
      <c r="DK32" s="228">
        <v>21.8</v>
      </c>
      <c r="DL32" s="228">
        <v>21.69</v>
      </c>
      <c r="DM32" s="228">
        <v>0.11</v>
      </c>
      <c r="DN32" s="228">
        <v>0.11</v>
      </c>
      <c r="DO32" s="228">
        <v>0.57999999999999996</v>
      </c>
      <c r="DP32" s="228">
        <v>0.49</v>
      </c>
      <c r="DQ32" s="228">
        <v>0.09</v>
      </c>
      <c r="DR32" s="229">
        <v>0.1837</v>
      </c>
      <c r="DS32" s="231">
        <v>16000</v>
      </c>
      <c r="DT32" s="231">
        <v>15000</v>
      </c>
      <c r="DU32" s="228">
        <v>0.43</v>
      </c>
      <c r="DV32" s="228">
        <v>0.42</v>
      </c>
      <c r="DW32" s="228">
        <v>0.01</v>
      </c>
      <c r="DX32" s="229">
        <v>2.3800000000000002E-2</v>
      </c>
      <c r="DY32" s="229">
        <v>7.1599999999999997E-2</v>
      </c>
      <c r="DZ32" s="230">
        <v>220750</v>
      </c>
      <c r="EA32" s="229">
        <v>6.3E-3</v>
      </c>
      <c r="EB32" s="229">
        <v>7.1599999999999997E-2</v>
      </c>
      <c r="EC32" s="228">
        <v>92.05</v>
      </c>
      <c r="ED32" s="229">
        <v>6.0000000000000001E-3</v>
      </c>
      <c r="EE32" s="230">
        <v>189815</v>
      </c>
      <c r="EF32" s="230">
        <v>144907</v>
      </c>
      <c r="EG32" s="229">
        <v>0.30990000000000001</v>
      </c>
      <c r="EH32" s="229">
        <v>0.50649999999999995</v>
      </c>
      <c r="EI32" s="231">
        <v>1190930.4099999999</v>
      </c>
      <c r="EJ32" s="231">
        <v>488638.96</v>
      </c>
      <c r="EK32" s="231">
        <v>89582.07</v>
      </c>
      <c r="EL32" s="231">
        <v>8775</v>
      </c>
      <c r="EM32" s="231">
        <v>1769151.44</v>
      </c>
      <c r="EN32" s="231">
        <v>1957519.17</v>
      </c>
      <c r="EO32" s="231">
        <v>-188367.73</v>
      </c>
      <c r="EP32" s="229">
        <v>-9.6199999999999994E-2</v>
      </c>
      <c r="EQ32" s="231">
        <v>446916</v>
      </c>
      <c r="ER32" s="231">
        <v>240530</v>
      </c>
      <c r="ES32" s="231">
        <v>495910</v>
      </c>
      <c r="ET32" s="231">
        <v>17687048</v>
      </c>
      <c r="EU32" s="231">
        <v>1183356</v>
      </c>
      <c r="EV32" s="231">
        <v>1168892</v>
      </c>
      <c r="EW32" s="231">
        <v>14464</v>
      </c>
      <c r="EX32" s="229">
        <v>1.24E-2</v>
      </c>
      <c r="EY32" s="229">
        <v>0.43590000000000001</v>
      </c>
    </row>
    <row r="33" spans="1:155" ht="17.25" thickBot="1" x14ac:dyDescent="0.3">
      <c r="A33" s="226">
        <v>46064</v>
      </c>
      <c r="B33" s="227" t="s">
        <v>170</v>
      </c>
      <c r="C33" s="227" t="s">
        <v>603</v>
      </c>
      <c r="D33" s="231">
        <v>1055.7</v>
      </c>
      <c r="E33" s="231">
        <v>1025.0999999999999</v>
      </c>
      <c r="F33" s="228">
        <v>30.6</v>
      </c>
      <c r="G33" s="229">
        <v>2.9899999999999999E-2</v>
      </c>
      <c r="H33" s="231">
        <v>1055.1500000000001</v>
      </c>
      <c r="I33" s="231">
        <v>1021.5</v>
      </c>
      <c r="J33" s="228">
        <v>33.65</v>
      </c>
      <c r="K33" s="229">
        <v>3.2899999999999999E-2</v>
      </c>
      <c r="L33" s="231">
        <v>1055.7</v>
      </c>
      <c r="M33" s="231">
        <v>1025.0999999999999</v>
      </c>
      <c r="N33" s="228">
        <v>30.6</v>
      </c>
      <c r="O33" s="229">
        <v>2.9899999999999999E-2</v>
      </c>
      <c r="P33" s="231">
        <v>1062.1500000000001</v>
      </c>
      <c r="Q33" s="231">
        <v>1031.3499999999999</v>
      </c>
      <c r="R33" s="228">
        <v>30.8</v>
      </c>
      <c r="S33" s="229">
        <v>2.9899999999999999E-2</v>
      </c>
      <c r="T33" s="231">
        <v>1069.1500000000001</v>
      </c>
      <c r="U33" s="231">
        <v>1038.5999999999999</v>
      </c>
      <c r="V33" s="228">
        <v>30.55</v>
      </c>
      <c r="W33" s="229">
        <v>2.9399999999999999E-2</v>
      </c>
      <c r="X33" s="228">
        <v>0.55000000000000004</v>
      </c>
      <c r="Y33" s="228">
        <v>3.6</v>
      </c>
      <c r="Z33" s="228">
        <v>-3.05</v>
      </c>
      <c r="AA33" s="229">
        <v>5.0000000000000001E-4</v>
      </c>
      <c r="AB33" s="228">
        <v>0.55000000000000004</v>
      </c>
      <c r="AC33" s="228">
        <v>3.6</v>
      </c>
      <c r="AD33" s="228">
        <v>-3.05</v>
      </c>
      <c r="AE33" s="229">
        <v>5.0000000000000001E-4</v>
      </c>
      <c r="AF33" s="228">
        <v>7</v>
      </c>
      <c r="AG33" s="228">
        <v>9.85</v>
      </c>
      <c r="AH33" s="228">
        <v>-2.85</v>
      </c>
      <c r="AI33" s="229">
        <v>6.6E-3</v>
      </c>
      <c r="AJ33" s="228">
        <v>14</v>
      </c>
      <c r="AK33" s="228">
        <v>17.100000000000001</v>
      </c>
      <c r="AL33" s="228">
        <v>-3.1</v>
      </c>
      <c r="AM33" s="229">
        <v>1.3299999999999999E-2</v>
      </c>
      <c r="AN33" s="231">
        <v>1048.8399999999999</v>
      </c>
      <c r="AO33" s="231">
        <v>1054.54</v>
      </c>
      <c r="AP33" s="228">
        <v>0</v>
      </c>
      <c r="AQ33" s="230">
        <v>8544</v>
      </c>
      <c r="AR33" s="230">
        <v>4558</v>
      </c>
      <c r="AS33" s="230">
        <v>3986</v>
      </c>
      <c r="AT33" s="229">
        <v>0.87450000000000006</v>
      </c>
      <c r="AU33" s="230">
        <v>7964</v>
      </c>
      <c r="AV33" s="230">
        <v>4210</v>
      </c>
      <c r="AW33" s="230">
        <v>3754</v>
      </c>
      <c r="AX33" s="229">
        <v>0.89170000000000005</v>
      </c>
      <c r="AY33" s="228">
        <v>514</v>
      </c>
      <c r="AZ33" s="228">
        <v>336</v>
      </c>
      <c r="BA33" s="228">
        <v>178</v>
      </c>
      <c r="BB33" s="229">
        <v>0.52980000000000005</v>
      </c>
      <c r="BC33" s="228">
        <v>66</v>
      </c>
      <c r="BD33" s="228">
        <v>12</v>
      </c>
      <c r="BE33" s="228">
        <v>54</v>
      </c>
      <c r="BF33" s="229">
        <v>4.5</v>
      </c>
      <c r="BG33" s="230">
        <v>45361</v>
      </c>
      <c r="BH33" s="230">
        <v>7797</v>
      </c>
      <c r="BI33" s="230">
        <v>37564</v>
      </c>
      <c r="BJ33" s="229">
        <v>4.8178000000000001</v>
      </c>
      <c r="BK33" s="230">
        <v>12269</v>
      </c>
      <c r="BL33" s="230">
        <v>3650</v>
      </c>
      <c r="BM33" s="230">
        <v>8619</v>
      </c>
      <c r="BN33" s="229">
        <v>2.3614000000000002</v>
      </c>
      <c r="BO33" s="230">
        <v>66174</v>
      </c>
      <c r="BP33" s="230">
        <v>16005</v>
      </c>
      <c r="BQ33" s="230">
        <v>50169</v>
      </c>
      <c r="BR33" s="229">
        <v>3.1345999999999998</v>
      </c>
      <c r="BS33" s="230">
        <v>4244138</v>
      </c>
      <c r="BT33" s="230">
        <v>4686935</v>
      </c>
      <c r="BU33" s="230">
        <v>-442797</v>
      </c>
      <c r="BV33" s="229">
        <v>-9.4500000000000001E-2</v>
      </c>
      <c r="BW33" s="230">
        <v>15758400</v>
      </c>
      <c r="BX33" s="230">
        <v>15888075</v>
      </c>
      <c r="BY33" s="230">
        <v>-129675</v>
      </c>
      <c r="BZ33" s="229">
        <v>-8.2000000000000007E-3</v>
      </c>
      <c r="CA33" s="230">
        <v>14965125</v>
      </c>
      <c r="CB33" s="230">
        <v>15078525</v>
      </c>
      <c r="CC33" s="230">
        <v>-113400</v>
      </c>
      <c r="CD33" s="229">
        <v>-7.4999999999999997E-3</v>
      </c>
      <c r="CE33" s="230">
        <v>750225</v>
      </c>
      <c r="CF33" s="230">
        <v>767025</v>
      </c>
      <c r="CG33" s="230">
        <v>-16800</v>
      </c>
      <c r="CH33" s="229">
        <v>-2.1899999999999999E-2</v>
      </c>
      <c r="CI33" s="230">
        <v>43050</v>
      </c>
      <c r="CJ33" s="230">
        <v>42525</v>
      </c>
      <c r="CK33" s="228">
        <v>525</v>
      </c>
      <c r="CL33" s="229">
        <v>1.23E-2</v>
      </c>
      <c r="CM33" s="230">
        <v>4279800</v>
      </c>
      <c r="CN33" s="230">
        <v>3178875</v>
      </c>
      <c r="CO33" s="230">
        <v>1100925</v>
      </c>
      <c r="CP33" s="229">
        <v>0.3463</v>
      </c>
      <c r="CQ33" s="230">
        <v>3399375</v>
      </c>
      <c r="CR33" s="230">
        <v>3031875</v>
      </c>
      <c r="CS33" s="230">
        <v>367500</v>
      </c>
      <c r="CT33" s="229">
        <v>0.1212</v>
      </c>
      <c r="CU33" s="230">
        <v>23437575</v>
      </c>
      <c r="CV33" s="230">
        <v>22098825</v>
      </c>
      <c r="CW33" s="230">
        <v>1338750</v>
      </c>
      <c r="CX33" s="229">
        <v>6.0600000000000001E-2</v>
      </c>
      <c r="CY33" s="228">
        <v>33.47</v>
      </c>
      <c r="CZ33" s="228">
        <v>29.9</v>
      </c>
      <c r="DA33" s="228">
        <v>3.57</v>
      </c>
      <c r="DB33" s="228">
        <v>3.57</v>
      </c>
      <c r="DC33" s="228">
        <v>38.08</v>
      </c>
      <c r="DD33" s="228">
        <v>37.92</v>
      </c>
      <c r="DE33" s="228">
        <v>-4.6100000000000003</v>
      </c>
      <c r="DF33" s="228">
        <v>0.16</v>
      </c>
      <c r="DG33" s="228">
        <v>33.33</v>
      </c>
      <c r="DH33" s="228">
        <v>29.55</v>
      </c>
      <c r="DI33" s="228">
        <v>3.78</v>
      </c>
      <c r="DJ33" s="228">
        <v>3.78</v>
      </c>
      <c r="DK33" s="228">
        <v>33.99</v>
      </c>
      <c r="DL33" s="228">
        <v>30.65</v>
      </c>
      <c r="DM33" s="228">
        <v>3.34</v>
      </c>
      <c r="DN33" s="228">
        <v>3.34</v>
      </c>
      <c r="DO33" s="228">
        <v>0.79</v>
      </c>
      <c r="DP33" s="228">
        <v>0.95</v>
      </c>
      <c r="DQ33" s="228">
        <v>-0.16</v>
      </c>
      <c r="DR33" s="229">
        <v>-0.16839999999999999</v>
      </c>
      <c r="DS33" s="231">
        <v>1050</v>
      </c>
      <c r="DT33" s="231">
        <v>1000</v>
      </c>
      <c r="DU33" s="228">
        <v>0.27</v>
      </c>
      <c r="DV33" s="228">
        <v>0.47</v>
      </c>
      <c r="DW33" s="228">
        <v>-0.2</v>
      </c>
      <c r="DX33" s="229">
        <v>-0.42549999999999999</v>
      </c>
      <c r="DY33" s="229">
        <v>5.0299999999999997E-2</v>
      </c>
      <c r="DZ33" s="230">
        <v>809550</v>
      </c>
      <c r="EA33" s="229">
        <v>6.1000000000000004E-3</v>
      </c>
      <c r="EB33" s="229">
        <v>5.0299999999999997E-2</v>
      </c>
      <c r="EC33" s="228">
        <v>5.7</v>
      </c>
      <c r="ED33" s="229">
        <v>5.4000000000000003E-3</v>
      </c>
      <c r="EE33" s="230">
        <v>2367219</v>
      </c>
      <c r="EF33" s="230">
        <v>3351364</v>
      </c>
      <c r="EG33" s="229">
        <v>-0.29370000000000002</v>
      </c>
      <c r="EH33" s="229">
        <v>0.55779999999999996</v>
      </c>
      <c r="EI33" s="231">
        <v>258055.2</v>
      </c>
      <c r="EJ33" s="231">
        <v>66487.509999999995</v>
      </c>
      <c r="EK33" s="231">
        <v>47066.31</v>
      </c>
      <c r="EL33" s="231">
        <v>6682</v>
      </c>
      <c r="EM33" s="231">
        <v>371609.02</v>
      </c>
      <c r="EN33" s="231">
        <v>87192.89</v>
      </c>
      <c r="EO33" s="231">
        <v>284416.13</v>
      </c>
      <c r="EP33" s="229">
        <v>3.2618999999999998</v>
      </c>
      <c r="EQ33" s="231">
        <v>45561</v>
      </c>
      <c r="ER33" s="231">
        <v>33782</v>
      </c>
      <c r="ES33" s="231">
        <v>166416</v>
      </c>
      <c r="ET33" s="231">
        <v>111218809</v>
      </c>
      <c r="EU33" s="231">
        <v>245759</v>
      </c>
      <c r="EV33" s="231">
        <v>226440</v>
      </c>
      <c r="EW33" s="231">
        <v>19319</v>
      </c>
      <c r="EX33" s="229">
        <v>8.5300000000000001E-2</v>
      </c>
      <c r="EY33" s="229">
        <v>0.2107</v>
      </c>
    </row>
    <row r="34" spans="1:155" ht="17.25" thickBot="1" x14ac:dyDescent="0.3">
      <c r="A34" s="226">
        <v>46064</v>
      </c>
      <c r="B34" s="227" t="s">
        <v>168</v>
      </c>
      <c r="C34" s="227" t="s">
        <v>265</v>
      </c>
      <c r="D34" s="231">
        <v>1305.9000000000001</v>
      </c>
      <c r="E34" s="231">
        <v>1309.4000000000001</v>
      </c>
      <c r="F34" s="228">
        <v>-3.5</v>
      </c>
      <c r="G34" s="229">
        <v>-2.7000000000000001E-3</v>
      </c>
      <c r="H34" s="231">
        <v>1305.3</v>
      </c>
      <c r="I34" s="231">
        <v>1308.5999999999999</v>
      </c>
      <c r="J34" s="228">
        <v>-3.3</v>
      </c>
      <c r="K34" s="229">
        <v>-2.5000000000000001E-3</v>
      </c>
      <c r="L34" s="231">
        <v>1305.9000000000001</v>
      </c>
      <c r="M34" s="231">
        <v>1309.4000000000001</v>
      </c>
      <c r="N34" s="228">
        <v>-3.5</v>
      </c>
      <c r="O34" s="229">
        <v>-2.7000000000000001E-3</v>
      </c>
      <c r="P34" s="231">
        <v>1313.6</v>
      </c>
      <c r="Q34" s="231">
        <v>1317.4</v>
      </c>
      <c r="R34" s="228">
        <v>-3.8</v>
      </c>
      <c r="S34" s="229">
        <v>-2.8999999999999998E-3</v>
      </c>
      <c r="T34" s="231">
        <v>1322.4</v>
      </c>
      <c r="U34" s="231">
        <v>1325.3</v>
      </c>
      <c r="V34" s="228">
        <v>-2.9</v>
      </c>
      <c r="W34" s="229">
        <v>-2.2000000000000001E-3</v>
      </c>
      <c r="X34" s="228">
        <v>0.6</v>
      </c>
      <c r="Y34" s="228">
        <v>0.8</v>
      </c>
      <c r="Z34" s="228">
        <v>-0.2</v>
      </c>
      <c r="AA34" s="229">
        <v>5.0000000000000001E-4</v>
      </c>
      <c r="AB34" s="228">
        <v>0.6</v>
      </c>
      <c r="AC34" s="228">
        <v>0.8</v>
      </c>
      <c r="AD34" s="228">
        <v>-0.2</v>
      </c>
      <c r="AE34" s="229">
        <v>5.0000000000000001E-4</v>
      </c>
      <c r="AF34" s="228">
        <v>8.3000000000000007</v>
      </c>
      <c r="AG34" s="228">
        <v>8.8000000000000007</v>
      </c>
      <c r="AH34" s="228">
        <v>-0.5</v>
      </c>
      <c r="AI34" s="229">
        <v>6.4000000000000003E-3</v>
      </c>
      <c r="AJ34" s="228">
        <v>17.100000000000001</v>
      </c>
      <c r="AK34" s="228">
        <v>16.7</v>
      </c>
      <c r="AL34" s="228">
        <v>0.4</v>
      </c>
      <c r="AM34" s="229">
        <v>1.3100000000000001E-2</v>
      </c>
      <c r="AN34" s="231">
        <v>1310.47</v>
      </c>
      <c r="AO34" s="231">
        <v>1320.18</v>
      </c>
      <c r="AP34" s="228">
        <v>0</v>
      </c>
      <c r="AQ34" s="230">
        <v>3278</v>
      </c>
      <c r="AR34" s="230">
        <v>2159</v>
      </c>
      <c r="AS34" s="230">
        <v>1119</v>
      </c>
      <c r="AT34" s="229">
        <v>0.51829999999999998</v>
      </c>
      <c r="AU34" s="230">
        <v>3103</v>
      </c>
      <c r="AV34" s="230">
        <v>2066</v>
      </c>
      <c r="AW34" s="230">
        <v>1037</v>
      </c>
      <c r="AX34" s="229">
        <v>0.50190000000000001</v>
      </c>
      <c r="AY34" s="228">
        <v>166</v>
      </c>
      <c r="AZ34" s="228">
        <v>89</v>
      </c>
      <c r="BA34" s="228">
        <v>77</v>
      </c>
      <c r="BB34" s="229">
        <v>0.86519999999999997</v>
      </c>
      <c r="BC34" s="228">
        <v>9</v>
      </c>
      <c r="BD34" s="228">
        <v>4</v>
      </c>
      <c r="BE34" s="228">
        <v>5</v>
      </c>
      <c r="BF34" s="229">
        <v>1.25</v>
      </c>
      <c r="BG34" s="230">
        <v>12012</v>
      </c>
      <c r="BH34" s="230">
        <v>8527</v>
      </c>
      <c r="BI34" s="230">
        <v>3485</v>
      </c>
      <c r="BJ34" s="229">
        <v>0.40870000000000001</v>
      </c>
      <c r="BK34" s="230">
        <v>4382</v>
      </c>
      <c r="BL34" s="230">
        <v>2135</v>
      </c>
      <c r="BM34" s="230">
        <v>2247</v>
      </c>
      <c r="BN34" s="229">
        <v>1.0525</v>
      </c>
      <c r="BO34" s="230">
        <v>19672</v>
      </c>
      <c r="BP34" s="230">
        <v>12821</v>
      </c>
      <c r="BQ34" s="230">
        <v>6851</v>
      </c>
      <c r="BR34" s="229">
        <v>0.53439999999999999</v>
      </c>
      <c r="BS34" s="230">
        <v>921517</v>
      </c>
      <c r="BT34" s="230">
        <v>947211</v>
      </c>
      <c r="BU34" s="230">
        <v>-25694</v>
      </c>
      <c r="BV34" s="229">
        <v>-2.7099999999999999E-2</v>
      </c>
      <c r="BW34" s="230">
        <v>16490000</v>
      </c>
      <c r="BX34" s="230">
        <v>16667000</v>
      </c>
      <c r="BY34" s="230">
        <v>-177000</v>
      </c>
      <c r="BZ34" s="229">
        <v>-1.06E-2</v>
      </c>
      <c r="CA34" s="230">
        <v>15996500</v>
      </c>
      <c r="CB34" s="230">
        <v>16189500</v>
      </c>
      <c r="CC34" s="230">
        <v>-193000</v>
      </c>
      <c r="CD34" s="229">
        <v>-1.1900000000000001E-2</v>
      </c>
      <c r="CE34" s="230">
        <v>448000</v>
      </c>
      <c r="CF34" s="230">
        <v>435000</v>
      </c>
      <c r="CG34" s="230">
        <v>13000</v>
      </c>
      <c r="CH34" s="229">
        <v>2.9899999999999999E-2</v>
      </c>
      <c r="CI34" s="230">
        <v>45500</v>
      </c>
      <c r="CJ34" s="230">
        <v>42500</v>
      </c>
      <c r="CK34" s="230">
        <v>3000</v>
      </c>
      <c r="CL34" s="229">
        <v>7.0599999999999996E-2</v>
      </c>
      <c r="CM34" s="230">
        <v>5612500</v>
      </c>
      <c r="CN34" s="230">
        <v>5599500</v>
      </c>
      <c r="CO34" s="230">
        <v>13000</v>
      </c>
      <c r="CP34" s="229">
        <v>2.3E-3</v>
      </c>
      <c r="CQ34" s="230">
        <v>2664500</v>
      </c>
      <c r="CR34" s="230">
        <v>2616500</v>
      </c>
      <c r="CS34" s="230">
        <v>48000</v>
      </c>
      <c r="CT34" s="229">
        <v>1.83E-2</v>
      </c>
      <c r="CU34" s="230">
        <v>24767000</v>
      </c>
      <c r="CV34" s="230">
        <v>24883000</v>
      </c>
      <c r="CW34" s="230">
        <v>-116000</v>
      </c>
      <c r="CX34" s="229">
        <v>-4.7000000000000002E-3</v>
      </c>
      <c r="CY34" s="228">
        <v>21.38</v>
      </c>
      <c r="CZ34" s="228">
        <v>21.63</v>
      </c>
      <c r="DA34" s="228">
        <v>-0.25</v>
      </c>
      <c r="DB34" s="228">
        <v>-0.25</v>
      </c>
      <c r="DC34" s="228">
        <v>23.2</v>
      </c>
      <c r="DD34" s="228">
        <v>23.25</v>
      </c>
      <c r="DE34" s="228">
        <v>-1.82</v>
      </c>
      <c r="DF34" s="228">
        <v>-0.05</v>
      </c>
      <c r="DG34" s="228">
        <v>21.27</v>
      </c>
      <c r="DH34" s="228">
        <v>21.44</v>
      </c>
      <c r="DI34" s="228">
        <v>-0.17</v>
      </c>
      <c r="DJ34" s="228">
        <v>-0.17</v>
      </c>
      <c r="DK34" s="228">
        <v>21.68</v>
      </c>
      <c r="DL34" s="228">
        <v>22.39</v>
      </c>
      <c r="DM34" s="228">
        <v>-0.71</v>
      </c>
      <c r="DN34" s="228">
        <v>-0.71</v>
      </c>
      <c r="DO34" s="228">
        <v>0.47</v>
      </c>
      <c r="DP34" s="228">
        <v>0.47</v>
      </c>
      <c r="DQ34" s="228">
        <v>0</v>
      </c>
      <c r="DR34" s="229">
        <v>0</v>
      </c>
      <c r="DS34" s="231">
        <v>1360</v>
      </c>
      <c r="DT34" s="231">
        <v>1300</v>
      </c>
      <c r="DU34" s="228">
        <v>0.36</v>
      </c>
      <c r="DV34" s="228">
        <v>0.25</v>
      </c>
      <c r="DW34" s="228">
        <v>0.11</v>
      </c>
      <c r="DX34" s="229">
        <v>0.44</v>
      </c>
      <c r="DY34" s="229">
        <v>2.9899999999999999E-2</v>
      </c>
      <c r="DZ34" s="230">
        <v>477500</v>
      </c>
      <c r="EA34" s="229">
        <v>5.8999999999999999E-3</v>
      </c>
      <c r="EB34" s="229">
        <v>2.9899999999999999E-2</v>
      </c>
      <c r="EC34" s="228">
        <v>9.7100000000000009</v>
      </c>
      <c r="ED34" s="229">
        <v>7.4000000000000003E-3</v>
      </c>
      <c r="EE34" s="230">
        <v>544046</v>
      </c>
      <c r="EF34" s="230">
        <v>585065</v>
      </c>
      <c r="EG34" s="229">
        <v>-7.0099999999999996E-2</v>
      </c>
      <c r="EH34" s="229">
        <v>0.59040000000000004</v>
      </c>
      <c r="EI34" s="231">
        <v>81168.39</v>
      </c>
      <c r="EJ34" s="231">
        <v>28096.03</v>
      </c>
      <c r="EK34" s="231">
        <v>21487.23</v>
      </c>
      <c r="EL34" s="231">
        <v>2780</v>
      </c>
      <c r="EM34" s="231">
        <v>130751.65</v>
      </c>
      <c r="EN34" s="231">
        <v>85050.71</v>
      </c>
      <c r="EO34" s="231">
        <v>45700.94</v>
      </c>
      <c r="EP34" s="229">
        <v>0.5373</v>
      </c>
      <c r="EQ34" s="231">
        <v>76374</v>
      </c>
      <c r="ER34" s="231">
        <v>33009</v>
      </c>
      <c r="ES34" s="231">
        <v>215385</v>
      </c>
      <c r="ET34" s="231">
        <v>71801274</v>
      </c>
      <c r="EU34" s="231">
        <v>324768</v>
      </c>
      <c r="EV34" s="231">
        <v>326807</v>
      </c>
      <c r="EW34" s="231">
        <v>-2039</v>
      </c>
      <c r="EX34" s="229">
        <v>-6.1999999999999998E-3</v>
      </c>
      <c r="EY34" s="229">
        <v>0.34489999999999998</v>
      </c>
    </row>
    <row r="35" spans="1:155" ht="17.25" thickBot="1" x14ac:dyDescent="0.3">
      <c r="A35" s="226">
        <v>46064</v>
      </c>
      <c r="B35" s="227" t="s">
        <v>161</v>
      </c>
      <c r="C35" s="227" t="s">
        <v>268</v>
      </c>
      <c r="D35" s="228">
        <v>368.4</v>
      </c>
      <c r="E35" s="228">
        <v>367.15</v>
      </c>
      <c r="F35" s="228">
        <v>1.25</v>
      </c>
      <c r="G35" s="229">
        <v>3.3999999999999998E-3</v>
      </c>
      <c r="H35" s="228">
        <v>368.45</v>
      </c>
      <c r="I35" s="228">
        <v>366.9</v>
      </c>
      <c r="J35" s="228">
        <v>1.55</v>
      </c>
      <c r="K35" s="229">
        <v>4.1999999999999997E-3</v>
      </c>
      <c r="L35" s="228">
        <v>368.4</v>
      </c>
      <c r="M35" s="228">
        <v>367.15</v>
      </c>
      <c r="N35" s="228">
        <v>1.25</v>
      </c>
      <c r="O35" s="229">
        <v>3.3999999999999998E-3</v>
      </c>
      <c r="P35" s="228">
        <v>370.8</v>
      </c>
      <c r="Q35" s="228">
        <v>369.5</v>
      </c>
      <c r="R35" s="228">
        <v>1.3</v>
      </c>
      <c r="S35" s="229">
        <v>3.5000000000000001E-3</v>
      </c>
      <c r="T35" s="228">
        <v>373.45</v>
      </c>
      <c r="U35" s="228">
        <v>371.5</v>
      </c>
      <c r="V35" s="228">
        <v>1.95</v>
      </c>
      <c r="W35" s="229">
        <v>5.1999999999999998E-3</v>
      </c>
      <c r="X35" s="228">
        <v>-0.05</v>
      </c>
      <c r="Y35" s="228">
        <v>0.25</v>
      </c>
      <c r="Z35" s="228">
        <v>-0.3</v>
      </c>
      <c r="AA35" s="229">
        <v>-1E-4</v>
      </c>
      <c r="AB35" s="228">
        <v>-0.05</v>
      </c>
      <c r="AC35" s="228">
        <v>0.25</v>
      </c>
      <c r="AD35" s="228">
        <v>-0.3</v>
      </c>
      <c r="AE35" s="229">
        <v>-1E-4</v>
      </c>
      <c r="AF35" s="228">
        <v>2.35</v>
      </c>
      <c r="AG35" s="228">
        <v>2.6</v>
      </c>
      <c r="AH35" s="228">
        <v>-0.25</v>
      </c>
      <c r="AI35" s="229">
        <v>6.4000000000000003E-3</v>
      </c>
      <c r="AJ35" s="228">
        <v>5</v>
      </c>
      <c r="AK35" s="228">
        <v>4.5999999999999996</v>
      </c>
      <c r="AL35" s="228">
        <v>0.4</v>
      </c>
      <c r="AM35" s="229">
        <v>1.3599999999999999E-2</v>
      </c>
      <c r="AN35" s="228">
        <v>367.68</v>
      </c>
      <c r="AO35" s="228">
        <v>370.02</v>
      </c>
      <c r="AP35" s="228">
        <v>0</v>
      </c>
      <c r="AQ35" s="230">
        <v>5302</v>
      </c>
      <c r="AR35" s="230">
        <v>6323</v>
      </c>
      <c r="AS35" s="230">
        <v>-1021</v>
      </c>
      <c r="AT35" s="229">
        <v>-0.1615</v>
      </c>
      <c r="AU35" s="230">
        <v>4982</v>
      </c>
      <c r="AV35" s="230">
        <v>5771</v>
      </c>
      <c r="AW35" s="228">
        <v>-789</v>
      </c>
      <c r="AX35" s="229">
        <v>-0.13669999999999999</v>
      </c>
      <c r="AY35" s="228">
        <v>286</v>
      </c>
      <c r="AZ35" s="228">
        <v>517</v>
      </c>
      <c r="BA35" s="228">
        <v>-231</v>
      </c>
      <c r="BB35" s="229">
        <v>-0.44679999999999997</v>
      </c>
      <c r="BC35" s="228">
        <v>34</v>
      </c>
      <c r="BD35" s="228">
        <v>35</v>
      </c>
      <c r="BE35" s="228">
        <v>-1</v>
      </c>
      <c r="BF35" s="229">
        <v>-2.86E-2</v>
      </c>
      <c r="BG35" s="230">
        <v>40321</v>
      </c>
      <c r="BH35" s="230">
        <v>48376</v>
      </c>
      <c r="BI35" s="230">
        <v>-8055</v>
      </c>
      <c r="BJ35" s="229">
        <v>-0.16650000000000001</v>
      </c>
      <c r="BK35" s="230">
        <v>17906</v>
      </c>
      <c r="BL35" s="230">
        <v>24789</v>
      </c>
      <c r="BM35" s="230">
        <v>-6883</v>
      </c>
      <c r="BN35" s="229">
        <v>-0.2777</v>
      </c>
      <c r="BO35" s="230">
        <v>63529</v>
      </c>
      <c r="BP35" s="230">
        <v>79488</v>
      </c>
      <c r="BQ35" s="230">
        <v>-15959</v>
      </c>
      <c r="BR35" s="229">
        <v>-0.20080000000000001</v>
      </c>
      <c r="BS35" s="230">
        <v>5942180</v>
      </c>
      <c r="BT35" s="230">
        <v>8587592</v>
      </c>
      <c r="BU35" s="230">
        <v>-2645412</v>
      </c>
      <c r="BV35" s="229">
        <v>-0.30809999999999998</v>
      </c>
      <c r="BW35" s="230">
        <v>83593500</v>
      </c>
      <c r="BX35" s="230">
        <v>83947500</v>
      </c>
      <c r="BY35" s="230">
        <v>-354000</v>
      </c>
      <c r="BZ35" s="229">
        <v>-4.1999999999999997E-3</v>
      </c>
      <c r="CA35" s="230">
        <v>80425500</v>
      </c>
      <c r="CB35" s="230">
        <v>80881500</v>
      </c>
      <c r="CC35" s="230">
        <v>-456000</v>
      </c>
      <c r="CD35" s="229">
        <v>-5.5999999999999999E-3</v>
      </c>
      <c r="CE35" s="230">
        <v>2704500</v>
      </c>
      <c r="CF35" s="230">
        <v>2601000</v>
      </c>
      <c r="CG35" s="230">
        <v>103500</v>
      </c>
      <c r="CH35" s="229">
        <v>3.9800000000000002E-2</v>
      </c>
      <c r="CI35" s="230">
        <v>463500</v>
      </c>
      <c r="CJ35" s="230">
        <v>465000</v>
      </c>
      <c r="CK35" s="230">
        <v>-1500</v>
      </c>
      <c r="CL35" s="229">
        <v>-3.2000000000000002E-3</v>
      </c>
      <c r="CM35" s="230">
        <v>94392000</v>
      </c>
      <c r="CN35" s="230">
        <v>90712500</v>
      </c>
      <c r="CO35" s="230">
        <v>3679500</v>
      </c>
      <c r="CP35" s="229">
        <v>4.0599999999999997E-2</v>
      </c>
      <c r="CQ35" s="230">
        <v>42552000</v>
      </c>
      <c r="CR35" s="230">
        <v>40789500</v>
      </c>
      <c r="CS35" s="230">
        <v>1762500</v>
      </c>
      <c r="CT35" s="229">
        <v>4.3200000000000002E-2</v>
      </c>
      <c r="CU35" s="230">
        <v>220537500</v>
      </c>
      <c r="CV35" s="230">
        <v>215449500</v>
      </c>
      <c r="CW35" s="230">
        <v>5088000</v>
      </c>
      <c r="CX35" s="229">
        <v>2.3599999999999999E-2</v>
      </c>
      <c r="CY35" s="228">
        <v>16.47</v>
      </c>
      <c r="CZ35" s="228">
        <v>17.07</v>
      </c>
      <c r="DA35" s="228">
        <v>-0.6</v>
      </c>
      <c r="DB35" s="228">
        <v>-0.6</v>
      </c>
      <c r="DC35" s="228">
        <v>27.43</v>
      </c>
      <c r="DD35" s="228">
        <v>27.5</v>
      </c>
      <c r="DE35" s="228">
        <v>-10.96</v>
      </c>
      <c r="DF35" s="228">
        <v>-7.0000000000000007E-2</v>
      </c>
      <c r="DG35" s="228">
        <v>15.63</v>
      </c>
      <c r="DH35" s="228">
        <v>16.440000000000001</v>
      </c>
      <c r="DI35" s="228">
        <v>-0.81</v>
      </c>
      <c r="DJ35" s="228">
        <v>-0.81</v>
      </c>
      <c r="DK35" s="228">
        <v>18.36</v>
      </c>
      <c r="DL35" s="228">
        <v>18.3</v>
      </c>
      <c r="DM35" s="228">
        <v>0.06</v>
      </c>
      <c r="DN35" s="228">
        <v>0.06</v>
      </c>
      <c r="DO35" s="228">
        <v>0.45</v>
      </c>
      <c r="DP35" s="228">
        <v>0.45</v>
      </c>
      <c r="DQ35" s="228">
        <v>0</v>
      </c>
      <c r="DR35" s="229">
        <v>0</v>
      </c>
      <c r="DS35" s="228">
        <v>370</v>
      </c>
      <c r="DT35" s="228">
        <v>370</v>
      </c>
      <c r="DU35" s="228">
        <v>0.44</v>
      </c>
      <c r="DV35" s="228">
        <v>0.51</v>
      </c>
      <c r="DW35" s="228">
        <v>-7.0000000000000007E-2</v>
      </c>
      <c r="DX35" s="229">
        <v>-0.13730000000000001</v>
      </c>
      <c r="DY35" s="229">
        <v>3.7900000000000003E-2</v>
      </c>
      <c r="DZ35" s="230">
        <v>3066000</v>
      </c>
      <c r="EA35" s="229">
        <v>6.4999999999999997E-3</v>
      </c>
      <c r="EB35" s="229">
        <v>3.7900000000000003E-2</v>
      </c>
      <c r="EC35" s="228">
        <v>2.34</v>
      </c>
      <c r="ED35" s="229">
        <v>6.4000000000000003E-3</v>
      </c>
      <c r="EE35" s="230">
        <v>4137901</v>
      </c>
      <c r="EF35" s="230">
        <v>5376984</v>
      </c>
      <c r="EG35" s="229">
        <v>-0.23039999999999999</v>
      </c>
      <c r="EH35" s="229">
        <v>0.69640000000000002</v>
      </c>
      <c r="EI35" s="231">
        <v>227484.19</v>
      </c>
      <c r="EJ35" s="231">
        <v>97141.88</v>
      </c>
      <c r="EK35" s="231">
        <v>29253.81</v>
      </c>
      <c r="EL35" s="231">
        <v>8649</v>
      </c>
      <c r="EM35" s="231">
        <v>353879.88</v>
      </c>
      <c r="EN35" s="231">
        <v>441546.25</v>
      </c>
      <c r="EO35" s="231">
        <v>-87666.37</v>
      </c>
      <c r="EP35" s="229">
        <v>-0.19850000000000001</v>
      </c>
      <c r="EQ35" s="231">
        <v>347799</v>
      </c>
      <c r="ER35" s="231">
        <v>149013</v>
      </c>
      <c r="ES35" s="231">
        <v>308047</v>
      </c>
      <c r="ET35" s="231">
        <v>474131988</v>
      </c>
      <c r="EU35" s="231">
        <v>804859</v>
      </c>
      <c r="EV35" s="231">
        <v>784774</v>
      </c>
      <c r="EW35" s="231">
        <v>20085</v>
      </c>
      <c r="EX35" s="229">
        <v>2.5600000000000001E-2</v>
      </c>
      <c r="EY35" s="229">
        <v>0.46510000000000001</v>
      </c>
    </row>
    <row r="36" spans="1:155" ht="17.25" thickBot="1" x14ac:dyDescent="0.3">
      <c r="A36" s="226">
        <v>46064</v>
      </c>
      <c r="B36" s="227" t="s">
        <v>193</v>
      </c>
      <c r="C36" s="227" t="s">
        <v>269</v>
      </c>
      <c r="D36" s="228">
        <v>272</v>
      </c>
      <c r="E36" s="228">
        <v>269.85000000000002</v>
      </c>
      <c r="F36" s="228">
        <v>2.15</v>
      </c>
      <c r="G36" s="229">
        <v>8.0000000000000002E-3</v>
      </c>
      <c r="H36" s="228">
        <v>274.60000000000002</v>
      </c>
      <c r="I36" s="228">
        <v>272.14999999999998</v>
      </c>
      <c r="J36" s="228">
        <v>2.4500000000000002</v>
      </c>
      <c r="K36" s="229">
        <v>8.9999999999999993E-3</v>
      </c>
      <c r="L36" s="228">
        <v>272</v>
      </c>
      <c r="M36" s="228">
        <v>269.85000000000002</v>
      </c>
      <c r="N36" s="228">
        <v>2.15</v>
      </c>
      <c r="O36" s="229">
        <v>8.0000000000000002E-3</v>
      </c>
      <c r="P36" s="228">
        <v>273.7</v>
      </c>
      <c r="Q36" s="228">
        <v>271.45</v>
      </c>
      <c r="R36" s="228">
        <v>2.25</v>
      </c>
      <c r="S36" s="229">
        <v>8.3000000000000001E-3</v>
      </c>
      <c r="T36" s="228">
        <v>275.2</v>
      </c>
      <c r="U36" s="228">
        <v>273</v>
      </c>
      <c r="V36" s="228">
        <v>2.2000000000000002</v>
      </c>
      <c r="W36" s="229">
        <v>8.0999999999999996E-3</v>
      </c>
      <c r="X36" s="228">
        <v>-2.6</v>
      </c>
      <c r="Y36" s="228">
        <v>-2.2999999999999998</v>
      </c>
      <c r="Z36" s="228">
        <v>-0.3</v>
      </c>
      <c r="AA36" s="229">
        <v>-9.4999999999999998E-3</v>
      </c>
      <c r="AB36" s="228">
        <v>-2.6</v>
      </c>
      <c r="AC36" s="228">
        <v>-2.2999999999999998</v>
      </c>
      <c r="AD36" s="228">
        <v>-0.3</v>
      </c>
      <c r="AE36" s="229">
        <v>-9.4999999999999998E-3</v>
      </c>
      <c r="AF36" s="228">
        <v>-0.9</v>
      </c>
      <c r="AG36" s="228">
        <v>-0.7</v>
      </c>
      <c r="AH36" s="228">
        <v>-0.2</v>
      </c>
      <c r="AI36" s="229">
        <v>-3.3E-3</v>
      </c>
      <c r="AJ36" s="228">
        <v>0.6</v>
      </c>
      <c r="AK36" s="228">
        <v>0.85</v>
      </c>
      <c r="AL36" s="228">
        <v>-0.25</v>
      </c>
      <c r="AM36" s="229">
        <v>2.2000000000000001E-3</v>
      </c>
      <c r="AN36" s="228">
        <v>268.70999999999998</v>
      </c>
      <c r="AO36" s="228">
        <v>269.64999999999998</v>
      </c>
      <c r="AP36" s="228">
        <v>0</v>
      </c>
      <c r="AQ36" s="230">
        <v>11593</v>
      </c>
      <c r="AR36" s="230">
        <v>6478</v>
      </c>
      <c r="AS36" s="230">
        <v>5115</v>
      </c>
      <c r="AT36" s="229">
        <v>0.78959999999999997</v>
      </c>
      <c r="AU36" s="230">
        <v>10282</v>
      </c>
      <c r="AV36" s="230">
        <v>5878</v>
      </c>
      <c r="AW36" s="230">
        <v>4404</v>
      </c>
      <c r="AX36" s="229">
        <v>0.74919999999999998</v>
      </c>
      <c r="AY36" s="230">
        <v>1216</v>
      </c>
      <c r="AZ36" s="228">
        <v>482</v>
      </c>
      <c r="BA36" s="228">
        <v>734</v>
      </c>
      <c r="BB36" s="229">
        <v>1.5227999999999999</v>
      </c>
      <c r="BC36" s="228">
        <v>95</v>
      </c>
      <c r="BD36" s="228">
        <v>118</v>
      </c>
      <c r="BE36" s="228">
        <v>-23</v>
      </c>
      <c r="BF36" s="229">
        <v>-0.19489999999999999</v>
      </c>
      <c r="BG36" s="230">
        <v>45604</v>
      </c>
      <c r="BH36" s="230">
        <v>24853</v>
      </c>
      <c r="BI36" s="230">
        <v>20751</v>
      </c>
      <c r="BJ36" s="229">
        <v>0.83489999999999998</v>
      </c>
      <c r="BK36" s="230">
        <v>15251</v>
      </c>
      <c r="BL36" s="230">
        <v>8255</v>
      </c>
      <c r="BM36" s="230">
        <v>6996</v>
      </c>
      <c r="BN36" s="229">
        <v>0.84750000000000003</v>
      </c>
      <c r="BO36" s="230">
        <v>72448</v>
      </c>
      <c r="BP36" s="230">
        <v>39586</v>
      </c>
      <c r="BQ36" s="230">
        <v>32862</v>
      </c>
      <c r="BR36" s="229">
        <v>0.83009999999999995</v>
      </c>
      <c r="BS36" s="230">
        <v>18865271</v>
      </c>
      <c r="BT36" s="230">
        <v>13820769</v>
      </c>
      <c r="BU36" s="230">
        <v>5044502</v>
      </c>
      <c r="BV36" s="229">
        <v>0.36499999999999999</v>
      </c>
      <c r="BW36" s="230">
        <v>99094500</v>
      </c>
      <c r="BX36" s="230">
        <v>98066250</v>
      </c>
      <c r="BY36" s="230">
        <v>1028250</v>
      </c>
      <c r="BZ36" s="229">
        <v>1.0500000000000001E-2</v>
      </c>
      <c r="CA36" s="230">
        <v>94896000</v>
      </c>
      <c r="CB36" s="230">
        <v>94441500</v>
      </c>
      <c r="CC36" s="230">
        <v>454500</v>
      </c>
      <c r="CD36" s="229">
        <v>4.7999999999999996E-3</v>
      </c>
      <c r="CE36" s="230">
        <v>3636000</v>
      </c>
      <c r="CF36" s="230">
        <v>3093750</v>
      </c>
      <c r="CG36" s="230">
        <v>542250</v>
      </c>
      <c r="CH36" s="229">
        <v>0.17530000000000001</v>
      </c>
      <c r="CI36" s="230">
        <v>562500</v>
      </c>
      <c r="CJ36" s="230">
        <v>531000</v>
      </c>
      <c r="CK36" s="230">
        <v>31500</v>
      </c>
      <c r="CL36" s="229">
        <v>5.9299999999999999E-2</v>
      </c>
      <c r="CM36" s="230">
        <v>93638250</v>
      </c>
      <c r="CN36" s="230">
        <v>87491250</v>
      </c>
      <c r="CO36" s="230">
        <v>6147000</v>
      </c>
      <c r="CP36" s="229">
        <v>7.0300000000000001E-2</v>
      </c>
      <c r="CQ36" s="230">
        <v>39872250</v>
      </c>
      <c r="CR36" s="230">
        <v>36666000</v>
      </c>
      <c r="CS36" s="230">
        <v>3206250</v>
      </c>
      <c r="CT36" s="229">
        <v>8.7400000000000005E-2</v>
      </c>
      <c r="CU36" s="230">
        <v>232605000</v>
      </c>
      <c r="CV36" s="230">
        <v>222223500</v>
      </c>
      <c r="CW36" s="230">
        <v>10381500</v>
      </c>
      <c r="CX36" s="229">
        <v>4.6699999999999998E-2</v>
      </c>
      <c r="CY36" s="228">
        <v>33.67</v>
      </c>
      <c r="CZ36" s="228">
        <v>32.22</v>
      </c>
      <c r="DA36" s="228">
        <v>1.45</v>
      </c>
      <c r="DB36" s="228">
        <v>1.45</v>
      </c>
      <c r="DC36" s="228">
        <v>32.43</v>
      </c>
      <c r="DD36" s="228">
        <v>32.49</v>
      </c>
      <c r="DE36" s="228">
        <v>1.24</v>
      </c>
      <c r="DF36" s="228">
        <v>-0.06</v>
      </c>
      <c r="DG36" s="228">
        <v>33.590000000000003</v>
      </c>
      <c r="DH36" s="228">
        <v>32.07</v>
      </c>
      <c r="DI36" s="228">
        <v>1.52</v>
      </c>
      <c r="DJ36" s="228">
        <v>1.52</v>
      </c>
      <c r="DK36" s="228">
        <v>33.93</v>
      </c>
      <c r="DL36" s="228">
        <v>32.68</v>
      </c>
      <c r="DM36" s="228">
        <v>1.25</v>
      </c>
      <c r="DN36" s="228">
        <v>1.25</v>
      </c>
      <c r="DO36" s="228">
        <v>0.43</v>
      </c>
      <c r="DP36" s="228">
        <v>0.42</v>
      </c>
      <c r="DQ36" s="228">
        <v>0.01</v>
      </c>
      <c r="DR36" s="229">
        <v>2.3800000000000002E-2</v>
      </c>
      <c r="DS36" s="228">
        <v>280</v>
      </c>
      <c r="DT36" s="228">
        <v>250</v>
      </c>
      <c r="DU36" s="228">
        <v>0.33</v>
      </c>
      <c r="DV36" s="228">
        <v>0.33</v>
      </c>
      <c r="DW36" s="228">
        <v>0</v>
      </c>
      <c r="DX36" s="229">
        <v>0</v>
      </c>
      <c r="DY36" s="229">
        <v>4.24E-2</v>
      </c>
      <c r="DZ36" s="230">
        <v>3624750</v>
      </c>
      <c r="EA36" s="229">
        <v>6.1999999999999998E-3</v>
      </c>
      <c r="EB36" s="229">
        <v>4.24E-2</v>
      </c>
      <c r="EC36" s="228">
        <v>0.94</v>
      </c>
      <c r="ED36" s="229">
        <v>3.5000000000000001E-3</v>
      </c>
      <c r="EE36" s="230">
        <v>10071839</v>
      </c>
      <c r="EF36" s="230">
        <v>7670216</v>
      </c>
      <c r="EG36" s="229">
        <v>0.31309999999999999</v>
      </c>
      <c r="EH36" s="229">
        <v>0.53390000000000004</v>
      </c>
      <c r="EI36" s="231">
        <v>289437.49</v>
      </c>
      <c r="EJ36" s="231">
        <v>90885.85</v>
      </c>
      <c r="EK36" s="231">
        <v>70123.3</v>
      </c>
      <c r="EL36" s="231">
        <v>7576</v>
      </c>
      <c r="EM36" s="231">
        <v>450446.64</v>
      </c>
      <c r="EN36" s="231">
        <v>243961.32</v>
      </c>
      <c r="EO36" s="231">
        <v>206485.32</v>
      </c>
      <c r="EP36" s="229">
        <v>0.84640000000000004</v>
      </c>
      <c r="EQ36" s="231">
        <v>255760</v>
      </c>
      <c r="ER36" s="231">
        <v>100469</v>
      </c>
      <c r="ES36" s="231">
        <v>269617</v>
      </c>
      <c r="ET36" s="231">
        <v>517141211</v>
      </c>
      <c r="EU36" s="231">
        <v>625846</v>
      </c>
      <c r="EV36" s="231">
        <v>594426</v>
      </c>
      <c r="EW36" s="231">
        <v>31420</v>
      </c>
      <c r="EX36" s="229">
        <v>5.2900000000000003E-2</v>
      </c>
      <c r="EY36" s="229">
        <v>0.44979999999999998</v>
      </c>
    </row>
    <row r="37" spans="1:155" ht="17.25" thickBot="1" x14ac:dyDescent="0.3">
      <c r="A37" s="226">
        <v>46064</v>
      </c>
      <c r="B37" s="227" t="s">
        <v>161</v>
      </c>
      <c r="C37" s="227" t="s">
        <v>276</v>
      </c>
      <c r="D37" s="228">
        <v>294.55</v>
      </c>
      <c r="E37" s="228">
        <v>294.39999999999998</v>
      </c>
      <c r="F37" s="228">
        <v>0.15</v>
      </c>
      <c r="G37" s="229">
        <v>5.0000000000000001E-4</v>
      </c>
      <c r="H37" s="228">
        <v>294.45</v>
      </c>
      <c r="I37" s="228">
        <v>294.35000000000002</v>
      </c>
      <c r="J37" s="228">
        <v>0.1</v>
      </c>
      <c r="K37" s="229">
        <v>2.9999999999999997E-4</v>
      </c>
      <c r="L37" s="228">
        <v>294.55</v>
      </c>
      <c r="M37" s="228">
        <v>294.39999999999998</v>
      </c>
      <c r="N37" s="228">
        <v>0.15</v>
      </c>
      <c r="O37" s="229">
        <v>5.0000000000000001E-4</v>
      </c>
      <c r="P37" s="228">
        <v>296.39999999999998</v>
      </c>
      <c r="Q37" s="228">
        <v>296</v>
      </c>
      <c r="R37" s="228">
        <v>0.4</v>
      </c>
      <c r="S37" s="229">
        <v>1.4E-3</v>
      </c>
      <c r="T37" s="228">
        <v>298.39999999999998</v>
      </c>
      <c r="U37" s="228">
        <v>298.39999999999998</v>
      </c>
      <c r="V37" s="228">
        <v>0</v>
      </c>
      <c r="W37" s="229">
        <v>0</v>
      </c>
      <c r="X37" s="228">
        <v>0.1</v>
      </c>
      <c r="Y37" s="228">
        <v>0.05</v>
      </c>
      <c r="Z37" s="228">
        <v>0.05</v>
      </c>
      <c r="AA37" s="229">
        <v>2.9999999999999997E-4</v>
      </c>
      <c r="AB37" s="228">
        <v>0.1</v>
      </c>
      <c r="AC37" s="228">
        <v>0.05</v>
      </c>
      <c r="AD37" s="228">
        <v>0.05</v>
      </c>
      <c r="AE37" s="229">
        <v>2.9999999999999997E-4</v>
      </c>
      <c r="AF37" s="228">
        <v>1.95</v>
      </c>
      <c r="AG37" s="228">
        <v>1.65</v>
      </c>
      <c r="AH37" s="228">
        <v>0.3</v>
      </c>
      <c r="AI37" s="229">
        <v>6.6E-3</v>
      </c>
      <c r="AJ37" s="228">
        <v>3.95</v>
      </c>
      <c r="AK37" s="228">
        <v>4.05</v>
      </c>
      <c r="AL37" s="228">
        <v>-0.1</v>
      </c>
      <c r="AM37" s="229">
        <v>1.34E-2</v>
      </c>
      <c r="AN37" s="228">
        <v>294.08</v>
      </c>
      <c r="AO37" s="228">
        <v>295.95</v>
      </c>
      <c r="AP37" s="228">
        <v>0</v>
      </c>
      <c r="AQ37" s="230">
        <v>4675</v>
      </c>
      <c r="AR37" s="230">
        <v>6092</v>
      </c>
      <c r="AS37" s="230">
        <v>-1417</v>
      </c>
      <c r="AT37" s="229">
        <v>-0.2326</v>
      </c>
      <c r="AU37" s="230">
        <v>4173</v>
      </c>
      <c r="AV37" s="230">
        <v>5708</v>
      </c>
      <c r="AW37" s="230">
        <v>-1535</v>
      </c>
      <c r="AX37" s="229">
        <v>-0.26889999999999997</v>
      </c>
      <c r="AY37" s="228">
        <v>442</v>
      </c>
      <c r="AZ37" s="228">
        <v>343</v>
      </c>
      <c r="BA37" s="228">
        <v>99</v>
      </c>
      <c r="BB37" s="229">
        <v>0.28860000000000002</v>
      </c>
      <c r="BC37" s="228">
        <v>60</v>
      </c>
      <c r="BD37" s="228">
        <v>41</v>
      </c>
      <c r="BE37" s="228">
        <v>19</v>
      </c>
      <c r="BF37" s="229">
        <v>0.46339999999999998</v>
      </c>
      <c r="BG37" s="230">
        <v>26679</v>
      </c>
      <c r="BH37" s="230">
        <v>38813</v>
      </c>
      <c r="BI37" s="230">
        <v>-12134</v>
      </c>
      <c r="BJ37" s="229">
        <v>-0.31259999999999999</v>
      </c>
      <c r="BK37" s="230">
        <v>12085</v>
      </c>
      <c r="BL37" s="230">
        <v>16308</v>
      </c>
      <c r="BM37" s="230">
        <v>-4223</v>
      </c>
      <c r="BN37" s="229">
        <v>-0.25900000000000001</v>
      </c>
      <c r="BO37" s="230">
        <v>43439</v>
      </c>
      <c r="BP37" s="230">
        <v>61213</v>
      </c>
      <c r="BQ37" s="230">
        <v>-17774</v>
      </c>
      <c r="BR37" s="229">
        <v>-0.29039999999999999</v>
      </c>
      <c r="BS37" s="230">
        <v>11140501</v>
      </c>
      <c r="BT37" s="230">
        <v>22671273</v>
      </c>
      <c r="BU37" s="230">
        <v>-11530772</v>
      </c>
      <c r="BV37" s="229">
        <v>-0.50860000000000005</v>
      </c>
      <c r="BW37" s="230">
        <v>83335900</v>
      </c>
      <c r="BX37" s="230">
        <v>84844500</v>
      </c>
      <c r="BY37" s="230">
        <v>-1508600</v>
      </c>
      <c r="BZ37" s="229">
        <v>-1.78E-2</v>
      </c>
      <c r="CA37" s="230">
        <v>79961500</v>
      </c>
      <c r="CB37" s="230">
        <v>81601200</v>
      </c>
      <c r="CC37" s="230">
        <v>-1639700</v>
      </c>
      <c r="CD37" s="229">
        <v>-2.01E-2</v>
      </c>
      <c r="CE37" s="230">
        <v>2903200</v>
      </c>
      <c r="CF37" s="230">
        <v>2823400</v>
      </c>
      <c r="CG37" s="230">
        <v>79800</v>
      </c>
      <c r="CH37" s="229">
        <v>2.8299999999999999E-2</v>
      </c>
      <c r="CI37" s="230">
        <v>471200</v>
      </c>
      <c r="CJ37" s="230">
        <v>419900</v>
      </c>
      <c r="CK37" s="230">
        <v>51300</v>
      </c>
      <c r="CL37" s="229">
        <v>0.1222</v>
      </c>
      <c r="CM37" s="230">
        <v>68422800</v>
      </c>
      <c r="CN37" s="230">
        <v>68029500</v>
      </c>
      <c r="CO37" s="230">
        <v>393300</v>
      </c>
      <c r="CP37" s="229">
        <v>5.7999999999999996E-3</v>
      </c>
      <c r="CQ37" s="230">
        <v>41630900</v>
      </c>
      <c r="CR37" s="230">
        <v>41790500</v>
      </c>
      <c r="CS37" s="230">
        <v>-159600</v>
      </c>
      <c r="CT37" s="229">
        <v>-3.8E-3</v>
      </c>
      <c r="CU37" s="230">
        <v>193389600</v>
      </c>
      <c r="CV37" s="230">
        <v>194664500</v>
      </c>
      <c r="CW37" s="230">
        <v>-1274900</v>
      </c>
      <c r="CX37" s="229">
        <v>-6.4999999999999997E-3</v>
      </c>
      <c r="CY37" s="228">
        <v>22.55</v>
      </c>
      <c r="CZ37" s="228">
        <v>22.91</v>
      </c>
      <c r="DA37" s="228">
        <v>-0.36</v>
      </c>
      <c r="DB37" s="228">
        <v>-0.36</v>
      </c>
      <c r="DC37" s="228">
        <v>29.28</v>
      </c>
      <c r="DD37" s="228">
        <v>29.35</v>
      </c>
      <c r="DE37" s="228">
        <v>-6.73</v>
      </c>
      <c r="DF37" s="228">
        <v>-7.0000000000000007E-2</v>
      </c>
      <c r="DG37" s="228">
        <v>22.2</v>
      </c>
      <c r="DH37" s="228">
        <v>22.29</v>
      </c>
      <c r="DI37" s="228">
        <v>-0.09</v>
      </c>
      <c r="DJ37" s="228">
        <v>-0.09</v>
      </c>
      <c r="DK37" s="228">
        <v>23.31</v>
      </c>
      <c r="DL37" s="228">
        <v>24.41</v>
      </c>
      <c r="DM37" s="228">
        <v>-1.1000000000000001</v>
      </c>
      <c r="DN37" s="228">
        <v>-1.1000000000000001</v>
      </c>
      <c r="DO37" s="228">
        <v>0.61</v>
      </c>
      <c r="DP37" s="228">
        <v>0.61</v>
      </c>
      <c r="DQ37" s="228">
        <v>0</v>
      </c>
      <c r="DR37" s="229">
        <v>0</v>
      </c>
      <c r="DS37" s="228">
        <v>300</v>
      </c>
      <c r="DT37" s="228">
        <v>280</v>
      </c>
      <c r="DU37" s="228">
        <v>0.45</v>
      </c>
      <c r="DV37" s="228">
        <v>0.42</v>
      </c>
      <c r="DW37" s="228">
        <v>0.03</v>
      </c>
      <c r="DX37" s="229">
        <v>7.1400000000000005E-2</v>
      </c>
      <c r="DY37" s="229">
        <v>4.0500000000000001E-2</v>
      </c>
      <c r="DZ37" s="230">
        <v>3243300</v>
      </c>
      <c r="EA37" s="229">
        <v>6.3E-3</v>
      </c>
      <c r="EB37" s="229">
        <v>4.0500000000000001E-2</v>
      </c>
      <c r="EC37" s="228">
        <v>1.87</v>
      </c>
      <c r="ED37" s="229">
        <v>6.4000000000000003E-3</v>
      </c>
      <c r="EE37" s="230">
        <v>7437724</v>
      </c>
      <c r="EF37" s="230">
        <v>16577005</v>
      </c>
      <c r="EG37" s="229">
        <v>-0.55130000000000001</v>
      </c>
      <c r="EH37" s="229">
        <v>0.66759999999999997</v>
      </c>
      <c r="EI37" s="231">
        <v>153452.59</v>
      </c>
      <c r="EJ37" s="231">
        <v>65896.58</v>
      </c>
      <c r="EK37" s="231">
        <v>26141.51</v>
      </c>
      <c r="EL37" s="231">
        <v>7356</v>
      </c>
      <c r="EM37" s="231">
        <v>245490.68</v>
      </c>
      <c r="EN37" s="231">
        <v>344728.8</v>
      </c>
      <c r="EO37" s="231">
        <v>-99238.12</v>
      </c>
      <c r="EP37" s="229">
        <v>-0.28789999999999999</v>
      </c>
      <c r="EQ37" s="231">
        <v>198203</v>
      </c>
      <c r="ER37" s="231">
        <v>110791</v>
      </c>
      <c r="ES37" s="231">
        <v>245538</v>
      </c>
      <c r="ET37" s="231">
        <v>678857930</v>
      </c>
      <c r="EU37" s="231">
        <v>554531</v>
      </c>
      <c r="EV37" s="231">
        <v>557450</v>
      </c>
      <c r="EW37" s="231">
        <v>-2919</v>
      </c>
      <c r="EX37" s="229">
        <v>-5.1999999999999998E-3</v>
      </c>
      <c r="EY37" s="229">
        <v>0.28489999999999999</v>
      </c>
    </row>
    <row r="38" spans="1:155" ht="17.25" thickBot="1" x14ac:dyDescent="0.3">
      <c r="A38" s="226">
        <v>46064</v>
      </c>
      <c r="B38" s="227" t="s">
        <v>193</v>
      </c>
      <c r="C38" s="227" t="s">
        <v>281</v>
      </c>
      <c r="D38" s="231">
        <v>1470.2</v>
      </c>
      <c r="E38" s="231">
        <v>1460.7</v>
      </c>
      <c r="F38" s="228">
        <v>9.5</v>
      </c>
      <c r="G38" s="229">
        <v>6.4999999999999997E-3</v>
      </c>
      <c r="H38" s="231">
        <v>1468.7</v>
      </c>
      <c r="I38" s="231">
        <v>1458.5</v>
      </c>
      <c r="J38" s="228">
        <v>10.199999999999999</v>
      </c>
      <c r="K38" s="229">
        <v>7.0000000000000001E-3</v>
      </c>
      <c r="L38" s="231">
        <v>1470.2</v>
      </c>
      <c r="M38" s="231">
        <v>1460.7</v>
      </c>
      <c r="N38" s="228">
        <v>9.5</v>
      </c>
      <c r="O38" s="229">
        <v>6.4999999999999997E-3</v>
      </c>
      <c r="P38" s="231">
        <v>1479.6</v>
      </c>
      <c r="Q38" s="231">
        <v>1469.5</v>
      </c>
      <c r="R38" s="228">
        <v>10.1</v>
      </c>
      <c r="S38" s="229">
        <v>6.8999999999999999E-3</v>
      </c>
      <c r="T38" s="231">
        <v>1488.2</v>
      </c>
      <c r="U38" s="231">
        <v>1478.1</v>
      </c>
      <c r="V38" s="228">
        <v>10.1</v>
      </c>
      <c r="W38" s="229">
        <v>6.7999999999999996E-3</v>
      </c>
      <c r="X38" s="228">
        <v>1.5</v>
      </c>
      <c r="Y38" s="228">
        <v>2.2000000000000002</v>
      </c>
      <c r="Z38" s="228">
        <v>-0.7</v>
      </c>
      <c r="AA38" s="229">
        <v>1E-3</v>
      </c>
      <c r="AB38" s="228">
        <v>1.5</v>
      </c>
      <c r="AC38" s="228">
        <v>2.2000000000000002</v>
      </c>
      <c r="AD38" s="228">
        <v>-0.7</v>
      </c>
      <c r="AE38" s="229">
        <v>1E-3</v>
      </c>
      <c r="AF38" s="228">
        <v>10.9</v>
      </c>
      <c r="AG38" s="228">
        <v>11</v>
      </c>
      <c r="AH38" s="228">
        <v>-0.1</v>
      </c>
      <c r="AI38" s="229">
        <v>7.4000000000000003E-3</v>
      </c>
      <c r="AJ38" s="228">
        <v>19.5</v>
      </c>
      <c r="AK38" s="228">
        <v>19.600000000000001</v>
      </c>
      <c r="AL38" s="228">
        <v>-0.1</v>
      </c>
      <c r="AM38" s="229">
        <v>1.3299999999999999E-2</v>
      </c>
      <c r="AN38" s="231">
        <v>1467.22</v>
      </c>
      <c r="AO38" s="231">
        <v>1476.24</v>
      </c>
      <c r="AP38" s="228">
        <v>0</v>
      </c>
      <c r="AQ38" s="230">
        <v>14507</v>
      </c>
      <c r="AR38" s="230">
        <v>11693</v>
      </c>
      <c r="AS38" s="230">
        <v>2814</v>
      </c>
      <c r="AT38" s="229">
        <v>0.2407</v>
      </c>
      <c r="AU38" s="230">
        <v>12895</v>
      </c>
      <c r="AV38" s="230">
        <v>10275</v>
      </c>
      <c r="AW38" s="230">
        <v>2620</v>
      </c>
      <c r="AX38" s="229">
        <v>0.255</v>
      </c>
      <c r="AY38" s="230">
        <v>1374</v>
      </c>
      <c r="AZ38" s="230">
        <v>1163</v>
      </c>
      <c r="BA38" s="228">
        <v>211</v>
      </c>
      <c r="BB38" s="229">
        <v>0.18140000000000001</v>
      </c>
      <c r="BC38" s="228">
        <v>238</v>
      </c>
      <c r="BD38" s="228">
        <v>255</v>
      </c>
      <c r="BE38" s="228">
        <v>-17</v>
      </c>
      <c r="BF38" s="229">
        <v>-6.6699999999999995E-2</v>
      </c>
      <c r="BG38" s="230">
        <v>77224</v>
      </c>
      <c r="BH38" s="230">
        <v>66831</v>
      </c>
      <c r="BI38" s="230">
        <v>10393</v>
      </c>
      <c r="BJ38" s="229">
        <v>0.1555</v>
      </c>
      <c r="BK38" s="230">
        <v>47715</v>
      </c>
      <c r="BL38" s="230">
        <v>48068</v>
      </c>
      <c r="BM38" s="228">
        <v>-353</v>
      </c>
      <c r="BN38" s="229">
        <v>-7.3000000000000001E-3</v>
      </c>
      <c r="BO38" s="230">
        <v>139446</v>
      </c>
      <c r="BP38" s="230">
        <v>126592</v>
      </c>
      <c r="BQ38" s="230">
        <v>12854</v>
      </c>
      <c r="BR38" s="229">
        <v>0.10150000000000001</v>
      </c>
      <c r="BS38" s="230">
        <v>7512198</v>
      </c>
      <c r="BT38" s="230">
        <v>10534541</v>
      </c>
      <c r="BU38" s="230">
        <v>-3022343</v>
      </c>
      <c r="BV38" s="229">
        <v>-0.28689999999999999</v>
      </c>
      <c r="BW38" s="230">
        <v>106957000</v>
      </c>
      <c r="BX38" s="230">
        <v>107169500</v>
      </c>
      <c r="BY38" s="230">
        <v>-212500</v>
      </c>
      <c r="BZ38" s="229">
        <v>-2E-3</v>
      </c>
      <c r="CA38" s="230">
        <v>92835500</v>
      </c>
      <c r="CB38" s="230">
        <v>93203000</v>
      </c>
      <c r="CC38" s="230">
        <v>-367500</v>
      </c>
      <c r="CD38" s="229">
        <v>-3.8999999999999998E-3</v>
      </c>
      <c r="CE38" s="230">
        <v>12888000</v>
      </c>
      <c r="CF38" s="230">
        <v>12741000</v>
      </c>
      <c r="CG38" s="230">
        <v>147000</v>
      </c>
      <c r="CH38" s="229">
        <v>1.15E-2</v>
      </c>
      <c r="CI38" s="230">
        <v>1233500</v>
      </c>
      <c r="CJ38" s="230">
        <v>1225500</v>
      </c>
      <c r="CK38" s="230">
        <v>8000</v>
      </c>
      <c r="CL38" s="229">
        <v>6.4999999999999997E-3</v>
      </c>
      <c r="CM38" s="230">
        <v>55153500</v>
      </c>
      <c r="CN38" s="230">
        <v>56974000</v>
      </c>
      <c r="CO38" s="230">
        <v>-1820500</v>
      </c>
      <c r="CP38" s="229">
        <v>-3.2000000000000001E-2</v>
      </c>
      <c r="CQ38" s="230">
        <v>32887000</v>
      </c>
      <c r="CR38" s="230">
        <v>31646500</v>
      </c>
      <c r="CS38" s="230">
        <v>1240500</v>
      </c>
      <c r="CT38" s="229">
        <v>3.9199999999999999E-2</v>
      </c>
      <c r="CU38" s="230">
        <v>194997500</v>
      </c>
      <c r="CV38" s="230">
        <v>195790000</v>
      </c>
      <c r="CW38" s="230">
        <v>-792500</v>
      </c>
      <c r="CX38" s="229">
        <v>-4.0000000000000001E-3</v>
      </c>
      <c r="CY38" s="228">
        <v>18.22</v>
      </c>
      <c r="CZ38" s="228">
        <v>18.93</v>
      </c>
      <c r="DA38" s="228">
        <v>-0.71</v>
      </c>
      <c r="DB38" s="228">
        <v>-0.71</v>
      </c>
      <c r="DC38" s="228">
        <v>24.65</v>
      </c>
      <c r="DD38" s="228">
        <v>24.69</v>
      </c>
      <c r="DE38" s="228">
        <v>-6.43</v>
      </c>
      <c r="DF38" s="228">
        <v>-0.04</v>
      </c>
      <c r="DG38" s="228">
        <v>17.649999999999999</v>
      </c>
      <c r="DH38" s="228">
        <v>18.59</v>
      </c>
      <c r="DI38" s="228">
        <v>-0.94</v>
      </c>
      <c r="DJ38" s="228">
        <v>-0.94</v>
      </c>
      <c r="DK38" s="228">
        <v>19.14</v>
      </c>
      <c r="DL38" s="228">
        <v>19.41</v>
      </c>
      <c r="DM38" s="228">
        <v>-0.27</v>
      </c>
      <c r="DN38" s="228">
        <v>-0.27</v>
      </c>
      <c r="DO38" s="228">
        <v>0.6</v>
      </c>
      <c r="DP38" s="228">
        <v>0.56000000000000005</v>
      </c>
      <c r="DQ38" s="228">
        <v>0.04</v>
      </c>
      <c r="DR38" s="229">
        <v>7.1400000000000005E-2</v>
      </c>
      <c r="DS38" s="231">
        <v>1400</v>
      </c>
      <c r="DT38" s="231">
        <v>1400</v>
      </c>
      <c r="DU38" s="228">
        <v>0.62</v>
      </c>
      <c r="DV38" s="228">
        <v>0.72</v>
      </c>
      <c r="DW38" s="228">
        <v>-0.1</v>
      </c>
      <c r="DX38" s="229">
        <v>-0.1389</v>
      </c>
      <c r="DY38" s="229">
        <v>0.13200000000000001</v>
      </c>
      <c r="DZ38" s="230">
        <v>13966500</v>
      </c>
      <c r="EA38" s="229">
        <v>6.4000000000000003E-3</v>
      </c>
      <c r="EB38" s="229">
        <v>0.13200000000000001</v>
      </c>
      <c r="EC38" s="228">
        <v>9.02</v>
      </c>
      <c r="ED38" s="229">
        <v>6.1000000000000004E-3</v>
      </c>
      <c r="EE38" s="230">
        <v>4303110</v>
      </c>
      <c r="EF38" s="230">
        <v>3229791</v>
      </c>
      <c r="EG38" s="229">
        <v>0.33229999999999998</v>
      </c>
      <c r="EH38" s="229">
        <v>0.57279999999999998</v>
      </c>
      <c r="EI38" s="231">
        <v>581500.49</v>
      </c>
      <c r="EJ38" s="231">
        <v>344293.47</v>
      </c>
      <c r="EK38" s="231">
        <v>106508.39</v>
      </c>
      <c r="EL38" s="231">
        <v>17483</v>
      </c>
      <c r="EM38" s="231">
        <v>1032302.35</v>
      </c>
      <c r="EN38" s="231">
        <v>934577.09</v>
      </c>
      <c r="EO38" s="231">
        <v>97725.26</v>
      </c>
      <c r="EP38" s="229">
        <v>0.1046</v>
      </c>
      <c r="EQ38" s="231">
        <v>817773</v>
      </c>
      <c r="ER38" s="231">
        <v>465014</v>
      </c>
      <c r="ES38" s="231">
        <v>1573915</v>
      </c>
      <c r="ET38" s="231">
        <v>664266681</v>
      </c>
      <c r="EU38" s="231">
        <v>2856703</v>
      </c>
      <c r="EV38" s="231">
        <v>2858022</v>
      </c>
      <c r="EW38" s="231">
        <v>-1319</v>
      </c>
      <c r="EX38" s="229">
        <v>-5.0000000000000001E-4</v>
      </c>
      <c r="EY38" s="229">
        <v>0.29360000000000003</v>
      </c>
    </row>
    <row r="39" spans="1:155" ht="17.25" thickBot="1" x14ac:dyDescent="0.3">
      <c r="A39" s="226">
        <v>46064</v>
      </c>
      <c r="B39" s="227" t="s">
        <v>175</v>
      </c>
      <c r="C39" s="227" t="s">
        <v>462</v>
      </c>
      <c r="D39" s="231">
        <v>2028.8</v>
      </c>
      <c r="E39" s="231">
        <v>2023.4</v>
      </c>
      <c r="F39" s="228">
        <v>5.4</v>
      </c>
      <c r="G39" s="229">
        <v>2.7000000000000001E-3</v>
      </c>
      <c r="H39" s="231">
        <v>2026.3</v>
      </c>
      <c r="I39" s="231">
        <v>2018.3</v>
      </c>
      <c r="J39" s="228">
        <v>8</v>
      </c>
      <c r="K39" s="229">
        <v>4.0000000000000001E-3</v>
      </c>
      <c r="L39" s="231">
        <v>2028.8</v>
      </c>
      <c r="M39" s="231">
        <v>2023.4</v>
      </c>
      <c r="N39" s="228">
        <v>5.4</v>
      </c>
      <c r="O39" s="229">
        <v>2.7000000000000001E-3</v>
      </c>
      <c r="P39" s="231">
        <v>2040.8</v>
      </c>
      <c r="Q39" s="231">
        <v>2033.6</v>
      </c>
      <c r="R39" s="228">
        <v>7.2</v>
      </c>
      <c r="S39" s="229">
        <v>3.5000000000000001E-3</v>
      </c>
      <c r="T39" s="231">
        <v>2044.9</v>
      </c>
      <c r="U39" s="231">
        <v>2033</v>
      </c>
      <c r="V39" s="228">
        <v>11.9</v>
      </c>
      <c r="W39" s="229">
        <v>5.8999999999999999E-3</v>
      </c>
      <c r="X39" s="228">
        <v>2.5</v>
      </c>
      <c r="Y39" s="228">
        <v>5.0999999999999996</v>
      </c>
      <c r="Z39" s="228">
        <v>-2.6</v>
      </c>
      <c r="AA39" s="229">
        <v>1.1999999999999999E-3</v>
      </c>
      <c r="AB39" s="228">
        <v>2.5</v>
      </c>
      <c r="AC39" s="228">
        <v>5.0999999999999996</v>
      </c>
      <c r="AD39" s="228">
        <v>-2.6</v>
      </c>
      <c r="AE39" s="229">
        <v>1.1999999999999999E-3</v>
      </c>
      <c r="AF39" s="228">
        <v>14.5</v>
      </c>
      <c r="AG39" s="228">
        <v>15.3</v>
      </c>
      <c r="AH39" s="228">
        <v>-0.8</v>
      </c>
      <c r="AI39" s="229">
        <v>7.1999999999999998E-3</v>
      </c>
      <c r="AJ39" s="228">
        <v>18.600000000000001</v>
      </c>
      <c r="AK39" s="228">
        <v>14.7</v>
      </c>
      <c r="AL39" s="228">
        <v>3.9</v>
      </c>
      <c r="AM39" s="229">
        <v>9.1999999999999998E-3</v>
      </c>
      <c r="AN39" s="231">
        <v>2030.9</v>
      </c>
      <c r="AO39" s="231">
        <v>2043.97</v>
      </c>
      <c r="AP39" s="228">
        <v>0</v>
      </c>
      <c r="AQ39" s="230">
        <v>2573</v>
      </c>
      <c r="AR39" s="230">
        <v>3096</v>
      </c>
      <c r="AS39" s="228">
        <v>-523</v>
      </c>
      <c r="AT39" s="229">
        <v>-0.16889999999999999</v>
      </c>
      <c r="AU39" s="230">
        <v>2488</v>
      </c>
      <c r="AV39" s="230">
        <v>2983</v>
      </c>
      <c r="AW39" s="228">
        <v>-495</v>
      </c>
      <c r="AX39" s="229">
        <v>-0.16589999999999999</v>
      </c>
      <c r="AY39" s="228">
        <v>80</v>
      </c>
      <c r="AZ39" s="228">
        <v>110</v>
      </c>
      <c r="BA39" s="228">
        <v>-30</v>
      </c>
      <c r="BB39" s="229">
        <v>-0.2727</v>
      </c>
      <c r="BC39" s="228">
        <v>5</v>
      </c>
      <c r="BD39" s="228">
        <v>3</v>
      </c>
      <c r="BE39" s="228">
        <v>2</v>
      </c>
      <c r="BF39" s="229">
        <v>0.66669999999999996</v>
      </c>
      <c r="BG39" s="230">
        <v>7359</v>
      </c>
      <c r="BH39" s="230">
        <v>10798</v>
      </c>
      <c r="BI39" s="230">
        <v>-3439</v>
      </c>
      <c r="BJ39" s="229">
        <v>-0.31850000000000001</v>
      </c>
      <c r="BK39" s="230">
        <v>2965</v>
      </c>
      <c r="BL39" s="230">
        <v>5039</v>
      </c>
      <c r="BM39" s="230">
        <v>-2074</v>
      </c>
      <c r="BN39" s="229">
        <v>-0.41160000000000002</v>
      </c>
      <c r="BO39" s="230">
        <v>12897</v>
      </c>
      <c r="BP39" s="230">
        <v>18933</v>
      </c>
      <c r="BQ39" s="230">
        <v>-6036</v>
      </c>
      <c r="BR39" s="229">
        <v>-0.31879999999999997</v>
      </c>
      <c r="BS39" s="230">
        <v>674728</v>
      </c>
      <c r="BT39" s="230">
        <v>588941</v>
      </c>
      <c r="BU39" s="230">
        <v>85787</v>
      </c>
      <c r="BV39" s="229">
        <v>0.1457</v>
      </c>
      <c r="BW39" s="230">
        <v>10081125</v>
      </c>
      <c r="BX39" s="230">
        <v>10185000</v>
      </c>
      <c r="BY39" s="230">
        <v>-103875</v>
      </c>
      <c r="BZ39" s="229">
        <v>-1.0200000000000001E-2</v>
      </c>
      <c r="CA39" s="230">
        <v>9849000</v>
      </c>
      <c r="CB39" s="230">
        <v>9945375</v>
      </c>
      <c r="CC39" s="230">
        <v>-96375</v>
      </c>
      <c r="CD39" s="229">
        <v>-9.7000000000000003E-3</v>
      </c>
      <c r="CE39" s="230">
        <v>196500</v>
      </c>
      <c r="CF39" s="230">
        <v>204750</v>
      </c>
      <c r="CG39" s="230">
        <v>-8250</v>
      </c>
      <c r="CH39" s="229">
        <v>-4.0300000000000002E-2</v>
      </c>
      <c r="CI39" s="230">
        <v>35625</v>
      </c>
      <c r="CJ39" s="230">
        <v>34875</v>
      </c>
      <c r="CK39" s="228">
        <v>750</v>
      </c>
      <c r="CL39" s="229">
        <v>2.1499999999999998E-2</v>
      </c>
      <c r="CM39" s="230">
        <v>5362125</v>
      </c>
      <c r="CN39" s="230">
        <v>5433000</v>
      </c>
      <c r="CO39" s="230">
        <v>-70875</v>
      </c>
      <c r="CP39" s="229">
        <v>-1.2999999999999999E-2</v>
      </c>
      <c r="CQ39" s="230">
        <v>2002500</v>
      </c>
      <c r="CR39" s="230">
        <v>2044875</v>
      </c>
      <c r="CS39" s="230">
        <v>-42375</v>
      </c>
      <c r="CT39" s="229">
        <v>-2.07E-2</v>
      </c>
      <c r="CU39" s="230">
        <v>17445750</v>
      </c>
      <c r="CV39" s="230">
        <v>17662875</v>
      </c>
      <c r="CW39" s="230">
        <v>-217125</v>
      </c>
      <c r="CX39" s="229">
        <v>-1.23E-2</v>
      </c>
      <c r="CY39" s="228">
        <v>16.809999999999999</v>
      </c>
      <c r="CZ39" s="228">
        <v>17.309999999999999</v>
      </c>
      <c r="DA39" s="228">
        <v>-0.5</v>
      </c>
      <c r="DB39" s="228">
        <v>-0.5</v>
      </c>
      <c r="DC39" s="228">
        <v>23.72</v>
      </c>
      <c r="DD39" s="228">
        <v>23.77</v>
      </c>
      <c r="DE39" s="228">
        <v>-6.91</v>
      </c>
      <c r="DF39" s="228">
        <v>-0.05</v>
      </c>
      <c r="DG39" s="228">
        <v>16.12</v>
      </c>
      <c r="DH39" s="228">
        <v>16.72</v>
      </c>
      <c r="DI39" s="228">
        <v>-0.6</v>
      </c>
      <c r="DJ39" s="228">
        <v>-0.6</v>
      </c>
      <c r="DK39" s="228">
        <v>18.52</v>
      </c>
      <c r="DL39" s="228">
        <v>18.579999999999998</v>
      </c>
      <c r="DM39" s="228">
        <v>-0.06</v>
      </c>
      <c r="DN39" s="228">
        <v>-0.06</v>
      </c>
      <c r="DO39" s="228">
        <v>0.37</v>
      </c>
      <c r="DP39" s="228">
        <v>0.38</v>
      </c>
      <c r="DQ39" s="228">
        <v>-0.01</v>
      </c>
      <c r="DR39" s="229">
        <v>-2.63E-2</v>
      </c>
      <c r="DS39" s="231">
        <v>2040</v>
      </c>
      <c r="DT39" s="231">
        <v>2000</v>
      </c>
      <c r="DU39" s="228">
        <v>0.4</v>
      </c>
      <c r="DV39" s="228">
        <v>0.47</v>
      </c>
      <c r="DW39" s="228">
        <v>-7.0000000000000007E-2</v>
      </c>
      <c r="DX39" s="229">
        <v>-0.1489</v>
      </c>
      <c r="DY39" s="229">
        <v>2.3E-2</v>
      </c>
      <c r="DZ39" s="230">
        <v>239625</v>
      </c>
      <c r="EA39" s="229">
        <v>5.8999999999999999E-3</v>
      </c>
      <c r="EB39" s="229">
        <v>2.3E-2</v>
      </c>
      <c r="EC39" s="228">
        <v>13.07</v>
      </c>
      <c r="ED39" s="229">
        <v>6.4000000000000003E-3</v>
      </c>
      <c r="EE39" s="230">
        <v>364095</v>
      </c>
      <c r="EF39" s="230">
        <v>315254</v>
      </c>
      <c r="EG39" s="229">
        <v>0.15490000000000001</v>
      </c>
      <c r="EH39" s="229">
        <v>0.53959999999999997</v>
      </c>
      <c r="EI39" s="231">
        <v>57261.98</v>
      </c>
      <c r="EJ39" s="231">
        <v>22156.67</v>
      </c>
      <c r="EK39" s="231">
        <v>19599.91</v>
      </c>
      <c r="EL39" s="231">
        <v>3259</v>
      </c>
      <c r="EM39" s="231">
        <v>99018.559999999998</v>
      </c>
      <c r="EN39" s="231">
        <v>145445.51999999999</v>
      </c>
      <c r="EO39" s="231">
        <v>-46426.96</v>
      </c>
      <c r="EP39" s="229">
        <v>-0.31919999999999998</v>
      </c>
      <c r="EQ39" s="231">
        <v>112456</v>
      </c>
      <c r="ER39" s="231">
        <v>39256</v>
      </c>
      <c r="ES39" s="231">
        <v>204555</v>
      </c>
      <c r="ET39" s="231">
        <v>44756800</v>
      </c>
      <c r="EU39" s="231">
        <v>356268</v>
      </c>
      <c r="EV39" s="231">
        <v>360122</v>
      </c>
      <c r="EW39" s="231">
        <v>-3854</v>
      </c>
      <c r="EX39" s="229">
        <v>-1.0699999999999999E-2</v>
      </c>
      <c r="EY39" s="229">
        <v>0.38979999999999998</v>
      </c>
    </row>
    <row r="40" spans="1:155" ht="17.25" thickBot="1" x14ac:dyDescent="0.3">
      <c r="A40" s="226">
        <v>46064</v>
      </c>
      <c r="B40" s="227" t="s">
        <v>172</v>
      </c>
      <c r="C40" s="227" t="s">
        <v>283</v>
      </c>
      <c r="D40" s="231">
        <v>1180.0999999999999</v>
      </c>
      <c r="E40" s="231">
        <v>1142.4000000000001</v>
      </c>
      <c r="F40" s="228">
        <v>37.700000000000003</v>
      </c>
      <c r="G40" s="229">
        <v>3.3000000000000002E-2</v>
      </c>
      <c r="H40" s="231">
        <v>1182.9000000000001</v>
      </c>
      <c r="I40" s="231">
        <v>1144.0999999999999</v>
      </c>
      <c r="J40" s="228">
        <v>38.799999999999997</v>
      </c>
      <c r="K40" s="229">
        <v>3.39E-2</v>
      </c>
      <c r="L40" s="231">
        <v>1180.0999999999999</v>
      </c>
      <c r="M40" s="231">
        <v>1142.4000000000001</v>
      </c>
      <c r="N40" s="228">
        <v>37.700000000000003</v>
      </c>
      <c r="O40" s="229">
        <v>3.3000000000000002E-2</v>
      </c>
      <c r="P40" s="231">
        <v>1187.5999999999999</v>
      </c>
      <c r="Q40" s="231">
        <v>1149.5999999999999</v>
      </c>
      <c r="R40" s="228">
        <v>38</v>
      </c>
      <c r="S40" s="229">
        <v>3.3099999999999997E-2</v>
      </c>
      <c r="T40" s="231">
        <v>1194.5</v>
      </c>
      <c r="U40" s="231">
        <v>1156</v>
      </c>
      <c r="V40" s="228">
        <v>38.5</v>
      </c>
      <c r="W40" s="229">
        <v>3.3300000000000003E-2</v>
      </c>
      <c r="X40" s="228">
        <v>-2.8</v>
      </c>
      <c r="Y40" s="228">
        <v>-1.7</v>
      </c>
      <c r="Z40" s="228">
        <v>-1.1000000000000001</v>
      </c>
      <c r="AA40" s="229">
        <v>-2.3999999999999998E-3</v>
      </c>
      <c r="AB40" s="228">
        <v>-2.8</v>
      </c>
      <c r="AC40" s="228">
        <v>-1.7</v>
      </c>
      <c r="AD40" s="228">
        <v>-1.1000000000000001</v>
      </c>
      <c r="AE40" s="229">
        <v>-2.3999999999999998E-3</v>
      </c>
      <c r="AF40" s="228">
        <v>4.7</v>
      </c>
      <c r="AG40" s="228">
        <v>5.5</v>
      </c>
      <c r="AH40" s="228">
        <v>-0.8</v>
      </c>
      <c r="AI40" s="229">
        <v>4.0000000000000001E-3</v>
      </c>
      <c r="AJ40" s="228">
        <v>11.6</v>
      </c>
      <c r="AK40" s="228">
        <v>11.9</v>
      </c>
      <c r="AL40" s="228">
        <v>-0.3</v>
      </c>
      <c r="AM40" s="229">
        <v>9.7999999999999997E-3</v>
      </c>
      <c r="AN40" s="231">
        <v>1169.07</v>
      </c>
      <c r="AO40" s="231">
        <v>1177.04</v>
      </c>
      <c r="AP40" s="228">
        <v>0</v>
      </c>
      <c r="AQ40" s="230">
        <v>50100</v>
      </c>
      <c r="AR40" s="230">
        <v>22278</v>
      </c>
      <c r="AS40" s="230">
        <v>27822</v>
      </c>
      <c r="AT40" s="229">
        <v>1.2488999999999999</v>
      </c>
      <c r="AU40" s="230">
        <v>42551</v>
      </c>
      <c r="AV40" s="230">
        <v>20346</v>
      </c>
      <c r="AW40" s="230">
        <v>22205</v>
      </c>
      <c r="AX40" s="229">
        <v>1.0913999999999999</v>
      </c>
      <c r="AY40" s="230">
        <v>6486</v>
      </c>
      <c r="AZ40" s="230">
        <v>1687</v>
      </c>
      <c r="BA40" s="230">
        <v>4799</v>
      </c>
      <c r="BB40" s="229">
        <v>2.8447</v>
      </c>
      <c r="BC40" s="230">
        <v>1063</v>
      </c>
      <c r="BD40" s="228">
        <v>245</v>
      </c>
      <c r="BE40" s="228">
        <v>818</v>
      </c>
      <c r="BF40" s="229">
        <v>3.3388</v>
      </c>
      <c r="BG40" s="230">
        <v>499238</v>
      </c>
      <c r="BH40" s="230">
        <v>164521</v>
      </c>
      <c r="BI40" s="230">
        <v>334717</v>
      </c>
      <c r="BJ40" s="229">
        <v>2.0345</v>
      </c>
      <c r="BK40" s="230">
        <v>302088</v>
      </c>
      <c r="BL40" s="230">
        <v>113638</v>
      </c>
      <c r="BM40" s="230">
        <v>188450</v>
      </c>
      <c r="BN40" s="229">
        <v>1.6583000000000001</v>
      </c>
      <c r="BO40" s="230">
        <v>851426</v>
      </c>
      <c r="BP40" s="230">
        <v>300437</v>
      </c>
      <c r="BQ40" s="230">
        <v>550989</v>
      </c>
      <c r="BR40" s="229">
        <v>1.8340000000000001</v>
      </c>
      <c r="BS40" s="230">
        <v>31806234</v>
      </c>
      <c r="BT40" s="230">
        <v>18053002</v>
      </c>
      <c r="BU40" s="230">
        <v>13753232</v>
      </c>
      <c r="BV40" s="229">
        <v>0.76180000000000003</v>
      </c>
      <c r="BW40" s="230">
        <v>65352000</v>
      </c>
      <c r="BX40" s="230">
        <v>62790750</v>
      </c>
      <c r="BY40" s="230">
        <v>2561250</v>
      </c>
      <c r="BZ40" s="229">
        <v>4.0800000000000003E-2</v>
      </c>
      <c r="CA40" s="230">
        <v>56680500</v>
      </c>
      <c r="CB40" s="230">
        <v>55830750</v>
      </c>
      <c r="CC40" s="230">
        <v>849750</v>
      </c>
      <c r="CD40" s="229">
        <v>1.52E-2</v>
      </c>
      <c r="CE40" s="230">
        <v>7437750</v>
      </c>
      <c r="CF40" s="230">
        <v>5925000</v>
      </c>
      <c r="CG40" s="230">
        <v>1512750</v>
      </c>
      <c r="CH40" s="229">
        <v>0.25530000000000003</v>
      </c>
      <c r="CI40" s="230">
        <v>1233750</v>
      </c>
      <c r="CJ40" s="230">
        <v>1035000</v>
      </c>
      <c r="CK40" s="230">
        <v>198750</v>
      </c>
      <c r="CL40" s="229">
        <v>0.192</v>
      </c>
      <c r="CM40" s="230">
        <v>64020750</v>
      </c>
      <c r="CN40" s="230">
        <v>60980250</v>
      </c>
      <c r="CO40" s="230">
        <v>3040500</v>
      </c>
      <c r="CP40" s="229">
        <v>4.99E-2</v>
      </c>
      <c r="CQ40" s="230">
        <v>84981750</v>
      </c>
      <c r="CR40" s="230">
        <v>68572500</v>
      </c>
      <c r="CS40" s="230">
        <v>16409250</v>
      </c>
      <c r="CT40" s="229">
        <v>0.23930000000000001</v>
      </c>
      <c r="CU40" s="230">
        <v>214354500</v>
      </c>
      <c r="CV40" s="230">
        <v>192343500</v>
      </c>
      <c r="CW40" s="230">
        <v>22011000</v>
      </c>
      <c r="CX40" s="229">
        <v>0.1144</v>
      </c>
      <c r="CY40" s="228">
        <v>25.33</v>
      </c>
      <c r="CZ40" s="228">
        <v>22.1</v>
      </c>
      <c r="DA40" s="228">
        <v>3.23</v>
      </c>
      <c r="DB40" s="228">
        <v>3.23</v>
      </c>
      <c r="DC40" s="228">
        <v>27.42</v>
      </c>
      <c r="DD40" s="228">
        <v>27.11</v>
      </c>
      <c r="DE40" s="228">
        <v>-2.09</v>
      </c>
      <c r="DF40" s="228">
        <v>0.31</v>
      </c>
      <c r="DG40" s="228">
        <v>23.94</v>
      </c>
      <c r="DH40" s="228">
        <v>20.94</v>
      </c>
      <c r="DI40" s="228">
        <v>3</v>
      </c>
      <c r="DJ40" s="228">
        <v>3</v>
      </c>
      <c r="DK40" s="228">
        <v>27.64</v>
      </c>
      <c r="DL40" s="228">
        <v>23.78</v>
      </c>
      <c r="DM40" s="228">
        <v>3.86</v>
      </c>
      <c r="DN40" s="228">
        <v>3.86</v>
      </c>
      <c r="DO40" s="228">
        <v>1.33</v>
      </c>
      <c r="DP40" s="228">
        <v>1.1200000000000001</v>
      </c>
      <c r="DQ40" s="228">
        <v>0.21</v>
      </c>
      <c r="DR40" s="229">
        <v>0.1875</v>
      </c>
      <c r="DS40" s="231">
        <v>1200</v>
      </c>
      <c r="DT40" s="231">
        <v>1100</v>
      </c>
      <c r="DU40" s="228">
        <v>0.61</v>
      </c>
      <c r="DV40" s="228">
        <v>0.69</v>
      </c>
      <c r="DW40" s="228">
        <v>-0.08</v>
      </c>
      <c r="DX40" s="229">
        <v>-0.1159</v>
      </c>
      <c r="DY40" s="229">
        <v>0.13270000000000001</v>
      </c>
      <c r="DZ40" s="230">
        <v>6960000</v>
      </c>
      <c r="EA40" s="229">
        <v>6.4000000000000003E-3</v>
      </c>
      <c r="EB40" s="229">
        <v>0.13270000000000001</v>
      </c>
      <c r="EC40" s="228">
        <v>7.97</v>
      </c>
      <c r="ED40" s="229">
        <v>6.7999999999999996E-3</v>
      </c>
      <c r="EE40" s="230">
        <v>19033035</v>
      </c>
      <c r="EF40" s="230">
        <v>10925476</v>
      </c>
      <c r="EG40" s="229">
        <v>0.74209999999999998</v>
      </c>
      <c r="EH40" s="229">
        <v>0.59840000000000004</v>
      </c>
      <c r="EI40" s="231">
        <v>4508878.7</v>
      </c>
      <c r="EJ40" s="231">
        <v>2566314.65</v>
      </c>
      <c r="EK40" s="231">
        <v>439785.98</v>
      </c>
      <c r="EL40" s="231">
        <v>28136</v>
      </c>
      <c r="EM40" s="231">
        <v>7514979.3300000001</v>
      </c>
      <c r="EN40" s="231">
        <v>2597006.83</v>
      </c>
      <c r="EO40" s="231">
        <v>4917972.5</v>
      </c>
      <c r="EP40" s="229">
        <v>1.8936999999999999</v>
      </c>
      <c r="EQ40" s="231">
        <v>735005</v>
      </c>
      <c r="ER40" s="231">
        <v>928631</v>
      </c>
      <c r="ES40" s="231">
        <v>771954</v>
      </c>
      <c r="ET40" s="231">
        <v>436949195</v>
      </c>
      <c r="EU40" s="231">
        <v>2435590</v>
      </c>
      <c r="EV40" s="231">
        <v>2140797</v>
      </c>
      <c r="EW40" s="231">
        <v>294793</v>
      </c>
      <c r="EX40" s="229">
        <v>0.13769999999999999</v>
      </c>
      <c r="EY40" s="229">
        <v>0.49059999999999998</v>
      </c>
    </row>
    <row r="41" spans="1:155" ht="17.25" thickBot="1" x14ac:dyDescent="0.3">
      <c r="A41" s="226">
        <v>46064</v>
      </c>
      <c r="B41" s="227" t="s">
        <v>175</v>
      </c>
      <c r="C41" s="227" t="s">
        <v>562</v>
      </c>
      <c r="D41" s="231">
        <v>1057.5</v>
      </c>
      <c r="E41" s="231">
        <v>1048.9000000000001</v>
      </c>
      <c r="F41" s="228">
        <v>8.6</v>
      </c>
      <c r="G41" s="229">
        <v>8.2000000000000007E-3</v>
      </c>
      <c r="H41" s="231">
        <v>1056.8</v>
      </c>
      <c r="I41" s="231">
        <v>1048.5999999999999</v>
      </c>
      <c r="J41" s="228">
        <v>8.1999999999999993</v>
      </c>
      <c r="K41" s="229">
        <v>7.7999999999999996E-3</v>
      </c>
      <c r="L41" s="231">
        <v>1057.5</v>
      </c>
      <c r="M41" s="231">
        <v>1048.9000000000001</v>
      </c>
      <c r="N41" s="228">
        <v>8.6</v>
      </c>
      <c r="O41" s="229">
        <v>8.2000000000000007E-3</v>
      </c>
      <c r="P41" s="231">
        <v>1064.5999999999999</v>
      </c>
      <c r="Q41" s="231">
        <v>1055.5</v>
      </c>
      <c r="R41" s="228">
        <v>9.1</v>
      </c>
      <c r="S41" s="229">
        <v>8.6E-3</v>
      </c>
      <c r="T41" s="231">
        <v>1071</v>
      </c>
      <c r="U41" s="231">
        <v>1062</v>
      </c>
      <c r="V41" s="228">
        <v>9</v>
      </c>
      <c r="W41" s="229">
        <v>8.5000000000000006E-3</v>
      </c>
      <c r="X41" s="228">
        <v>0.7</v>
      </c>
      <c r="Y41" s="228">
        <v>0.3</v>
      </c>
      <c r="Z41" s="228">
        <v>0.4</v>
      </c>
      <c r="AA41" s="229">
        <v>6.9999999999999999E-4</v>
      </c>
      <c r="AB41" s="228">
        <v>0.7</v>
      </c>
      <c r="AC41" s="228">
        <v>0.3</v>
      </c>
      <c r="AD41" s="228">
        <v>0.4</v>
      </c>
      <c r="AE41" s="229">
        <v>6.9999999999999999E-4</v>
      </c>
      <c r="AF41" s="228">
        <v>7.8</v>
      </c>
      <c r="AG41" s="228">
        <v>6.9</v>
      </c>
      <c r="AH41" s="228">
        <v>0.9</v>
      </c>
      <c r="AI41" s="229">
        <v>7.4000000000000003E-3</v>
      </c>
      <c r="AJ41" s="228">
        <v>14.2</v>
      </c>
      <c r="AK41" s="228">
        <v>13.4</v>
      </c>
      <c r="AL41" s="228">
        <v>0.8</v>
      </c>
      <c r="AM41" s="229">
        <v>1.34E-2</v>
      </c>
      <c r="AN41" s="231">
        <v>1053.27</v>
      </c>
      <c r="AO41" s="231">
        <v>1059.47</v>
      </c>
      <c r="AP41" s="228">
        <v>0</v>
      </c>
      <c r="AQ41" s="230">
        <v>5586</v>
      </c>
      <c r="AR41" s="230">
        <v>7362</v>
      </c>
      <c r="AS41" s="230">
        <v>-1776</v>
      </c>
      <c r="AT41" s="229">
        <v>-0.2412</v>
      </c>
      <c r="AU41" s="230">
        <v>5096</v>
      </c>
      <c r="AV41" s="230">
        <v>6593</v>
      </c>
      <c r="AW41" s="230">
        <v>-1497</v>
      </c>
      <c r="AX41" s="229">
        <v>-0.2271</v>
      </c>
      <c r="AY41" s="228">
        <v>449</v>
      </c>
      <c r="AZ41" s="228">
        <v>657</v>
      </c>
      <c r="BA41" s="228">
        <v>-208</v>
      </c>
      <c r="BB41" s="229">
        <v>-0.31659999999999999</v>
      </c>
      <c r="BC41" s="228">
        <v>41</v>
      </c>
      <c r="BD41" s="228">
        <v>112</v>
      </c>
      <c r="BE41" s="228">
        <v>-71</v>
      </c>
      <c r="BF41" s="229">
        <v>-0.63390000000000002</v>
      </c>
      <c r="BG41" s="230">
        <v>25750</v>
      </c>
      <c r="BH41" s="230">
        <v>30156</v>
      </c>
      <c r="BI41" s="230">
        <v>-4406</v>
      </c>
      <c r="BJ41" s="229">
        <v>-0.14610000000000001</v>
      </c>
      <c r="BK41" s="230">
        <v>9523</v>
      </c>
      <c r="BL41" s="230">
        <v>19039</v>
      </c>
      <c r="BM41" s="230">
        <v>-9516</v>
      </c>
      <c r="BN41" s="229">
        <v>-0.49980000000000002</v>
      </c>
      <c r="BO41" s="230">
        <v>40859</v>
      </c>
      <c r="BP41" s="230">
        <v>56557</v>
      </c>
      <c r="BQ41" s="230">
        <v>-15698</v>
      </c>
      <c r="BR41" s="229">
        <v>-0.27760000000000001</v>
      </c>
      <c r="BS41" s="230">
        <v>5337381</v>
      </c>
      <c r="BT41" s="230">
        <v>4482538</v>
      </c>
      <c r="BU41" s="230">
        <v>854843</v>
      </c>
      <c r="BV41" s="229">
        <v>0.19070000000000001</v>
      </c>
      <c r="BW41" s="230">
        <v>37643925</v>
      </c>
      <c r="BX41" s="230">
        <v>37962375</v>
      </c>
      <c r="BY41" s="230">
        <v>-318450</v>
      </c>
      <c r="BZ41" s="229">
        <v>-8.3999999999999995E-3</v>
      </c>
      <c r="CA41" s="230">
        <v>36357750</v>
      </c>
      <c r="CB41" s="230">
        <v>36653925</v>
      </c>
      <c r="CC41" s="230">
        <v>-296175</v>
      </c>
      <c r="CD41" s="229">
        <v>-8.0999999999999996E-3</v>
      </c>
      <c r="CE41" s="230">
        <v>1120350</v>
      </c>
      <c r="CF41" s="230">
        <v>1140975</v>
      </c>
      <c r="CG41" s="230">
        <v>-20625</v>
      </c>
      <c r="CH41" s="229">
        <v>-1.8100000000000002E-2</v>
      </c>
      <c r="CI41" s="230">
        <v>165825</v>
      </c>
      <c r="CJ41" s="230">
        <v>167475</v>
      </c>
      <c r="CK41" s="230">
        <v>-1650</v>
      </c>
      <c r="CL41" s="229">
        <v>-9.9000000000000008E-3</v>
      </c>
      <c r="CM41" s="230">
        <v>11368500</v>
      </c>
      <c r="CN41" s="230">
        <v>11985600</v>
      </c>
      <c r="CO41" s="230">
        <v>-617100</v>
      </c>
      <c r="CP41" s="229">
        <v>-5.1499999999999997E-2</v>
      </c>
      <c r="CQ41" s="230">
        <v>8999100</v>
      </c>
      <c r="CR41" s="230">
        <v>8792850</v>
      </c>
      <c r="CS41" s="230">
        <v>206250</v>
      </c>
      <c r="CT41" s="229">
        <v>2.35E-2</v>
      </c>
      <c r="CU41" s="230">
        <v>58011525</v>
      </c>
      <c r="CV41" s="230">
        <v>58740825</v>
      </c>
      <c r="CW41" s="230">
        <v>-729300</v>
      </c>
      <c r="CX41" s="229">
        <v>-1.24E-2</v>
      </c>
      <c r="CY41" s="228">
        <v>30.64</v>
      </c>
      <c r="CZ41" s="228">
        <v>31.43</v>
      </c>
      <c r="DA41" s="228">
        <v>-0.79</v>
      </c>
      <c r="DB41" s="228">
        <v>-0.79</v>
      </c>
      <c r="DC41" s="228">
        <v>38.869999999999997</v>
      </c>
      <c r="DD41" s="228">
        <v>38.950000000000003</v>
      </c>
      <c r="DE41" s="228">
        <v>-8.23</v>
      </c>
      <c r="DF41" s="228">
        <v>-0.08</v>
      </c>
      <c r="DG41" s="228">
        <v>30.17</v>
      </c>
      <c r="DH41" s="228">
        <v>30.89</v>
      </c>
      <c r="DI41" s="228">
        <v>-0.72</v>
      </c>
      <c r="DJ41" s="228">
        <v>-0.72</v>
      </c>
      <c r="DK41" s="228">
        <v>31.9</v>
      </c>
      <c r="DL41" s="228">
        <v>32.270000000000003</v>
      </c>
      <c r="DM41" s="228">
        <v>-0.37</v>
      </c>
      <c r="DN41" s="228">
        <v>-0.37</v>
      </c>
      <c r="DO41" s="228">
        <v>0.79</v>
      </c>
      <c r="DP41" s="228">
        <v>0.73</v>
      </c>
      <c r="DQ41" s="228">
        <v>0.06</v>
      </c>
      <c r="DR41" s="229">
        <v>8.2199999999999995E-2</v>
      </c>
      <c r="DS41" s="231">
        <v>1100</v>
      </c>
      <c r="DT41" s="231">
        <v>1000</v>
      </c>
      <c r="DU41" s="228">
        <v>0.37</v>
      </c>
      <c r="DV41" s="228">
        <v>0.63</v>
      </c>
      <c r="DW41" s="228">
        <v>-0.26</v>
      </c>
      <c r="DX41" s="229">
        <v>-0.41270000000000001</v>
      </c>
      <c r="DY41" s="229">
        <v>3.4200000000000001E-2</v>
      </c>
      <c r="DZ41" s="230">
        <v>1308450</v>
      </c>
      <c r="EA41" s="229">
        <v>6.7000000000000002E-3</v>
      </c>
      <c r="EB41" s="229">
        <v>3.4200000000000001E-2</v>
      </c>
      <c r="EC41" s="228">
        <v>6.2</v>
      </c>
      <c r="ED41" s="229">
        <v>5.8999999999999999E-3</v>
      </c>
      <c r="EE41" s="230">
        <v>3510925</v>
      </c>
      <c r="EF41" s="230">
        <v>2478102</v>
      </c>
      <c r="EG41" s="229">
        <v>0.4168</v>
      </c>
      <c r="EH41" s="229">
        <v>0.65780000000000005</v>
      </c>
      <c r="EI41" s="231">
        <v>231667.91</v>
      </c>
      <c r="EJ41" s="231">
        <v>81315.19</v>
      </c>
      <c r="EK41" s="231">
        <v>48566.69</v>
      </c>
      <c r="EL41" s="231">
        <v>8145</v>
      </c>
      <c r="EM41" s="231">
        <v>361549.79</v>
      </c>
      <c r="EN41" s="231">
        <v>498089.09</v>
      </c>
      <c r="EO41" s="231">
        <v>-136539.29999999999</v>
      </c>
      <c r="EP41" s="229">
        <v>-0.27410000000000001</v>
      </c>
      <c r="EQ41" s="231">
        <v>120560</v>
      </c>
      <c r="ER41" s="231">
        <v>87871</v>
      </c>
      <c r="ES41" s="231">
        <v>398186</v>
      </c>
      <c r="ET41" s="231">
        <v>210513975</v>
      </c>
      <c r="EU41" s="231">
        <v>606618</v>
      </c>
      <c r="EV41" s="231">
        <v>610871</v>
      </c>
      <c r="EW41" s="231">
        <v>-4253</v>
      </c>
      <c r="EX41" s="229">
        <v>-7.0000000000000001E-3</v>
      </c>
      <c r="EY41" s="229">
        <v>0.27560000000000001</v>
      </c>
    </row>
    <row r="42" spans="1:155" ht="17.25" thickBot="1" x14ac:dyDescent="0.3">
      <c r="A42" s="226">
        <v>46064</v>
      </c>
      <c r="B42" s="227" t="s">
        <v>170</v>
      </c>
      <c r="C42" s="227" t="s">
        <v>288</v>
      </c>
      <c r="D42" s="231">
        <v>1712</v>
      </c>
      <c r="E42" s="231">
        <v>1708.9</v>
      </c>
      <c r="F42" s="228">
        <v>3.1</v>
      </c>
      <c r="G42" s="229">
        <v>1.8E-3</v>
      </c>
      <c r="H42" s="231">
        <v>1711.1</v>
      </c>
      <c r="I42" s="231">
        <v>1707.8</v>
      </c>
      <c r="J42" s="228">
        <v>3.3</v>
      </c>
      <c r="K42" s="229">
        <v>1.9E-3</v>
      </c>
      <c r="L42" s="231">
        <v>1712</v>
      </c>
      <c r="M42" s="231">
        <v>1708.9</v>
      </c>
      <c r="N42" s="228">
        <v>3.1</v>
      </c>
      <c r="O42" s="229">
        <v>1.8E-3</v>
      </c>
      <c r="P42" s="231">
        <v>1722.4</v>
      </c>
      <c r="Q42" s="231">
        <v>1719.3</v>
      </c>
      <c r="R42" s="228">
        <v>3.1</v>
      </c>
      <c r="S42" s="229">
        <v>1.8E-3</v>
      </c>
      <c r="T42" s="231">
        <v>1732.2</v>
      </c>
      <c r="U42" s="231">
        <v>1729.6</v>
      </c>
      <c r="V42" s="228">
        <v>2.6</v>
      </c>
      <c r="W42" s="229">
        <v>1.5E-3</v>
      </c>
      <c r="X42" s="228">
        <v>0.9</v>
      </c>
      <c r="Y42" s="228">
        <v>1.1000000000000001</v>
      </c>
      <c r="Z42" s="228">
        <v>-0.2</v>
      </c>
      <c r="AA42" s="229">
        <v>5.0000000000000001E-4</v>
      </c>
      <c r="AB42" s="228">
        <v>0.9</v>
      </c>
      <c r="AC42" s="228">
        <v>1.1000000000000001</v>
      </c>
      <c r="AD42" s="228">
        <v>-0.2</v>
      </c>
      <c r="AE42" s="229">
        <v>5.0000000000000001E-4</v>
      </c>
      <c r="AF42" s="228">
        <v>11.3</v>
      </c>
      <c r="AG42" s="228">
        <v>11.5</v>
      </c>
      <c r="AH42" s="228">
        <v>-0.2</v>
      </c>
      <c r="AI42" s="229">
        <v>6.6E-3</v>
      </c>
      <c r="AJ42" s="228">
        <v>21.1</v>
      </c>
      <c r="AK42" s="228">
        <v>21.8</v>
      </c>
      <c r="AL42" s="228">
        <v>-0.7</v>
      </c>
      <c r="AM42" s="229">
        <v>1.23E-2</v>
      </c>
      <c r="AN42" s="231">
        <v>1711.53</v>
      </c>
      <c r="AO42" s="231">
        <v>1722.97</v>
      </c>
      <c r="AP42" s="228">
        <v>0</v>
      </c>
      <c r="AQ42" s="230">
        <v>2731</v>
      </c>
      <c r="AR42" s="230">
        <v>4893</v>
      </c>
      <c r="AS42" s="230">
        <v>-2162</v>
      </c>
      <c r="AT42" s="229">
        <v>-0.44190000000000002</v>
      </c>
      <c r="AU42" s="230">
        <v>2594</v>
      </c>
      <c r="AV42" s="230">
        <v>4651</v>
      </c>
      <c r="AW42" s="230">
        <v>-2057</v>
      </c>
      <c r="AX42" s="229">
        <v>-0.44230000000000003</v>
      </c>
      <c r="AY42" s="228">
        <v>126</v>
      </c>
      <c r="AZ42" s="228">
        <v>224</v>
      </c>
      <c r="BA42" s="228">
        <v>-98</v>
      </c>
      <c r="BB42" s="229">
        <v>-0.4375</v>
      </c>
      <c r="BC42" s="228">
        <v>11</v>
      </c>
      <c r="BD42" s="228">
        <v>18</v>
      </c>
      <c r="BE42" s="228">
        <v>-7</v>
      </c>
      <c r="BF42" s="229">
        <v>-0.38890000000000002</v>
      </c>
      <c r="BG42" s="230">
        <v>18435</v>
      </c>
      <c r="BH42" s="230">
        <v>30088</v>
      </c>
      <c r="BI42" s="230">
        <v>-11653</v>
      </c>
      <c r="BJ42" s="229">
        <v>-0.38729999999999998</v>
      </c>
      <c r="BK42" s="230">
        <v>11728</v>
      </c>
      <c r="BL42" s="230">
        <v>15429</v>
      </c>
      <c r="BM42" s="230">
        <v>-3701</v>
      </c>
      <c r="BN42" s="229">
        <v>-0.2399</v>
      </c>
      <c r="BO42" s="230">
        <v>32894</v>
      </c>
      <c r="BP42" s="230">
        <v>50410</v>
      </c>
      <c r="BQ42" s="230">
        <v>-17516</v>
      </c>
      <c r="BR42" s="229">
        <v>-0.34749999999999998</v>
      </c>
      <c r="BS42" s="230">
        <v>1192686</v>
      </c>
      <c r="BT42" s="230">
        <v>1938210</v>
      </c>
      <c r="BU42" s="230">
        <v>-745524</v>
      </c>
      <c r="BV42" s="229">
        <v>-0.3846</v>
      </c>
      <c r="BW42" s="230">
        <v>22634850</v>
      </c>
      <c r="BX42" s="230">
        <v>22732150</v>
      </c>
      <c r="BY42" s="230">
        <v>-97300</v>
      </c>
      <c r="BZ42" s="229">
        <v>-4.3E-3</v>
      </c>
      <c r="CA42" s="230">
        <v>22212050</v>
      </c>
      <c r="CB42" s="230">
        <v>22311450</v>
      </c>
      <c r="CC42" s="230">
        <v>-99400</v>
      </c>
      <c r="CD42" s="229">
        <v>-4.4999999999999997E-3</v>
      </c>
      <c r="CE42" s="230">
        <v>367500</v>
      </c>
      <c r="CF42" s="230">
        <v>367150</v>
      </c>
      <c r="CG42" s="228">
        <v>350</v>
      </c>
      <c r="CH42" s="229">
        <v>1E-3</v>
      </c>
      <c r="CI42" s="230">
        <v>55300</v>
      </c>
      <c r="CJ42" s="230">
        <v>53550</v>
      </c>
      <c r="CK42" s="230">
        <v>1750</v>
      </c>
      <c r="CL42" s="229">
        <v>3.27E-2</v>
      </c>
      <c r="CM42" s="230">
        <v>14551250</v>
      </c>
      <c r="CN42" s="230">
        <v>14543550</v>
      </c>
      <c r="CO42" s="230">
        <v>7700</v>
      </c>
      <c r="CP42" s="229">
        <v>5.0000000000000001E-4</v>
      </c>
      <c r="CQ42" s="230">
        <v>8441300</v>
      </c>
      <c r="CR42" s="230">
        <v>8536150</v>
      </c>
      <c r="CS42" s="230">
        <v>-94850</v>
      </c>
      <c r="CT42" s="229">
        <v>-1.11E-2</v>
      </c>
      <c r="CU42" s="230">
        <v>45627400</v>
      </c>
      <c r="CV42" s="230">
        <v>45811850</v>
      </c>
      <c r="CW42" s="230">
        <v>-184450</v>
      </c>
      <c r="CX42" s="229">
        <v>-4.0000000000000001E-3</v>
      </c>
      <c r="CY42" s="228">
        <v>17.02</v>
      </c>
      <c r="CZ42" s="228">
        <v>16.07</v>
      </c>
      <c r="DA42" s="228">
        <v>0.95</v>
      </c>
      <c r="DB42" s="228">
        <v>0.95</v>
      </c>
      <c r="DC42" s="228">
        <v>23.25</v>
      </c>
      <c r="DD42" s="228">
        <v>23.3</v>
      </c>
      <c r="DE42" s="228">
        <v>-6.23</v>
      </c>
      <c r="DF42" s="228">
        <v>-0.05</v>
      </c>
      <c r="DG42" s="228">
        <v>15.26</v>
      </c>
      <c r="DH42" s="228">
        <v>15.17</v>
      </c>
      <c r="DI42" s="228">
        <v>0.09</v>
      </c>
      <c r="DJ42" s="228">
        <v>0.09</v>
      </c>
      <c r="DK42" s="228">
        <v>19.78</v>
      </c>
      <c r="DL42" s="228">
        <v>17.829999999999998</v>
      </c>
      <c r="DM42" s="228">
        <v>1.95</v>
      </c>
      <c r="DN42" s="228">
        <v>1.95</v>
      </c>
      <c r="DO42" s="228">
        <v>0.57999999999999996</v>
      </c>
      <c r="DP42" s="228">
        <v>0.59</v>
      </c>
      <c r="DQ42" s="228">
        <v>-0.01</v>
      </c>
      <c r="DR42" s="229">
        <v>-1.6899999999999998E-2</v>
      </c>
      <c r="DS42" s="231">
        <v>1720</v>
      </c>
      <c r="DT42" s="231">
        <v>1700</v>
      </c>
      <c r="DU42" s="228">
        <v>0.64</v>
      </c>
      <c r="DV42" s="228">
        <v>0.51</v>
      </c>
      <c r="DW42" s="228">
        <v>0.13</v>
      </c>
      <c r="DX42" s="229">
        <v>0.25490000000000002</v>
      </c>
      <c r="DY42" s="229">
        <v>1.8700000000000001E-2</v>
      </c>
      <c r="DZ42" s="230">
        <v>420700</v>
      </c>
      <c r="EA42" s="229">
        <v>6.1000000000000004E-3</v>
      </c>
      <c r="EB42" s="229">
        <v>1.8700000000000001E-2</v>
      </c>
      <c r="EC42" s="228">
        <v>11.44</v>
      </c>
      <c r="ED42" s="229">
        <v>6.7000000000000002E-3</v>
      </c>
      <c r="EE42" s="230">
        <v>893875</v>
      </c>
      <c r="EF42" s="230">
        <v>1428223</v>
      </c>
      <c r="EG42" s="229">
        <v>-0.37409999999999999</v>
      </c>
      <c r="EH42" s="229">
        <v>0.74950000000000006</v>
      </c>
      <c r="EI42" s="231">
        <v>112579.07</v>
      </c>
      <c r="EJ42" s="231">
        <v>68095.42</v>
      </c>
      <c r="EK42" s="231">
        <v>16365.5</v>
      </c>
      <c r="EL42" s="231">
        <v>5608</v>
      </c>
      <c r="EM42" s="231">
        <v>197039.99</v>
      </c>
      <c r="EN42" s="231">
        <v>303771.57</v>
      </c>
      <c r="EO42" s="231">
        <v>-106731.58</v>
      </c>
      <c r="EP42" s="229">
        <v>-0.35139999999999999</v>
      </c>
      <c r="EQ42" s="231">
        <v>247607</v>
      </c>
      <c r="ER42" s="231">
        <v>137352</v>
      </c>
      <c r="ES42" s="231">
        <v>387558</v>
      </c>
      <c r="ET42" s="231">
        <v>109220043</v>
      </c>
      <c r="EU42" s="231">
        <v>772516</v>
      </c>
      <c r="EV42" s="231">
        <v>774885</v>
      </c>
      <c r="EW42" s="231">
        <v>-2369</v>
      </c>
      <c r="EX42" s="229">
        <v>-3.0999999999999999E-3</v>
      </c>
      <c r="EY42" s="229">
        <v>0.4178</v>
      </c>
    </row>
    <row r="43" spans="1:155" ht="17.25" thickBot="1" x14ac:dyDescent="0.3">
      <c r="A43" s="226">
        <v>46064</v>
      </c>
      <c r="B43" s="227" t="s">
        <v>168</v>
      </c>
      <c r="C43" s="227" t="s">
        <v>291</v>
      </c>
      <c r="D43" s="231">
        <v>1155.7</v>
      </c>
      <c r="E43" s="231">
        <v>1156.2</v>
      </c>
      <c r="F43" s="228">
        <v>-0.5</v>
      </c>
      <c r="G43" s="229">
        <v>-4.0000000000000002E-4</v>
      </c>
      <c r="H43" s="231">
        <v>1152.5999999999999</v>
      </c>
      <c r="I43" s="231">
        <v>1152.2</v>
      </c>
      <c r="J43" s="228">
        <v>0.4</v>
      </c>
      <c r="K43" s="229">
        <v>2.9999999999999997E-4</v>
      </c>
      <c r="L43" s="231">
        <v>1155.7</v>
      </c>
      <c r="M43" s="231">
        <v>1156.2</v>
      </c>
      <c r="N43" s="228">
        <v>-0.5</v>
      </c>
      <c r="O43" s="229">
        <v>-4.0000000000000002E-4</v>
      </c>
      <c r="P43" s="231">
        <v>1163.4000000000001</v>
      </c>
      <c r="Q43" s="231">
        <v>1162.8</v>
      </c>
      <c r="R43" s="228">
        <v>0.6</v>
      </c>
      <c r="S43" s="229">
        <v>5.0000000000000001E-4</v>
      </c>
      <c r="T43" s="231">
        <v>1170.7</v>
      </c>
      <c r="U43" s="231">
        <v>1169</v>
      </c>
      <c r="V43" s="228">
        <v>1.7</v>
      </c>
      <c r="W43" s="229">
        <v>1.5E-3</v>
      </c>
      <c r="X43" s="228">
        <v>3.1</v>
      </c>
      <c r="Y43" s="228">
        <v>4</v>
      </c>
      <c r="Z43" s="228">
        <v>-0.9</v>
      </c>
      <c r="AA43" s="229">
        <v>2.7000000000000001E-3</v>
      </c>
      <c r="AB43" s="228">
        <v>3.1</v>
      </c>
      <c r="AC43" s="228">
        <v>4</v>
      </c>
      <c r="AD43" s="228">
        <v>-0.9</v>
      </c>
      <c r="AE43" s="229">
        <v>2.7000000000000001E-3</v>
      </c>
      <c r="AF43" s="228">
        <v>10.8</v>
      </c>
      <c r="AG43" s="228">
        <v>10.6</v>
      </c>
      <c r="AH43" s="228">
        <v>0.2</v>
      </c>
      <c r="AI43" s="229">
        <v>9.4000000000000004E-3</v>
      </c>
      <c r="AJ43" s="228">
        <v>18.100000000000001</v>
      </c>
      <c r="AK43" s="228">
        <v>16.8</v>
      </c>
      <c r="AL43" s="228">
        <v>1.3</v>
      </c>
      <c r="AM43" s="229">
        <v>1.5699999999999999E-2</v>
      </c>
      <c r="AN43" s="231">
        <v>1157.8599999999999</v>
      </c>
      <c r="AO43" s="231">
        <v>1165.5899999999999</v>
      </c>
      <c r="AP43" s="228">
        <v>0</v>
      </c>
      <c r="AQ43" s="230">
        <v>1515</v>
      </c>
      <c r="AR43" s="230">
        <v>2306</v>
      </c>
      <c r="AS43" s="228">
        <v>-791</v>
      </c>
      <c r="AT43" s="229">
        <v>-0.34300000000000003</v>
      </c>
      <c r="AU43" s="230">
        <v>1428</v>
      </c>
      <c r="AV43" s="230">
        <v>2019</v>
      </c>
      <c r="AW43" s="228">
        <v>-591</v>
      </c>
      <c r="AX43" s="229">
        <v>-0.29270000000000002</v>
      </c>
      <c r="AY43" s="228">
        <v>81</v>
      </c>
      <c r="AZ43" s="228">
        <v>282</v>
      </c>
      <c r="BA43" s="228">
        <v>-201</v>
      </c>
      <c r="BB43" s="229">
        <v>-0.71279999999999999</v>
      </c>
      <c r="BC43" s="228">
        <v>6</v>
      </c>
      <c r="BD43" s="228">
        <v>5</v>
      </c>
      <c r="BE43" s="228">
        <v>1</v>
      </c>
      <c r="BF43" s="229">
        <v>0.2</v>
      </c>
      <c r="BG43" s="230">
        <v>4130</v>
      </c>
      <c r="BH43" s="230">
        <v>5622</v>
      </c>
      <c r="BI43" s="230">
        <v>-1492</v>
      </c>
      <c r="BJ43" s="229">
        <v>-0.26540000000000002</v>
      </c>
      <c r="BK43" s="230">
        <v>1255</v>
      </c>
      <c r="BL43" s="230">
        <v>3184</v>
      </c>
      <c r="BM43" s="230">
        <v>-1929</v>
      </c>
      <c r="BN43" s="229">
        <v>-0.60580000000000001</v>
      </c>
      <c r="BO43" s="230">
        <v>6900</v>
      </c>
      <c r="BP43" s="230">
        <v>11112</v>
      </c>
      <c r="BQ43" s="230">
        <v>-4212</v>
      </c>
      <c r="BR43" s="229">
        <v>-0.379</v>
      </c>
      <c r="BS43" s="230">
        <v>766971</v>
      </c>
      <c r="BT43" s="230">
        <v>1046398</v>
      </c>
      <c r="BU43" s="230">
        <v>-279427</v>
      </c>
      <c r="BV43" s="229">
        <v>-0.26700000000000002</v>
      </c>
      <c r="BW43" s="230">
        <v>13544300</v>
      </c>
      <c r="BX43" s="230">
        <v>13594900</v>
      </c>
      <c r="BY43" s="230">
        <v>-50600</v>
      </c>
      <c r="BZ43" s="229">
        <v>-3.7000000000000002E-3</v>
      </c>
      <c r="CA43" s="230">
        <v>12988250</v>
      </c>
      <c r="CB43" s="230">
        <v>13041600</v>
      </c>
      <c r="CC43" s="230">
        <v>-53350</v>
      </c>
      <c r="CD43" s="229">
        <v>-4.1000000000000003E-3</v>
      </c>
      <c r="CE43" s="230">
        <v>521400</v>
      </c>
      <c r="CF43" s="230">
        <v>520300</v>
      </c>
      <c r="CG43" s="230">
        <v>1100</v>
      </c>
      <c r="CH43" s="229">
        <v>2.0999999999999999E-3</v>
      </c>
      <c r="CI43" s="230">
        <v>34650</v>
      </c>
      <c r="CJ43" s="230">
        <v>33000</v>
      </c>
      <c r="CK43" s="230">
        <v>1650</v>
      </c>
      <c r="CL43" s="229">
        <v>0.05</v>
      </c>
      <c r="CM43" s="230">
        <v>4543000</v>
      </c>
      <c r="CN43" s="230">
        <v>4436300</v>
      </c>
      <c r="CO43" s="230">
        <v>106700</v>
      </c>
      <c r="CP43" s="229">
        <v>2.41E-2</v>
      </c>
      <c r="CQ43" s="230">
        <v>3399550</v>
      </c>
      <c r="CR43" s="230">
        <v>3399550</v>
      </c>
      <c r="CS43" s="228">
        <v>0</v>
      </c>
      <c r="CT43" s="229">
        <v>0</v>
      </c>
      <c r="CU43" s="230">
        <v>21486850</v>
      </c>
      <c r="CV43" s="230">
        <v>21430750</v>
      </c>
      <c r="CW43" s="230">
        <v>56100</v>
      </c>
      <c r="CX43" s="229">
        <v>2.5999999999999999E-3</v>
      </c>
      <c r="CY43" s="228">
        <v>22.71</v>
      </c>
      <c r="CZ43" s="228">
        <v>23.4</v>
      </c>
      <c r="DA43" s="228">
        <v>-0.69</v>
      </c>
      <c r="DB43" s="228">
        <v>-0.69</v>
      </c>
      <c r="DC43" s="228">
        <v>27.52</v>
      </c>
      <c r="DD43" s="228">
        <v>27.59</v>
      </c>
      <c r="DE43" s="228">
        <v>-4.8099999999999996</v>
      </c>
      <c r="DF43" s="228">
        <v>-7.0000000000000007E-2</v>
      </c>
      <c r="DG43" s="228">
        <v>22.58</v>
      </c>
      <c r="DH43" s="228">
        <v>22.82</v>
      </c>
      <c r="DI43" s="228">
        <v>-0.24</v>
      </c>
      <c r="DJ43" s="228">
        <v>-0.24</v>
      </c>
      <c r="DK43" s="228">
        <v>23.14</v>
      </c>
      <c r="DL43" s="228">
        <v>24.41</v>
      </c>
      <c r="DM43" s="228">
        <v>-1.27</v>
      </c>
      <c r="DN43" s="228">
        <v>-1.27</v>
      </c>
      <c r="DO43" s="228">
        <v>0.75</v>
      </c>
      <c r="DP43" s="228">
        <v>0.77</v>
      </c>
      <c r="DQ43" s="228">
        <v>-0.02</v>
      </c>
      <c r="DR43" s="229">
        <v>-2.5999999999999999E-2</v>
      </c>
      <c r="DS43" s="231">
        <v>1200</v>
      </c>
      <c r="DT43" s="231">
        <v>1120</v>
      </c>
      <c r="DU43" s="228">
        <v>0.3</v>
      </c>
      <c r="DV43" s="228">
        <v>0.56999999999999995</v>
      </c>
      <c r="DW43" s="228">
        <v>-0.27</v>
      </c>
      <c r="DX43" s="229">
        <v>-0.47370000000000001</v>
      </c>
      <c r="DY43" s="229">
        <v>4.1099999999999998E-2</v>
      </c>
      <c r="DZ43" s="230">
        <v>553300</v>
      </c>
      <c r="EA43" s="229">
        <v>6.7000000000000002E-3</v>
      </c>
      <c r="EB43" s="229">
        <v>4.1099999999999998E-2</v>
      </c>
      <c r="EC43" s="228">
        <v>7.73</v>
      </c>
      <c r="ED43" s="229">
        <v>6.7000000000000002E-3</v>
      </c>
      <c r="EE43" s="230">
        <v>399660</v>
      </c>
      <c r="EF43" s="230">
        <v>677652</v>
      </c>
      <c r="EG43" s="229">
        <v>-0.41020000000000001</v>
      </c>
      <c r="EH43" s="229">
        <v>0.52110000000000001</v>
      </c>
      <c r="EI43" s="231">
        <v>27258.76</v>
      </c>
      <c r="EJ43" s="231">
        <v>7860.96</v>
      </c>
      <c r="EK43" s="231">
        <v>9651.9</v>
      </c>
      <c r="EL43" s="231">
        <v>2653</v>
      </c>
      <c r="EM43" s="231">
        <v>44771.62</v>
      </c>
      <c r="EN43" s="231">
        <v>71722.720000000001</v>
      </c>
      <c r="EO43" s="231">
        <v>-26951.1</v>
      </c>
      <c r="EP43" s="229">
        <v>-0.37580000000000002</v>
      </c>
      <c r="EQ43" s="231">
        <v>54932</v>
      </c>
      <c r="ER43" s="231">
        <v>36878</v>
      </c>
      <c r="ES43" s="231">
        <v>156577</v>
      </c>
      <c r="ET43" s="231">
        <v>65472326</v>
      </c>
      <c r="EU43" s="231">
        <v>248387</v>
      </c>
      <c r="EV43" s="231">
        <v>247763</v>
      </c>
      <c r="EW43" s="228">
        <v>624</v>
      </c>
      <c r="EX43" s="229">
        <v>2.5000000000000001E-3</v>
      </c>
      <c r="EY43" s="229">
        <v>0.32819999999999999</v>
      </c>
    </row>
    <row r="44" spans="1:155" ht="17.25" thickBot="1" x14ac:dyDescent="0.3">
      <c r="A44" s="226">
        <v>46064</v>
      </c>
      <c r="B44" s="227" t="s">
        <v>227</v>
      </c>
      <c r="C44" s="227" t="s">
        <v>294</v>
      </c>
      <c r="D44" s="228">
        <v>208.13</v>
      </c>
      <c r="E44" s="228">
        <v>208.09</v>
      </c>
      <c r="F44" s="228">
        <v>0.04</v>
      </c>
      <c r="G44" s="229">
        <v>2.0000000000000001E-4</v>
      </c>
      <c r="H44" s="228">
        <v>207.59</v>
      </c>
      <c r="I44" s="228">
        <v>208.01</v>
      </c>
      <c r="J44" s="228">
        <v>-0.42</v>
      </c>
      <c r="K44" s="229">
        <v>-2E-3</v>
      </c>
      <c r="L44" s="228">
        <v>208.13</v>
      </c>
      <c r="M44" s="228">
        <v>208.09</v>
      </c>
      <c r="N44" s="228">
        <v>0.04</v>
      </c>
      <c r="O44" s="229">
        <v>2.0000000000000001E-4</v>
      </c>
      <c r="P44" s="228">
        <v>209.4</v>
      </c>
      <c r="Q44" s="228">
        <v>209.37</v>
      </c>
      <c r="R44" s="228">
        <v>0.03</v>
      </c>
      <c r="S44" s="229">
        <v>1E-4</v>
      </c>
      <c r="T44" s="228">
        <v>210.81</v>
      </c>
      <c r="U44" s="228">
        <v>210.62</v>
      </c>
      <c r="V44" s="228">
        <v>0.19</v>
      </c>
      <c r="W44" s="229">
        <v>8.9999999999999998E-4</v>
      </c>
      <c r="X44" s="228">
        <v>0.54</v>
      </c>
      <c r="Y44" s="228">
        <v>0.08</v>
      </c>
      <c r="Z44" s="228">
        <v>0.46</v>
      </c>
      <c r="AA44" s="229">
        <v>2.5999999999999999E-3</v>
      </c>
      <c r="AB44" s="228">
        <v>0.54</v>
      </c>
      <c r="AC44" s="228">
        <v>0.08</v>
      </c>
      <c r="AD44" s="228">
        <v>0.46</v>
      </c>
      <c r="AE44" s="229">
        <v>2.5999999999999999E-3</v>
      </c>
      <c r="AF44" s="228">
        <v>1.81</v>
      </c>
      <c r="AG44" s="228">
        <v>1.36</v>
      </c>
      <c r="AH44" s="228">
        <v>0.45</v>
      </c>
      <c r="AI44" s="229">
        <v>8.6999999999999994E-3</v>
      </c>
      <c r="AJ44" s="228">
        <v>3.22</v>
      </c>
      <c r="AK44" s="228">
        <v>2.61</v>
      </c>
      <c r="AL44" s="228">
        <v>0.61</v>
      </c>
      <c r="AM44" s="229">
        <v>1.55E-2</v>
      </c>
      <c r="AN44" s="228">
        <v>208.31</v>
      </c>
      <c r="AO44" s="228">
        <v>209.54</v>
      </c>
      <c r="AP44" s="228">
        <v>0</v>
      </c>
      <c r="AQ44" s="230">
        <v>9400</v>
      </c>
      <c r="AR44" s="230">
        <v>19311</v>
      </c>
      <c r="AS44" s="230">
        <v>-9911</v>
      </c>
      <c r="AT44" s="229">
        <v>-0.51319999999999999</v>
      </c>
      <c r="AU44" s="230">
        <v>8164</v>
      </c>
      <c r="AV44" s="230">
        <v>16984</v>
      </c>
      <c r="AW44" s="230">
        <v>-8820</v>
      </c>
      <c r="AX44" s="229">
        <v>-0.51929999999999998</v>
      </c>
      <c r="AY44" s="230">
        <v>1002</v>
      </c>
      <c r="AZ44" s="230">
        <v>1910</v>
      </c>
      <c r="BA44" s="228">
        <v>-908</v>
      </c>
      <c r="BB44" s="229">
        <v>-0.47539999999999999</v>
      </c>
      <c r="BC44" s="228">
        <v>234</v>
      </c>
      <c r="BD44" s="228">
        <v>417</v>
      </c>
      <c r="BE44" s="228">
        <v>-183</v>
      </c>
      <c r="BF44" s="229">
        <v>-0.43880000000000002</v>
      </c>
      <c r="BG44" s="230">
        <v>45178</v>
      </c>
      <c r="BH44" s="230">
        <v>125026</v>
      </c>
      <c r="BI44" s="230">
        <v>-79848</v>
      </c>
      <c r="BJ44" s="229">
        <v>-0.63870000000000005</v>
      </c>
      <c r="BK44" s="230">
        <v>25092</v>
      </c>
      <c r="BL44" s="230">
        <v>56645</v>
      </c>
      <c r="BM44" s="230">
        <v>-31553</v>
      </c>
      <c r="BN44" s="229">
        <v>-0.55700000000000005</v>
      </c>
      <c r="BO44" s="230">
        <v>79670</v>
      </c>
      <c r="BP44" s="230">
        <v>200982</v>
      </c>
      <c r="BQ44" s="230">
        <v>-121312</v>
      </c>
      <c r="BR44" s="229">
        <v>-0.60360000000000003</v>
      </c>
      <c r="BS44" s="230">
        <v>49968274</v>
      </c>
      <c r="BT44" s="230">
        <v>107760584</v>
      </c>
      <c r="BU44" s="230">
        <v>-57792310</v>
      </c>
      <c r="BV44" s="229">
        <v>-0.5363</v>
      </c>
      <c r="BW44" s="230">
        <v>216557000</v>
      </c>
      <c r="BX44" s="230">
        <v>220720500</v>
      </c>
      <c r="BY44" s="230">
        <v>-4163500</v>
      </c>
      <c r="BZ44" s="229">
        <v>-1.89E-2</v>
      </c>
      <c r="CA44" s="230">
        <v>191757500</v>
      </c>
      <c r="CB44" s="230">
        <v>196955000</v>
      </c>
      <c r="CC44" s="230">
        <v>-5197500</v>
      </c>
      <c r="CD44" s="229">
        <v>-2.64E-2</v>
      </c>
      <c r="CE44" s="230">
        <v>21263000</v>
      </c>
      <c r="CF44" s="230">
        <v>20487500</v>
      </c>
      <c r="CG44" s="230">
        <v>775500</v>
      </c>
      <c r="CH44" s="229">
        <v>3.7900000000000003E-2</v>
      </c>
      <c r="CI44" s="230">
        <v>3536500</v>
      </c>
      <c r="CJ44" s="230">
        <v>3278000</v>
      </c>
      <c r="CK44" s="230">
        <v>258500</v>
      </c>
      <c r="CL44" s="229">
        <v>7.8899999999999998E-2</v>
      </c>
      <c r="CM44" s="230">
        <v>141982500</v>
      </c>
      <c r="CN44" s="230">
        <v>142010000</v>
      </c>
      <c r="CO44" s="230">
        <v>-27500</v>
      </c>
      <c r="CP44" s="229">
        <v>-2.0000000000000001E-4</v>
      </c>
      <c r="CQ44" s="230">
        <v>116616500</v>
      </c>
      <c r="CR44" s="230">
        <v>114796000</v>
      </c>
      <c r="CS44" s="230">
        <v>1820500</v>
      </c>
      <c r="CT44" s="229">
        <v>1.5900000000000001E-2</v>
      </c>
      <c r="CU44" s="230">
        <v>475156000</v>
      </c>
      <c r="CV44" s="230">
        <v>477526500</v>
      </c>
      <c r="CW44" s="230">
        <v>-2370500</v>
      </c>
      <c r="CX44" s="229">
        <v>-5.0000000000000001E-3</v>
      </c>
      <c r="CY44" s="228">
        <v>31.51</v>
      </c>
      <c r="CZ44" s="228">
        <v>30.54</v>
      </c>
      <c r="DA44" s="228">
        <v>0.97</v>
      </c>
      <c r="DB44" s="228">
        <v>0.97</v>
      </c>
      <c r="DC44" s="228">
        <v>33.79</v>
      </c>
      <c r="DD44" s="228">
        <v>33.880000000000003</v>
      </c>
      <c r="DE44" s="228">
        <v>-2.2799999999999998</v>
      </c>
      <c r="DF44" s="228">
        <v>-0.09</v>
      </c>
      <c r="DG44" s="228">
        <v>30.72</v>
      </c>
      <c r="DH44" s="228">
        <v>29.79</v>
      </c>
      <c r="DI44" s="228">
        <v>0.93</v>
      </c>
      <c r="DJ44" s="228">
        <v>0.93</v>
      </c>
      <c r="DK44" s="228">
        <v>32.92</v>
      </c>
      <c r="DL44" s="228">
        <v>32.19</v>
      </c>
      <c r="DM44" s="228">
        <v>0.73</v>
      </c>
      <c r="DN44" s="228">
        <v>0.73</v>
      </c>
      <c r="DO44" s="228">
        <v>0.82</v>
      </c>
      <c r="DP44" s="228">
        <v>0.81</v>
      </c>
      <c r="DQ44" s="228">
        <v>0.01</v>
      </c>
      <c r="DR44" s="229">
        <v>1.23E-2</v>
      </c>
      <c r="DS44" s="228">
        <v>210</v>
      </c>
      <c r="DT44" s="228">
        <v>190</v>
      </c>
      <c r="DU44" s="228">
        <v>0.56000000000000005</v>
      </c>
      <c r="DV44" s="228">
        <v>0.45</v>
      </c>
      <c r="DW44" s="228">
        <v>0.11</v>
      </c>
      <c r="DX44" s="229">
        <v>0.24440000000000001</v>
      </c>
      <c r="DY44" s="229">
        <v>0.1145</v>
      </c>
      <c r="DZ44" s="230">
        <v>23765500</v>
      </c>
      <c r="EA44" s="229">
        <v>6.1000000000000004E-3</v>
      </c>
      <c r="EB44" s="229">
        <v>0.1145</v>
      </c>
      <c r="EC44" s="228">
        <v>1.23</v>
      </c>
      <c r="ED44" s="229">
        <v>5.8999999999999999E-3</v>
      </c>
      <c r="EE44" s="230">
        <v>22576316</v>
      </c>
      <c r="EF44" s="230">
        <v>49111971</v>
      </c>
      <c r="EG44" s="229">
        <v>-0.5403</v>
      </c>
      <c r="EH44" s="229">
        <v>0.45179999999999998</v>
      </c>
      <c r="EI44" s="231">
        <v>536580.27</v>
      </c>
      <c r="EJ44" s="231">
        <v>282435.27</v>
      </c>
      <c r="EK44" s="231">
        <v>107798.45</v>
      </c>
      <c r="EL44" s="231">
        <v>11808</v>
      </c>
      <c r="EM44" s="231">
        <v>926813.99</v>
      </c>
      <c r="EN44" s="231">
        <v>2330763.0499999998</v>
      </c>
      <c r="EO44" s="231">
        <v>-1403949.06</v>
      </c>
      <c r="EP44" s="229">
        <v>-0.60240000000000005</v>
      </c>
      <c r="EQ44" s="231">
        <v>294147</v>
      </c>
      <c r="ER44" s="231">
        <v>223226</v>
      </c>
      <c r="ES44" s="231">
        <v>451085</v>
      </c>
      <c r="ET44" s="231">
        <v>872935214</v>
      </c>
      <c r="EU44" s="231">
        <v>968458</v>
      </c>
      <c r="EV44" s="231">
        <v>972457</v>
      </c>
      <c r="EW44" s="231">
        <v>-3999</v>
      </c>
      <c r="EX44" s="229">
        <v>-4.1000000000000003E-3</v>
      </c>
      <c r="EY44" s="229">
        <v>0.54430000000000001</v>
      </c>
    </row>
    <row r="45" spans="1:155" ht="17.25" thickBot="1" x14ac:dyDescent="0.3">
      <c r="A45" s="226">
        <v>46064</v>
      </c>
      <c r="B45" s="227" t="s">
        <v>221</v>
      </c>
      <c r="C45" s="227" t="s">
        <v>295</v>
      </c>
      <c r="D45" s="231">
        <v>2918.3</v>
      </c>
      <c r="E45" s="231">
        <v>2991.7</v>
      </c>
      <c r="F45" s="228">
        <v>-73.400000000000006</v>
      </c>
      <c r="G45" s="229">
        <v>-2.4500000000000001E-2</v>
      </c>
      <c r="H45" s="231">
        <v>2909.8</v>
      </c>
      <c r="I45" s="231">
        <v>2984.6</v>
      </c>
      <c r="J45" s="228">
        <v>-74.8</v>
      </c>
      <c r="K45" s="229">
        <v>-2.5100000000000001E-2</v>
      </c>
      <c r="L45" s="231">
        <v>2918.3</v>
      </c>
      <c r="M45" s="231">
        <v>2991.7</v>
      </c>
      <c r="N45" s="228">
        <v>-73.400000000000006</v>
      </c>
      <c r="O45" s="229">
        <v>-2.4500000000000001E-2</v>
      </c>
      <c r="P45" s="231">
        <v>2936.3</v>
      </c>
      <c r="Q45" s="231">
        <v>3010.4</v>
      </c>
      <c r="R45" s="228">
        <v>-74.099999999999994</v>
      </c>
      <c r="S45" s="229">
        <v>-2.46E-2</v>
      </c>
      <c r="T45" s="231">
        <v>2954.8</v>
      </c>
      <c r="U45" s="231">
        <v>3027.2</v>
      </c>
      <c r="V45" s="228">
        <v>-72.400000000000006</v>
      </c>
      <c r="W45" s="229">
        <v>-2.3900000000000001E-2</v>
      </c>
      <c r="X45" s="228">
        <v>8.5</v>
      </c>
      <c r="Y45" s="228">
        <v>7.1</v>
      </c>
      <c r="Z45" s="228">
        <v>1.4</v>
      </c>
      <c r="AA45" s="229">
        <v>2.8999999999999998E-3</v>
      </c>
      <c r="AB45" s="228">
        <v>8.5</v>
      </c>
      <c r="AC45" s="228">
        <v>7.1</v>
      </c>
      <c r="AD45" s="228">
        <v>1.4</v>
      </c>
      <c r="AE45" s="229">
        <v>2.8999999999999998E-3</v>
      </c>
      <c r="AF45" s="228">
        <v>26.5</v>
      </c>
      <c r="AG45" s="228">
        <v>25.8</v>
      </c>
      <c r="AH45" s="228">
        <v>0.7</v>
      </c>
      <c r="AI45" s="229">
        <v>9.1000000000000004E-3</v>
      </c>
      <c r="AJ45" s="228">
        <v>45</v>
      </c>
      <c r="AK45" s="228">
        <v>42.6</v>
      </c>
      <c r="AL45" s="228">
        <v>2.4</v>
      </c>
      <c r="AM45" s="229">
        <v>1.55E-2</v>
      </c>
      <c r="AN45" s="231">
        <v>2951.44</v>
      </c>
      <c r="AO45" s="231">
        <v>2964.31</v>
      </c>
      <c r="AP45" s="228">
        <v>0</v>
      </c>
      <c r="AQ45" s="230">
        <v>23072</v>
      </c>
      <c r="AR45" s="230">
        <v>27695</v>
      </c>
      <c r="AS45" s="230">
        <v>-4623</v>
      </c>
      <c r="AT45" s="229">
        <v>-0.16689999999999999</v>
      </c>
      <c r="AU45" s="230">
        <v>18268</v>
      </c>
      <c r="AV45" s="230">
        <v>25323</v>
      </c>
      <c r="AW45" s="230">
        <v>-7055</v>
      </c>
      <c r="AX45" s="229">
        <v>-0.27860000000000001</v>
      </c>
      <c r="AY45" s="230">
        <v>4204</v>
      </c>
      <c r="AZ45" s="230">
        <v>1959</v>
      </c>
      <c r="BA45" s="230">
        <v>2245</v>
      </c>
      <c r="BB45" s="229">
        <v>1.1459999999999999</v>
      </c>
      <c r="BC45" s="228">
        <v>600</v>
      </c>
      <c r="BD45" s="228">
        <v>413</v>
      </c>
      <c r="BE45" s="228">
        <v>187</v>
      </c>
      <c r="BF45" s="229">
        <v>0.45279999999999998</v>
      </c>
      <c r="BG45" s="230">
        <v>137617</v>
      </c>
      <c r="BH45" s="230">
        <v>144514</v>
      </c>
      <c r="BI45" s="230">
        <v>-6897</v>
      </c>
      <c r="BJ45" s="229">
        <v>-4.7699999999999999E-2</v>
      </c>
      <c r="BK45" s="230">
        <v>87201</v>
      </c>
      <c r="BL45" s="230">
        <v>65231</v>
      </c>
      <c r="BM45" s="230">
        <v>21970</v>
      </c>
      <c r="BN45" s="229">
        <v>0.33679999999999999</v>
      </c>
      <c r="BO45" s="230">
        <v>247890</v>
      </c>
      <c r="BP45" s="230">
        <v>237440</v>
      </c>
      <c r="BQ45" s="230">
        <v>10450</v>
      </c>
      <c r="BR45" s="229">
        <v>4.3999999999999997E-2</v>
      </c>
      <c r="BS45" s="230">
        <v>3512931</v>
      </c>
      <c r="BT45" s="230">
        <v>4016096</v>
      </c>
      <c r="BU45" s="230">
        <v>-503165</v>
      </c>
      <c r="BV45" s="229">
        <v>-0.12529999999999999</v>
      </c>
      <c r="BW45" s="230">
        <v>26766250</v>
      </c>
      <c r="BX45" s="230">
        <v>25944275</v>
      </c>
      <c r="BY45" s="230">
        <v>821975</v>
      </c>
      <c r="BZ45" s="229">
        <v>3.1699999999999999E-2</v>
      </c>
      <c r="CA45" s="230">
        <v>23532775</v>
      </c>
      <c r="CB45" s="230">
        <v>23189075</v>
      </c>
      <c r="CC45" s="230">
        <v>343700</v>
      </c>
      <c r="CD45" s="229">
        <v>1.4800000000000001E-2</v>
      </c>
      <c r="CE45" s="230">
        <v>2781100</v>
      </c>
      <c r="CF45" s="230">
        <v>2375450</v>
      </c>
      <c r="CG45" s="230">
        <v>405650</v>
      </c>
      <c r="CH45" s="229">
        <v>0.17080000000000001</v>
      </c>
      <c r="CI45" s="230">
        <v>452375</v>
      </c>
      <c r="CJ45" s="230">
        <v>379750</v>
      </c>
      <c r="CK45" s="230">
        <v>72625</v>
      </c>
      <c r="CL45" s="229">
        <v>0.19120000000000001</v>
      </c>
      <c r="CM45" s="230">
        <v>22135750</v>
      </c>
      <c r="CN45" s="230">
        <v>20279175</v>
      </c>
      <c r="CO45" s="230">
        <v>1856575</v>
      </c>
      <c r="CP45" s="229">
        <v>9.1600000000000001E-2</v>
      </c>
      <c r="CQ45" s="230">
        <v>12608400</v>
      </c>
      <c r="CR45" s="230">
        <v>11608275</v>
      </c>
      <c r="CS45" s="230">
        <v>1000125</v>
      </c>
      <c r="CT45" s="229">
        <v>8.6199999999999999E-2</v>
      </c>
      <c r="CU45" s="230">
        <v>61510400</v>
      </c>
      <c r="CV45" s="230">
        <v>57831725</v>
      </c>
      <c r="CW45" s="230">
        <v>3678675</v>
      </c>
      <c r="CX45" s="229">
        <v>6.3600000000000004E-2</v>
      </c>
      <c r="CY45" s="228">
        <v>30.29</v>
      </c>
      <c r="CZ45" s="228">
        <v>26.5</v>
      </c>
      <c r="DA45" s="228">
        <v>3.79</v>
      </c>
      <c r="DB45" s="228">
        <v>3.79</v>
      </c>
      <c r="DC45" s="228">
        <v>25.65</v>
      </c>
      <c r="DD45" s="228">
        <v>25.48</v>
      </c>
      <c r="DE45" s="228">
        <v>4.6399999999999997</v>
      </c>
      <c r="DF45" s="228">
        <v>0.17</v>
      </c>
      <c r="DG45" s="228">
        <v>30.3</v>
      </c>
      <c r="DH45" s="228">
        <v>26.25</v>
      </c>
      <c r="DI45" s="228">
        <v>4.05</v>
      </c>
      <c r="DJ45" s="228">
        <v>4.05</v>
      </c>
      <c r="DK45" s="228">
        <v>30.28</v>
      </c>
      <c r="DL45" s="228">
        <v>27.07</v>
      </c>
      <c r="DM45" s="228">
        <v>3.21</v>
      </c>
      <c r="DN45" s="228">
        <v>3.21</v>
      </c>
      <c r="DO45" s="228">
        <v>0.56999999999999995</v>
      </c>
      <c r="DP45" s="228">
        <v>0.56999999999999995</v>
      </c>
      <c r="DQ45" s="228">
        <v>0</v>
      </c>
      <c r="DR45" s="229">
        <v>0</v>
      </c>
      <c r="DS45" s="231">
        <v>3200</v>
      </c>
      <c r="DT45" s="231">
        <v>3000</v>
      </c>
      <c r="DU45" s="228">
        <v>0.63</v>
      </c>
      <c r="DV45" s="228">
        <v>0.45</v>
      </c>
      <c r="DW45" s="228">
        <v>0.18</v>
      </c>
      <c r="DX45" s="229">
        <v>0.4</v>
      </c>
      <c r="DY45" s="229">
        <v>0.1208</v>
      </c>
      <c r="DZ45" s="230">
        <v>2755200</v>
      </c>
      <c r="EA45" s="229">
        <v>6.1999999999999998E-3</v>
      </c>
      <c r="EB45" s="229">
        <v>0.1208</v>
      </c>
      <c r="EC45" s="228">
        <v>12.87</v>
      </c>
      <c r="ED45" s="229">
        <v>4.4000000000000003E-3</v>
      </c>
      <c r="EE45" s="230">
        <v>2294051</v>
      </c>
      <c r="EF45" s="230">
        <v>2415797</v>
      </c>
      <c r="EG45" s="229">
        <v>-5.04E-2</v>
      </c>
      <c r="EH45" s="229">
        <v>0.65300000000000002</v>
      </c>
      <c r="EI45" s="231">
        <v>750830.12</v>
      </c>
      <c r="EJ45" s="231">
        <v>446339.53</v>
      </c>
      <c r="EK45" s="231">
        <v>119286.98</v>
      </c>
      <c r="EL45" s="231">
        <v>33364</v>
      </c>
      <c r="EM45" s="231">
        <v>1316456.6299999999</v>
      </c>
      <c r="EN45" s="231">
        <v>1272483.33</v>
      </c>
      <c r="EO45" s="231">
        <v>43973.3</v>
      </c>
      <c r="EP45" s="229">
        <v>3.4599999999999999E-2</v>
      </c>
      <c r="EQ45" s="231">
        <v>698369</v>
      </c>
      <c r="ER45" s="231">
        <v>374911</v>
      </c>
      <c r="ES45" s="231">
        <v>781785</v>
      </c>
      <c r="ET45" s="231">
        <v>126444612</v>
      </c>
      <c r="EU45" s="231">
        <v>1855064</v>
      </c>
      <c r="EV45" s="231">
        <v>1767814</v>
      </c>
      <c r="EW45" s="231">
        <v>87250</v>
      </c>
      <c r="EX45" s="229">
        <v>4.9399999999999999E-2</v>
      </c>
      <c r="EY45" s="229">
        <v>0.48649999999999999</v>
      </c>
    </row>
    <row r="46" spans="1:155" ht="17.25" thickBot="1" x14ac:dyDescent="0.3">
      <c r="A46" s="226">
        <v>46064</v>
      </c>
      <c r="B46" s="227" t="s">
        <v>221</v>
      </c>
      <c r="C46" s="227" t="s">
        <v>296</v>
      </c>
      <c r="D46" s="231">
        <v>1633.9</v>
      </c>
      <c r="E46" s="231">
        <v>1645.4</v>
      </c>
      <c r="F46" s="228">
        <v>-11.5</v>
      </c>
      <c r="G46" s="229">
        <v>-7.0000000000000001E-3</v>
      </c>
      <c r="H46" s="231">
        <v>1634.4</v>
      </c>
      <c r="I46" s="231">
        <v>1644.6</v>
      </c>
      <c r="J46" s="228">
        <v>-10.199999999999999</v>
      </c>
      <c r="K46" s="229">
        <v>-6.1999999999999998E-3</v>
      </c>
      <c r="L46" s="231">
        <v>1633.9</v>
      </c>
      <c r="M46" s="231">
        <v>1645.4</v>
      </c>
      <c r="N46" s="228">
        <v>-11.5</v>
      </c>
      <c r="O46" s="229">
        <v>-7.0000000000000001E-3</v>
      </c>
      <c r="P46" s="231">
        <v>1643.4</v>
      </c>
      <c r="Q46" s="231">
        <v>1655.3</v>
      </c>
      <c r="R46" s="228">
        <v>-11.9</v>
      </c>
      <c r="S46" s="229">
        <v>-7.1999999999999998E-3</v>
      </c>
      <c r="T46" s="231">
        <v>1651</v>
      </c>
      <c r="U46" s="231">
        <v>1665.7</v>
      </c>
      <c r="V46" s="228">
        <v>-14.7</v>
      </c>
      <c r="W46" s="229">
        <v>-8.8000000000000005E-3</v>
      </c>
      <c r="X46" s="228">
        <v>-0.5</v>
      </c>
      <c r="Y46" s="228">
        <v>0.8</v>
      </c>
      <c r="Z46" s="228">
        <v>-1.3</v>
      </c>
      <c r="AA46" s="229">
        <v>-2.9999999999999997E-4</v>
      </c>
      <c r="AB46" s="228">
        <v>-0.5</v>
      </c>
      <c r="AC46" s="228">
        <v>0.8</v>
      </c>
      <c r="AD46" s="228">
        <v>-1.3</v>
      </c>
      <c r="AE46" s="229">
        <v>-2.9999999999999997E-4</v>
      </c>
      <c r="AF46" s="228">
        <v>9</v>
      </c>
      <c r="AG46" s="228">
        <v>10.7</v>
      </c>
      <c r="AH46" s="228">
        <v>-1.7</v>
      </c>
      <c r="AI46" s="229">
        <v>5.4999999999999997E-3</v>
      </c>
      <c r="AJ46" s="228">
        <v>16.600000000000001</v>
      </c>
      <c r="AK46" s="228">
        <v>21.1</v>
      </c>
      <c r="AL46" s="228">
        <v>-4.5</v>
      </c>
      <c r="AM46" s="229">
        <v>1.0200000000000001E-2</v>
      </c>
      <c r="AN46" s="231">
        <v>1640.52</v>
      </c>
      <c r="AO46" s="231">
        <v>1651.48</v>
      </c>
      <c r="AP46" s="228">
        <v>0</v>
      </c>
      <c r="AQ46" s="230">
        <v>3557</v>
      </c>
      <c r="AR46" s="230">
        <v>5743</v>
      </c>
      <c r="AS46" s="230">
        <v>-2186</v>
      </c>
      <c r="AT46" s="229">
        <v>-0.38059999999999999</v>
      </c>
      <c r="AU46" s="230">
        <v>3333</v>
      </c>
      <c r="AV46" s="230">
        <v>5231</v>
      </c>
      <c r="AW46" s="230">
        <v>-1898</v>
      </c>
      <c r="AX46" s="229">
        <v>-0.36280000000000001</v>
      </c>
      <c r="AY46" s="228">
        <v>206</v>
      </c>
      <c r="AZ46" s="228">
        <v>427</v>
      </c>
      <c r="BA46" s="228">
        <v>-221</v>
      </c>
      <c r="BB46" s="229">
        <v>-0.51759999999999995</v>
      </c>
      <c r="BC46" s="228">
        <v>18</v>
      </c>
      <c r="BD46" s="228">
        <v>85</v>
      </c>
      <c r="BE46" s="228">
        <v>-67</v>
      </c>
      <c r="BF46" s="229">
        <v>-0.78820000000000001</v>
      </c>
      <c r="BG46" s="230">
        <v>10002</v>
      </c>
      <c r="BH46" s="230">
        <v>24946</v>
      </c>
      <c r="BI46" s="230">
        <v>-14944</v>
      </c>
      <c r="BJ46" s="229">
        <v>-0.59909999999999997</v>
      </c>
      <c r="BK46" s="230">
        <v>7957</v>
      </c>
      <c r="BL46" s="230">
        <v>10870</v>
      </c>
      <c r="BM46" s="230">
        <v>-2913</v>
      </c>
      <c r="BN46" s="229">
        <v>-0.26800000000000002</v>
      </c>
      <c r="BO46" s="230">
        <v>21516</v>
      </c>
      <c r="BP46" s="230">
        <v>41559</v>
      </c>
      <c r="BQ46" s="230">
        <v>-20043</v>
      </c>
      <c r="BR46" s="229">
        <v>-0.48230000000000001</v>
      </c>
      <c r="BS46" s="230">
        <v>1544594</v>
      </c>
      <c r="BT46" s="230">
        <v>1916319</v>
      </c>
      <c r="BU46" s="230">
        <v>-371725</v>
      </c>
      <c r="BV46" s="229">
        <v>-0.19400000000000001</v>
      </c>
      <c r="BW46" s="230">
        <v>17491800</v>
      </c>
      <c r="BX46" s="230">
        <v>17854200</v>
      </c>
      <c r="BY46" s="230">
        <v>-362400</v>
      </c>
      <c r="BZ46" s="229">
        <v>-2.0299999999999999E-2</v>
      </c>
      <c r="CA46" s="230">
        <v>16868400</v>
      </c>
      <c r="CB46" s="230">
        <v>17272200</v>
      </c>
      <c r="CC46" s="230">
        <v>-403800</v>
      </c>
      <c r="CD46" s="229">
        <v>-2.3400000000000001E-2</v>
      </c>
      <c r="CE46" s="230">
        <v>572400</v>
      </c>
      <c r="CF46" s="230">
        <v>535800</v>
      </c>
      <c r="CG46" s="230">
        <v>36600</v>
      </c>
      <c r="CH46" s="229">
        <v>6.83E-2</v>
      </c>
      <c r="CI46" s="230">
        <v>51000</v>
      </c>
      <c r="CJ46" s="230">
        <v>46200</v>
      </c>
      <c r="CK46" s="230">
        <v>4800</v>
      </c>
      <c r="CL46" s="229">
        <v>0.10390000000000001</v>
      </c>
      <c r="CM46" s="230">
        <v>9282600</v>
      </c>
      <c r="CN46" s="230">
        <v>9089400</v>
      </c>
      <c r="CO46" s="230">
        <v>193200</v>
      </c>
      <c r="CP46" s="229">
        <v>2.1299999999999999E-2</v>
      </c>
      <c r="CQ46" s="230">
        <v>5728200</v>
      </c>
      <c r="CR46" s="230">
        <v>5591400</v>
      </c>
      <c r="CS46" s="230">
        <v>136800</v>
      </c>
      <c r="CT46" s="229">
        <v>2.4500000000000001E-2</v>
      </c>
      <c r="CU46" s="230">
        <v>32502600</v>
      </c>
      <c r="CV46" s="230">
        <v>32535000</v>
      </c>
      <c r="CW46" s="230">
        <v>-32400</v>
      </c>
      <c r="CX46" s="229">
        <v>-1E-3</v>
      </c>
      <c r="CY46" s="228">
        <v>28.28</v>
      </c>
      <c r="CZ46" s="228">
        <v>26.85</v>
      </c>
      <c r="DA46" s="228">
        <v>1.43</v>
      </c>
      <c r="DB46" s="228">
        <v>1.43</v>
      </c>
      <c r="DC46" s="228">
        <v>29.13</v>
      </c>
      <c r="DD46" s="228">
        <v>29.19</v>
      </c>
      <c r="DE46" s="228">
        <v>-0.85</v>
      </c>
      <c r="DF46" s="228">
        <v>-0.06</v>
      </c>
      <c r="DG46" s="228">
        <v>28.08</v>
      </c>
      <c r="DH46" s="228">
        <v>26.66</v>
      </c>
      <c r="DI46" s="228">
        <v>1.42</v>
      </c>
      <c r="DJ46" s="228">
        <v>1.42</v>
      </c>
      <c r="DK46" s="228">
        <v>28.54</v>
      </c>
      <c r="DL46" s="228">
        <v>27.28</v>
      </c>
      <c r="DM46" s="228">
        <v>1.26</v>
      </c>
      <c r="DN46" s="228">
        <v>1.26</v>
      </c>
      <c r="DO46" s="228">
        <v>0.62</v>
      </c>
      <c r="DP46" s="228">
        <v>0.62</v>
      </c>
      <c r="DQ46" s="228">
        <v>0</v>
      </c>
      <c r="DR46" s="229">
        <v>0</v>
      </c>
      <c r="DS46" s="231">
        <v>1760</v>
      </c>
      <c r="DT46" s="231">
        <v>1620</v>
      </c>
      <c r="DU46" s="228">
        <v>0.8</v>
      </c>
      <c r="DV46" s="228">
        <v>0.44</v>
      </c>
      <c r="DW46" s="228">
        <v>0.36</v>
      </c>
      <c r="DX46" s="229">
        <v>0.81820000000000004</v>
      </c>
      <c r="DY46" s="229">
        <v>3.56E-2</v>
      </c>
      <c r="DZ46" s="230">
        <v>582000</v>
      </c>
      <c r="EA46" s="229">
        <v>5.7999999999999996E-3</v>
      </c>
      <c r="EB46" s="229">
        <v>3.56E-2</v>
      </c>
      <c r="EC46" s="228">
        <v>10.96</v>
      </c>
      <c r="ED46" s="229">
        <v>6.7000000000000002E-3</v>
      </c>
      <c r="EE46" s="230">
        <v>976596</v>
      </c>
      <c r="EF46" s="230">
        <v>1114727</v>
      </c>
      <c r="EG46" s="229">
        <v>-0.1239</v>
      </c>
      <c r="EH46" s="229">
        <v>0.63229999999999997</v>
      </c>
      <c r="EI46" s="231">
        <v>102500.11</v>
      </c>
      <c r="EJ46" s="231">
        <v>77229.19</v>
      </c>
      <c r="EK46" s="231">
        <v>35028.019999999997</v>
      </c>
      <c r="EL46" s="231">
        <v>6162</v>
      </c>
      <c r="EM46" s="231">
        <v>214757.32</v>
      </c>
      <c r="EN46" s="231">
        <v>418237.71</v>
      </c>
      <c r="EO46" s="231">
        <v>-203480.39</v>
      </c>
      <c r="EP46" s="229">
        <v>-0.48649999999999999</v>
      </c>
      <c r="EQ46" s="231">
        <v>161949</v>
      </c>
      <c r="ER46" s="231">
        <v>91879</v>
      </c>
      <c r="ES46" s="231">
        <v>285862</v>
      </c>
      <c r="ET46" s="231">
        <v>80031540</v>
      </c>
      <c r="EU46" s="231">
        <v>539689</v>
      </c>
      <c r="EV46" s="231">
        <v>542409</v>
      </c>
      <c r="EW46" s="231">
        <v>-2720</v>
      </c>
      <c r="EX46" s="229">
        <v>-5.0000000000000001E-3</v>
      </c>
      <c r="EY46" s="229">
        <v>0.40610000000000002</v>
      </c>
    </row>
    <row r="47" spans="1:155" ht="17.25" thickBot="1" x14ac:dyDescent="0.3">
      <c r="A47" s="226">
        <v>46064</v>
      </c>
      <c r="B47" s="227" t="s">
        <v>168</v>
      </c>
      <c r="C47" s="227" t="s">
        <v>297</v>
      </c>
      <c r="D47" s="231">
        <v>4252.5</v>
      </c>
      <c r="E47" s="231">
        <v>4283.1000000000004</v>
      </c>
      <c r="F47" s="228">
        <v>-30.6</v>
      </c>
      <c r="G47" s="229">
        <v>-7.1000000000000004E-3</v>
      </c>
      <c r="H47" s="231">
        <v>4249.1000000000004</v>
      </c>
      <c r="I47" s="231">
        <v>4269.1000000000004</v>
      </c>
      <c r="J47" s="228">
        <v>-20</v>
      </c>
      <c r="K47" s="229">
        <v>-4.7000000000000002E-3</v>
      </c>
      <c r="L47" s="231">
        <v>4252.5</v>
      </c>
      <c r="M47" s="231">
        <v>4283.1000000000004</v>
      </c>
      <c r="N47" s="228">
        <v>-30.6</v>
      </c>
      <c r="O47" s="229">
        <v>-7.1000000000000004E-3</v>
      </c>
      <c r="P47" s="231">
        <v>4278.2</v>
      </c>
      <c r="Q47" s="231">
        <v>4309.1000000000004</v>
      </c>
      <c r="R47" s="228">
        <v>-30.9</v>
      </c>
      <c r="S47" s="229">
        <v>-7.1999999999999998E-3</v>
      </c>
      <c r="T47" s="231">
        <v>4303.8999999999996</v>
      </c>
      <c r="U47" s="231">
        <v>4337.3999999999996</v>
      </c>
      <c r="V47" s="228">
        <v>-33.5</v>
      </c>
      <c r="W47" s="229">
        <v>-7.7000000000000002E-3</v>
      </c>
      <c r="X47" s="228">
        <v>3.4</v>
      </c>
      <c r="Y47" s="228">
        <v>14</v>
      </c>
      <c r="Z47" s="228">
        <v>-10.6</v>
      </c>
      <c r="AA47" s="229">
        <v>8.0000000000000004E-4</v>
      </c>
      <c r="AB47" s="228">
        <v>3.4</v>
      </c>
      <c r="AC47" s="228">
        <v>14</v>
      </c>
      <c r="AD47" s="228">
        <v>-10.6</v>
      </c>
      <c r="AE47" s="229">
        <v>8.0000000000000004E-4</v>
      </c>
      <c r="AF47" s="228">
        <v>29.1</v>
      </c>
      <c r="AG47" s="228">
        <v>40</v>
      </c>
      <c r="AH47" s="228">
        <v>-10.9</v>
      </c>
      <c r="AI47" s="229">
        <v>6.7999999999999996E-3</v>
      </c>
      <c r="AJ47" s="228">
        <v>54.8</v>
      </c>
      <c r="AK47" s="228">
        <v>68.3</v>
      </c>
      <c r="AL47" s="228">
        <v>-13.5</v>
      </c>
      <c r="AM47" s="229">
        <v>1.29E-2</v>
      </c>
      <c r="AN47" s="231">
        <v>4298.7700000000004</v>
      </c>
      <c r="AO47" s="231">
        <v>4324.33</v>
      </c>
      <c r="AP47" s="228">
        <v>0</v>
      </c>
      <c r="AQ47" s="230">
        <v>29003</v>
      </c>
      <c r="AR47" s="230">
        <v>15531</v>
      </c>
      <c r="AS47" s="230">
        <v>13472</v>
      </c>
      <c r="AT47" s="229">
        <v>0.86739999999999995</v>
      </c>
      <c r="AU47" s="230">
        <v>26816</v>
      </c>
      <c r="AV47" s="230">
        <v>14296</v>
      </c>
      <c r="AW47" s="230">
        <v>12520</v>
      </c>
      <c r="AX47" s="229">
        <v>0.87580000000000002</v>
      </c>
      <c r="AY47" s="230">
        <v>1910</v>
      </c>
      <c r="AZ47" s="230">
        <v>1098</v>
      </c>
      <c r="BA47" s="228">
        <v>812</v>
      </c>
      <c r="BB47" s="229">
        <v>0.73950000000000005</v>
      </c>
      <c r="BC47" s="228">
        <v>277</v>
      </c>
      <c r="BD47" s="228">
        <v>137</v>
      </c>
      <c r="BE47" s="228">
        <v>140</v>
      </c>
      <c r="BF47" s="229">
        <v>1.0219</v>
      </c>
      <c r="BG47" s="230">
        <v>263161</v>
      </c>
      <c r="BH47" s="230">
        <v>140588</v>
      </c>
      <c r="BI47" s="230">
        <v>122573</v>
      </c>
      <c r="BJ47" s="229">
        <v>0.87190000000000001</v>
      </c>
      <c r="BK47" s="230">
        <v>128338</v>
      </c>
      <c r="BL47" s="230">
        <v>44176</v>
      </c>
      <c r="BM47" s="230">
        <v>84162</v>
      </c>
      <c r="BN47" s="229">
        <v>1.9052</v>
      </c>
      <c r="BO47" s="230">
        <v>420502</v>
      </c>
      <c r="BP47" s="230">
        <v>200295</v>
      </c>
      <c r="BQ47" s="230">
        <v>220207</v>
      </c>
      <c r="BR47" s="229">
        <v>1.0993999999999999</v>
      </c>
      <c r="BS47" s="230">
        <v>3518529</v>
      </c>
      <c r="BT47" s="230">
        <v>1766732</v>
      </c>
      <c r="BU47" s="230">
        <v>1751797</v>
      </c>
      <c r="BV47" s="229">
        <v>0.99150000000000005</v>
      </c>
      <c r="BW47" s="230">
        <v>10361225</v>
      </c>
      <c r="BX47" s="230">
        <v>9972200</v>
      </c>
      <c r="BY47" s="230">
        <v>389025</v>
      </c>
      <c r="BZ47" s="229">
        <v>3.9E-2</v>
      </c>
      <c r="CA47" s="230">
        <v>9748375</v>
      </c>
      <c r="CB47" s="230">
        <v>9413775</v>
      </c>
      <c r="CC47" s="230">
        <v>334600</v>
      </c>
      <c r="CD47" s="229">
        <v>3.5499999999999997E-2</v>
      </c>
      <c r="CE47" s="230">
        <v>561400</v>
      </c>
      <c r="CF47" s="230">
        <v>518700</v>
      </c>
      <c r="CG47" s="230">
        <v>42700</v>
      </c>
      <c r="CH47" s="229">
        <v>8.2299999999999998E-2</v>
      </c>
      <c r="CI47" s="230">
        <v>51450</v>
      </c>
      <c r="CJ47" s="230">
        <v>39725</v>
      </c>
      <c r="CK47" s="230">
        <v>11725</v>
      </c>
      <c r="CL47" s="229">
        <v>0.29520000000000002</v>
      </c>
      <c r="CM47" s="230">
        <v>8510600</v>
      </c>
      <c r="CN47" s="230">
        <v>6201125</v>
      </c>
      <c r="CO47" s="230">
        <v>2309475</v>
      </c>
      <c r="CP47" s="229">
        <v>0.37240000000000001</v>
      </c>
      <c r="CQ47" s="230">
        <v>4207350</v>
      </c>
      <c r="CR47" s="230">
        <v>3590650</v>
      </c>
      <c r="CS47" s="230">
        <v>616700</v>
      </c>
      <c r="CT47" s="229">
        <v>0.17180000000000001</v>
      </c>
      <c r="CU47" s="230">
        <v>23079175</v>
      </c>
      <c r="CV47" s="230">
        <v>19763975</v>
      </c>
      <c r="CW47" s="230">
        <v>3315200</v>
      </c>
      <c r="CX47" s="229">
        <v>0.16769999999999999</v>
      </c>
      <c r="CY47" s="228">
        <v>27.35</v>
      </c>
      <c r="CZ47" s="228">
        <v>37.07</v>
      </c>
      <c r="DA47" s="228">
        <v>-9.7200000000000006</v>
      </c>
      <c r="DB47" s="228">
        <v>-9.7200000000000006</v>
      </c>
      <c r="DC47" s="228">
        <v>24.65</v>
      </c>
      <c r="DD47" s="228">
        <v>24.71</v>
      </c>
      <c r="DE47" s="228">
        <v>2.7</v>
      </c>
      <c r="DF47" s="228">
        <v>-0.06</v>
      </c>
      <c r="DG47" s="228">
        <v>27.5</v>
      </c>
      <c r="DH47" s="228">
        <v>37.549999999999997</v>
      </c>
      <c r="DI47" s="228">
        <v>-10.050000000000001</v>
      </c>
      <c r="DJ47" s="228">
        <v>-10.050000000000001</v>
      </c>
      <c r="DK47" s="228">
        <v>27.03</v>
      </c>
      <c r="DL47" s="228">
        <v>35.54</v>
      </c>
      <c r="DM47" s="228">
        <v>-8.51</v>
      </c>
      <c r="DN47" s="228">
        <v>-8.51</v>
      </c>
      <c r="DO47" s="228">
        <v>0.49</v>
      </c>
      <c r="DP47" s="228">
        <v>0.57999999999999996</v>
      </c>
      <c r="DQ47" s="228">
        <v>-0.09</v>
      </c>
      <c r="DR47" s="229">
        <v>-0.1552</v>
      </c>
      <c r="DS47" s="231">
        <v>4300</v>
      </c>
      <c r="DT47" s="231">
        <v>4000</v>
      </c>
      <c r="DU47" s="228">
        <v>0.49</v>
      </c>
      <c r="DV47" s="228">
        <v>0.31</v>
      </c>
      <c r="DW47" s="228">
        <v>0.18</v>
      </c>
      <c r="DX47" s="229">
        <v>0.5806</v>
      </c>
      <c r="DY47" s="229">
        <v>5.91E-2</v>
      </c>
      <c r="DZ47" s="230">
        <v>558425</v>
      </c>
      <c r="EA47" s="229">
        <v>6.0000000000000001E-3</v>
      </c>
      <c r="EB47" s="229">
        <v>5.91E-2</v>
      </c>
      <c r="EC47" s="228">
        <v>25.56</v>
      </c>
      <c r="ED47" s="229">
        <v>5.8999999999999999E-3</v>
      </c>
      <c r="EE47" s="230">
        <v>905859</v>
      </c>
      <c r="EF47" s="230">
        <v>789568</v>
      </c>
      <c r="EG47" s="229">
        <v>0.14729999999999999</v>
      </c>
      <c r="EH47" s="229">
        <v>0.25750000000000001</v>
      </c>
      <c r="EI47" s="231">
        <v>2051683.63</v>
      </c>
      <c r="EJ47" s="231">
        <v>950444.91</v>
      </c>
      <c r="EK47" s="231">
        <v>218296.1</v>
      </c>
      <c r="EL47" s="231">
        <v>10168</v>
      </c>
      <c r="EM47" s="231">
        <v>3220424.64</v>
      </c>
      <c r="EN47" s="231">
        <v>1545105.16</v>
      </c>
      <c r="EO47" s="231">
        <v>1675319.48</v>
      </c>
      <c r="EP47" s="229">
        <v>1.0843</v>
      </c>
      <c r="EQ47" s="231">
        <v>371196</v>
      </c>
      <c r="ER47" s="231">
        <v>170275</v>
      </c>
      <c r="ES47" s="231">
        <v>440782</v>
      </c>
      <c r="ET47" s="231">
        <v>45680146</v>
      </c>
      <c r="EU47" s="231">
        <v>982253</v>
      </c>
      <c r="EV47" s="231">
        <v>840843</v>
      </c>
      <c r="EW47" s="231">
        <v>141410</v>
      </c>
      <c r="EX47" s="229">
        <v>0.16819999999999999</v>
      </c>
      <c r="EY47" s="229">
        <v>0.50519999999999998</v>
      </c>
    </row>
    <row r="48" spans="1:155" ht="17.25" thickBot="1" x14ac:dyDescent="0.3">
      <c r="A48" s="226">
        <v>46064</v>
      </c>
      <c r="B48" s="227" t="s">
        <v>162</v>
      </c>
      <c r="C48" s="227" t="s">
        <v>688</v>
      </c>
      <c r="D48" s="228">
        <v>385.75</v>
      </c>
      <c r="E48" s="228">
        <v>380.55</v>
      </c>
      <c r="F48" s="228">
        <v>5.2</v>
      </c>
      <c r="G48" s="229">
        <v>1.37E-2</v>
      </c>
      <c r="H48" s="228">
        <v>384.7</v>
      </c>
      <c r="I48" s="228">
        <v>379.35</v>
      </c>
      <c r="J48" s="228">
        <v>5.35</v>
      </c>
      <c r="K48" s="229">
        <v>1.41E-2</v>
      </c>
      <c r="L48" s="228">
        <v>385.75</v>
      </c>
      <c r="M48" s="228">
        <v>380.55</v>
      </c>
      <c r="N48" s="228">
        <v>5.2</v>
      </c>
      <c r="O48" s="229">
        <v>1.37E-2</v>
      </c>
      <c r="P48" s="228">
        <v>387.25</v>
      </c>
      <c r="Q48" s="228">
        <v>382</v>
      </c>
      <c r="R48" s="228">
        <v>5.25</v>
      </c>
      <c r="S48" s="229">
        <v>1.37E-2</v>
      </c>
      <c r="T48" s="228">
        <v>389.25</v>
      </c>
      <c r="U48" s="228">
        <v>382.9</v>
      </c>
      <c r="V48" s="228">
        <v>6.35</v>
      </c>
      <c r="W48" s="229">
        <v>1.66E-2</v>
      </c>
      <c r="X48" s="228">
        <v>1.05</v>
      </c>
      <c r="Y48" s="228">
        <v>1.2</v>
      </c>
      <c r="Z48" s="228">
        <v>-0.15</v>
      </c>
      <c r="AA48" s="229">
        <v>2.7000000000000001E-3</v>
      </c>
      <c r="AB48" s="228">
        <v>1.05</v>
      </c>
      <c r="AC48" s="228">
        <v>1.2</v>
      </c>
      <c r="AD48" s="228">
        <v>-0.15</v>
      </c>
      <c r="AE48" s="229">
        <v>2.7000000000000001E-3</v>
      </c>
      <c r="AF48" s="228">
        <v>2.5499999999999998</v>
      </c>
      <c r="AG48" s="228">
        <v>2.65</v>
      </c>
      <c r="AH48" s="228">
        <v>-0.1</v>
      </c>
      <c r="AI48" s="229">
        <v>6.6E-3</v>
      </c>
      <c r="AJ48" s="228">
        <v>4.55</v>
      </c>
      <c r="AK48" s="228">
        <v>3.55</v>
      </c>
      <c r="AL48" s="228">
        <v>1</v>
      </c>
      <c r="AM48" s="229">
        <v>1.18E-2</v>
      </c>
      <c r="AN48" s="228">
        <v>386.14</v>
      </c>
      <c r="AO48" s="228">
        <v>387.43</v>
      </c>
      <c r="AP48" s="228">
        <v>0</v>
      </c>
      <c r="AQ48" s="230">
        <v>20512</v>
      </c>
      <c r="AR48" s="230">
        <v>14442</v>
      </c>
      <c r="AS48" s="230">
        <v>6070</v>
      </c>
      <c r="AT48" s="229">
        <v>0.42030000000000001</v>
      </c>
      <c r="AU48" s="230">
        <v>16411</v>
      </c>
      <c r="AV48" s="230">
        <v>12083</v>
      </c>
      <c r="AW48" s="230">
        <v>4328</v>
      </c>
      <c r="AX48" s="229">
        <v>0.35820000000000002</v>
      </c>
      <c r="AY48" s="230">
        <v>3755</v>
      </c>
      <c r="AZ48" s="230">
        <v>2020</v>
      </c>
      <c r="BA48" s="230">
        <v>1735</v>
      </c>
      <c r="BB48" s="229">
        <v>0.8589</v>
      </c>
      <c r="BC48" s="228">
        <v>346</v>
      </c>
      <c r="BD48" s="228">
        <v>339</v>
      </c>
      <c r="BE48" s="228">
        <v>7</v>
      </c>
      <c r="BF48" s="229">
        <v>2.06E-2</v>
      </c>
      <c r="BG48" s="230">
        <v>95550</v>
      </c>
      <c r="BH48" s="230">
        <v>54493</v>
      </c>
      <c r="BI48" s="230">
        <v>41057</v>
      </c>
      <c r="BJ48" s="229">
        <v>0.75339999999999996</v>
      </c>
      <c r="BK48" s="230">
        <v>47415</v>
      </c>
      <c r="BL48" s="230">
        <v>28910</v>
      </c>
      <c r="BM48" s="230">
        <v>18505</v>
      </c>
      <c r="BN48" s="229">
        <v>0.6401</v>
      </c>
      <c r="BO48" s="230">
        <v>163477</v>
      </c>
      <c r="BP48" s="230">
        <v>97845</v>
      </c>
      <c r="BQ48" s="230">
        <v>65632</v>
      </c>
      <c r="BR48" s="229">
        <v>0.67079999999999995</v>
      </c>
      <c r="BS48" s="230">
        <v>10933658</v>
      </c>
      <c r="BT48" s="230">
        <v>8921719</v>
      </c>
      <c r="BU48" s="230">
        <v>2011939</v>
      </c>
      <c r="BV48" s="229">
        <v>0.22550000000000001</v>
      </c>
      <c r="BW48" s="230">
        <v>84694400</v>
      </c>
      <c r="BX48" s="230">
        <v>85645600</v>
      </c>
      <c r="BY48" s="230">
        <v>-951200</v>
      </c>
      <c r="BZ48" s="229">
        <v>-1.11E-2</v>
      </c>
      <c r="CA48" s="230">
        <v>76588800</v>
      </c>
      <c r="CB48" s="230">
        <v>78380000</v>
      </c>
      <c r="CC48" s="230">
        <v>-1791200</v>
      </c>
      <c r="CD48" s="229">
        <v>-2.29E-2</v>
      </c>
      <c r="CE48" s="230">
        <v>7327200</v>
      </c>
      <c r="CF48" s="230">
        <v>6506400</v>
      </c>
      <c r="CG48" s="230">
        <v>820800</v>
      </c>
      <c r="CH48" s="229">
        <v>0.12620000000000001</v>
      </c>
      <c r="CI48" s="230">
        <v>778400</v>
      </c>
      <c r="CJ48" s="230">
        <v>759200</v>
      </c>
      <c r="CK48" s="230">
        <v>19200</v>
      </c>
      <c r="CL48" s="229">
        <v>2.53E-2</v>
      </c>
      <c r="CM48" s="230">
        <v>36900800</v>
      </c>
      <c r="CN48" s="230">
        <v>36744000</v>
      </c>
      <c r="CO48" s="230">
        <v>156800</v>
      </c>
      <c r="CP48" s="229">
        <v>4.3E-3</v>
      </c>
      <c r="CQ48" s="230">
        <v>31059200</v>
      </c>
      <c r="CR48" s="230">
        <v>31816000</v>
      </c>
      <c r="CS48" s="230">
        <v>-756800</v>
      </c>
      <c r="CT48" s="229">
        <v>-2.3800000000000002E-2</v>
      </c>
      <c r="CU48" s="230">
        <v>152654400</v>
      </c>
      <c r="CV48" s="230">
        <v>154205600</v>
      </c>
      <c r="CW48" s="230">
        <v>-1551200</v>
      </c>
      <c r="CX48" s="229">
        <v>-1.01E-2</v>
      </c>
      <c r="CY48" s="228">
        <v>29.91</v>
      </c>
      <c r="CZ48" s="228">
        <v>29.28</v>
      </c>
      <c r="DA48" s="228">
        <v>0.63</v>
      </c>
      <c r="DB48" s="228">
        <v>0.63</v>
      </c>
      <c r="DC48" s="228">
        <v>33.83</v>
      </c>
      <c r="DD48" s="228">
        <v>33.869999999999997</v>
      </c>
      <c r="DE48" s="228">
        <v>-3.92</v>
      </c>
      <c r="DF48" s="228">
        <v>-0.04</v>
      </c>
      <c r="DG48" s="228">
        <v>28.45</v>
      </c>
      <c r="DH48" s="228">
        <v>28.42</v>
      </c>
      <c r="DI48" s="228">
        <v>0.03</v>
      </c>
      <c r="DJ48" s="228">
        <v>0.03</v>
      </c>
      <c r="DK48" s="228">
        <v>32.86</v>
      </c>
      <c r="DL48" s="228">
        <v>30.92</v>
      </c>
      <c r="DM48" s="228">
        <v>1.94</v>
      </c>
      <c r="DN48" s="228">
        <v>1.94</v>
      </c>
      <c r="DO48" s="228">
        <v>0.84</v>
      </c>
      <c r="DP48" s="228">
        <v>0.87</v>
      </c>
      <c r="DQ48" s="228">
        <v>-0.03</v>
      </c>
      <c r="DR48" s="229">
        <v>-3.4500000000000003E-2</v>
      </c>
      <c r="DS48" s="228">
        <v>400</v>
      </c>
      <c r="DT48" s="228">
        <v>360</v>
      </c>
      <c r="DU48" s="228">
        <v>0.5</v>
      </c>
      <c r="DV48" s="228">
        <v>0.53</v>
      </c>
      <c r="DW48" s="228">
        <v>-0.03</v>
      </c>
      <c r="DX48" s="229">
        <v>-5.6599999999999998E-2</v>
      </c>
      <c r="DY48" s="229">
        <v>9.5699999999999993E-2</v>
      </c>
      <c r="DZ48" s="230">
        <v>7265600</v>
      </c>
      <c r="EA48" s="229">
        <v>3.8999999999999998E-3</v>
      </c>
      <c r="EB48" s="229">
        <v>9.5699999999999993E-2</v>
      </c>
      <c r="EC48" s="228">
        <v>1.29</v>
      </c>
      <c r="ED48" s="229">
        <v>3.3E-3</v>
      </c>
      <c r="EE48" s="230">
        <v>4596283</v>
      </c>
      <c r="EF48" s="230">
        <v>4726337</v>
      </c>
      <c r="EG48" s="229">
        <v>-2.75E-2</v>
      </c>
      <c r="EH48" s="229">
        <v>0.4204</v>
      </c>
      <c r="EI48" s="231">
        <v>306764.65999999997</v>
      </c>
      <c r="EJ48" s="231">
        <v>140025.38</v>
      </c>
      <c r="EK48" s="231">
        <v>63411.95</v>
      </c>
      <c r="EL48" s="231">
        <v>23173</v>
      </c>
      <c r="EM48" s="231">
        <v>510201.99</v>
      </c>
      <c r="EN48" s="231">
        <v>302663.24</v>
      </c>
      <c r="EO48" s="231">
        <v>207538.75</v>
      </c>
      <c r="EP48" s="229">
        <v>0.68569999999999998</v>
      </c>
      <c r="EQ48" s="231">
        <v>144375</v>
      </c>
      <c r="ER48" s="231">
        <v>110309</v>
      </c>
      <c r="ES48" s="231">
        <v>326846</v>
      </c>
      <c r="ET48" s="231">
        <v>317235726</v>
      </c>
      <c r="EU48" s="231">
        <v>581530</v>
      </c>
      <c r="EV48" s="231">
        <v>581632</v>
      </c>
      <c r="EW48" s="228">
        <v>-102</v>
      </c>
      <c r="EX48" s="229">
        <v>-2.0000000000000001E-4</v>
      </c>
      <c r="EY48" s="229">
        <v>0.48120000000000002</v>
      </c>
    </row>
    <row r="49" spans="1:155" ht="17.25" thickBot="1" x14ac:dyDescent="0.3">
      <c r="A49" s="226">
        <v>46064</v>
      </c>
      <c r="B49" s="227" t="s">
        <v>197</v>
      </c>
      <c r="C49" s="227" t="s">
        <v>482</v>
      </c>
      <c r="D49" s="231">
        <v>4224</v>
      </c>
      <c r="E49" s="231">
        <v>4186.3</v>
      </c>
      <c r="F49" s="228">
        <v>37.700000000000003</v>
      </c>
      <c r="G49" s="229">
        <v>8.9999999999999993E-3</v>
      </c>
      <c r="H49" s="231">
        <v>4218.8999999999996</v>
      </c>
      <c r="I49" s="231">
        <v>4184.3999999999996</v>
      </c>
      <c r="J49" s="228">
        <v>34.5</v>
      </c>
      <c r="K49" s="229">
        <v>8.2000000000000007E-3</v>
      </c>
      <c r="L49" s="231">
        <v>4224</v>
      </c>
      <c r="M49" s="231">
        <v>4186.3</v>
      </c>
      <c r="N49" s="228">
        <v>37.700000000000003</v>
      </c>
      <c r="O49" s="229">
        <v>8.9999999999999993E-3</v>
      </c>
      <c r="P49" s="231">
        <v>4249.3999999999996</v>
      </c>
      <c r="Q49" s="231">
        <v>4206.2</v>
      </c>
      <c r="R49" s="228">
        <v>43.2</v>
      </c>
      <c r="S49" s="229">
        <v>1.03E-2</v>
      </c>
      <c r="T49" s="231">
        <v>4276.2</v>
      </c>
      <c r="U49" s="231">
        <v>4234.2</v>
      </c>
      <c r="V49" s="228">
        <v>42</v>
      </c>
      <c r="W49" s="229">
        <v>9.9000000000000008E-3</v>
      </c>
      <c r="X49" s="228">
        <v>5.0999999999999996</v>
      </c>
      <c r="Y49" s="228">
        <v>1.9</v>
      </c>
      <c r="Z49" s="228">
        <v>3.2</v>
      </c>
      <c r="AA49" s="229">
        <v>1.1999999999999999E-3</v>
      </c>
      <c r="AB49" s="228">
        <v>5.0999999999999996</v>
      </c>
      <c r="AC49" s="228">
        <v>1.9</v>
      </c>
      <c r="AD49" s="228">
        <v>3.2</v>
      </c>
      <c r="AE49" s="229">
        <v>1.1999999999999999E-3</v>
      </c>
      <c r="AF49" s="228">
        <v>30.5</v>
      </c>
      <c r="AG49" s="228">
        <v>21.8</v>
      </c>
      <c r="AH49" s="228">
        <v>8.6999999999999993</v>
      </c>
      <c r="AI49" s="229">
        <v>7.1999999999999998E-3</v>
      </c>
      <c r="AJ49" s="228">
        <v>57.3</v>
      </c>
      <c r="AK49" s="228">
        <v>49.8</v>
      </c>
      <c r="AL49" s="228">
        <v>7.5</v>
      </c>
      <c r="AM49" s="229">
        <v>1.3599999999999999E-2</v>
      </c>
      <c r="AN49" s="231">
        <v>4192.5</v>
      </c>
      <c r="AO49" s="231">
        <v>4206.87</v>
      </c>
      <c r="AP49" s="228">
        <v>0</v>
      </c>
      <c r="AQ49" s="230">
        <v>7619</v>
      </c>
      <c r="AR49" s="230">
        <v>5590</v>
      </c>
      <c r="AS49" s="230">
        <v>2029</v>
      </c>
      <c r="AT49" s="229">
        <v>0.36299999999999999</v>
      </c>
      <c r="AU49" s="230">
        <v>6849</v>
      </c>
      <c r="AV49" s="230">
        <v>5169</v>
      </c>
      <c r="AW49" s="230">
        <v>1680</v>
      </c>
      <c r="AX49" s="229">
        <v>0.32500000000000001</v>
      </c>
      <c r="AY49" s="228">
        <v>607</v>
      </c>
      <c r="AZ49" s="228">
        <v>353</v>
      </c>
      <c r="BA49" s="228">
        <v>254</v>
      </c>
      <c r="BB49" s="229">
        <v>0.71950000000000003</v>
      </c>
      <c r="BC49" s="228">
        <v>163</v>
      </c>
      <c r="BD49" s="228">
        <v>68</v>
      </c>
      <c r="BE49" s="228">
        <v>95</v>
      </c>
      <c r="BF49" s="229">
        <v>1.3971</v>
      </c>
      <c r="BG49" s="230">
        <v>49150</v>
      </c>
      <c r="BH49" s="230">
        <v>29499</v>
      </c>
      <c r="BI49" s="230">
        <v>19651</v>
      </c>
      <c r="BJ49" s="229">
        <v>0.66620000000000001</v>
      </c>
      <c r="BK49" s="230">
        <v>24490</v>
      </c>
      <c r="BL49" s="230">
        <v>17400</v>
      </c>
      <c r="BM49" s="230">
        <v>7090</v>
      </c>
      <c r="BN49" s="229">
        <v>0.40749999999999997</v>
      </c>
      <c r="BO49" s="230">
        <v>81259</v>
      </c>
      <c r="BP49" s="230">
        <v>52489</v>
      </c>
      <c r="BQ49" s="230">
        <v>28770</v>
      </c>
      <c r="BR49" s="229">
        <v>0.54810000000000003</v>
      </c>
      <c r="BS49" s="230">
        <v>604835</v>
      </c>
      <c r="BT49" s="230">
        <v>682041</v>
      </c>
      <c r="BU49" s="230">
        <v>-77206</v>
      </c>
      <c r="BV49" s="229">
        <v>-0.1132</v>
      </c>
      <c r="BW49" s="230">
        <v>7346300</v>
      </c>
      <c r="BX49" s="230">
        <v>7337000</v>
      </c>
      <c r="BY49" s="230">
        <v>9300</v>
      </c>
      <c r="BZ49" s="229">
        <v>1.2999999999999999E-3</v>
      </c>
      <c r="CA49" s="230">
        <v>6912500</v>
      </c>
      <c r="CB49" s="230">
        <v>6903300</v>
      </c>
      <c r="CC49" s="230">
        <v>9200</v>
      </c>
      <c r="CD49" s="229">
        <v>1.2999999999999999E-3</v>
      </c>
      <c r="CE49" s="230">
        <v>377400</v>
      </c>
      <c r="CF49" s="230">
        <v>380700</v>
      </c>
      <c r="CG49" s="230">
        <v>-3300</v>
      </c>
      <c r="CH49" s="229">
        <v>-8.6999999999999994E-3</v>
      </c>
      <c r="CI49" s="230">
        <v>56400</v>
      </c>
      <c r="CJ49" s="230">
        <v>53000</v>
      </c>
      <c r="CK49" s="230">
        <v>3400</v>
      </c>
      <c r="CL49" s="229">
        <v>6.4199999999999993E-2</v>
      </c>
      <c r="CM49" s="230">
        <v>4098500</v>
      </c>
      <c r="CN49" s="230">
        <v>4306200</v>
      </c>
      <c r="CO49" s="230">
        <v>-207700</v>
      </c>
      <c r="CP49" s="229">
        <v>-4.82E-2</v>
      </c>
      <c r="CQ49" s="230">
        <v>3023100</v>
      </c>
      <c r="CR49" s="230">
        <v>2942400</v>
      </c>
      <c r="CS49" s="230">
        <v>80700</v>
      </c>
      <c r="CT49" s="229">
        <v>2.7400000000000001E-2</v>
      </c>
      <c r="CU49" s="230">
        <v>14467900</v>
      </c>
      <c r="CV49" s="230">
        <v>14585600</v>
      </c>
      <c r="CW49" s="230">
        <v>-117700</v>
      </c>
      <c r="CX49" s="229">
        <v>-8.0999999999999996E-3</v>
      </c>
      <c r="CY49" s="228">
        <v>30.35</v>
      </c>
      <c r="CZ49" s="228">
        <v>30.02</v>
      </c>
      <c r="DA49" s="228">
        <v>0.33</v>
      </c>
      <c r="DB49" s="228">
        <v>0.33</v>
      </c>
      <c r="DC49" s="228">
        <v>42.64</v>
      </c>
      <c r="DD49" s="228">
        <v>42.73</v>
      </c>
      <c r="DE49" s="228">
        <v>-12.29</v>
      </c>
      <c r="DF49" s="228">
        <v>-0.09</v>
      </c>
      <c r="DG49" s="228">
        <v>30.02</v>
      </c>
      <c r="DH49" s="228">
        <v>29.58</v>
      </c>
      <c r="DI49" s="228">
        <v>0.44</v>
      </c>
      <c r="DJ49" s="228">
        <v>0.44</v>
      </c>
      <c r="DK49" s="228">
        <v>31.02</v>
      </c>
      <c r="DL49" s="228">
        <v>30.76</v>
      </c>
      <c r="DM49" s="228">
        <v>0.26</v>
      </c>
      <c r="DN49" s="228">
        <v>0.26</v>
      </c>
      <c r="DO49" s="228">
        <v>0.74</v>
      </c>
      <c r="DP49" s="228">
        <v>0.68</v>
      </c>
      <c r="DQ49" s="228">
        <v>0.06</v>
      </c>
      <c r="DR49" s="229">
        <v>8.8200000000000001E-2</v>
      </c>
      <c r="DS49" s="231">
        <v>4500</v>
      </c>
      <c r="DT49" s="231">
        <v>4000</v>
      </c>
      <c r="DU49" s="228">
        <v>0.5</v>
      </c>
      <c r="DV49" s="228">
        <v>0.59</v>
      </c>
      <c r="DW49" s="228">
        <v>-0.09</v>
      </c>
      <c r="DX49" s="229">
        <v>-0.1525</v>
      </c>
      <c r="DY49" s="229">
        <v>5.91E-2</v>
      </c>
      <c r="DZ49" s="230">
        <v>433700</v>
      </c>
      <c r="EA49" s="229">
        <v>6.0000000000000001E-3</v>
      </c>
      <c r="EB49" s="229">
        <v>5.91E-2</v>
      </c>
      <c r="EC49" s="228">
        <v>14.37</v>
      </c>
      <c r="ED49" s="229">
        <v>3.3999999999999998E-3</v>
      </c>
      <c r="EE49" s="230">
        <v>298698</v>
      </c>
      <c r="EF49" s="230">
        <v>382357</v>
      </c>
      <c r="EG49" s="229">
        <v>-0.21879999999999999</v>
      </c>
      <c r="EH49" s="229">
        <v>0.49390000000000001</v>
      </c>
      <c r="EI49" s="231">
        <v>215887.03</v>
      </c>
      <c r="EJ49" s="231">
        <v>99800.17</v>
      </c>
      <c r="EK49" s="231">
        <v>31957.61</v>
      </c>
      <c r="EL49" s="231">
        <v>21945</v>
      </c>
      <c r="EM49" s="231">
        <v>347644.81</v>
      </c>
      <c r="EN49" s="231">
        <v>222907.58</v>
      </c>
      <c r="EO49" s="231">
        <v>124737.23</v>
      </c>
      <c r="EP49" s="229">
        <v>0.55959999999999999</v>
      </c>
      <c r="EQ49" s="231">
        <v>176087</v>
      </c>
      <c r="ER49" s="231">
        <v>118044</v>
      </c>
      <c r="ES49" s="231">
        <v>310433</v>
      </c>
      <c r="ET49" s="231">
        <v>33590487</v>
      </c>
      <c r="EU49" s="231">
        <v>604564</v>
      </c>
      <c r="EV49" s="231">
        <v>607204</v>
      </c>
      <c r="EW49" s="231">
        <v>-2640</v>
      </c>
      <c r="EX49" s="229">
        <v>-4.3E-3</v>
      </c>
      <c r="EY49" s="229">
        <v>0.43070000000000003</v>
      </c>
    </row>
    <row r="50" spans="1:155" ht="17.25" thickBot="1" x14ac:dyDescent="0.3">
      <c r="A50" s="226">
        <v>46064</v>
      </c>
      <c r="B50" s="227" t="s">
        <v>157</v>
      </c>
      <c r="C50" s="227" t="s">
        <v>302</v>
      </c>
      <c r="D50" s="231">
        <v>12976</v>
      </c>
      <c r="E50" s="231">
        <v>13029</v>
      </c>
      <c r="F50" s="228">
        <v>-53</v>
      </c>
      <c r="G50" s="229">
        <v>-4.1000000000000003E-3</v>
      </c>
      <c r="H50" s="231">
        <v>12969</v>
      </c>
      <c r="I50" s="231">
        <v>13023</v>
      </c>
      <c r="J50" s="228">
        <v>-54</v>
      </c>
      <c r="K50" s="229">
        <v>-4.1000000000000003E-3</v>
      </c>
      <c r="L50" s="231">
        <v>12976</v>
      </c>
      <c r="M50" s="231">
        <v>13029</v>
      </c>
      <c r="N50" s="228">
        <v>-53</v>
      </c>
      <c r="O50" s="229">
        <v>-4.1000000000000003E-3</v>
      </c>
      <c r="P50" s="231">
        <v>13066</v>
      </c>
      <c r="Q50" s="231">
        <v>13110</v>
      </c>
      <c r="R50" s="228">
        <v>-44</v>
      </c>
      <c r="S50" s="229">
        <v>-3.3999999999999998E-3</v>
      </c>
      <c r="T50" s="231">
        <v>13099</v>
      </c>
      <c r="U50" s="231">
        <v>13176</v>
      </c>
      <c r="V50" s="228">
        <v>-77</v>
      </c>
      <c r="W50" s="229">
        <v>-5.7999999999999996E-3</v>
      </c>
      <c r="X50" s="228">
        <v>7</v>
      </c>
      <c r="Y50" s="228">
        <v>6</v>
      </c>
      <c r="Z50" s="228">
        <v>1</v>
      </c>
      <c r="AA50" s="229">
        <v>5.0000000000000001E-4</v>
      </c>
      <c r="AB50" s="228">
        <v>7</v>
      </c>
      <c r="AC50" s="228">
        <v>6</v>
      </c>
      <c r="AD50" s="228">
        <v>1</v>
      </c>
      <c r="AE50" s="229">
        <v>5.0000000000000001E-4</v>
      </c>
      <c r="AF50" s="228">
        <v>97</v>
      </c>
      <c r="AG50" s="228">
        <v>87</v>
      </c>
      <c r="AH50" s="228">
        <v>10</v>
      </c>
      <c r="AI50" s="229">
        <v>7.4999999999999997E-3</v>
      </c>
      <c r="AJ50" s="228">
        <v>130</v>
      </c>
      <c r="AK50" s="228">
        <v>153</v>
      </c>
      <c r="AL50" s="228">
        <v>-23</v>
      </c>
      <c r="AM50" s="229">
        <v>0.01</v>
      </c>
      <c r="AN50" s="231">
        <v>12965.47</v>
      </c>
      <c r="AO50" s="231">
        <v>13054.23</v>
      </c>
      <c r="AP50" s="228">
        <v>0</v>
      </c>
      <c r="AQ50" s="230">
        <v>3169</v>
      </c>
      <c r="AR50" s="230">
        <v>3746</v>
      </c>
      <c r="AS50" s="228">
        <v>-577</v>
      </c>
      <c r="AT50" s="229">
        <v>-0.154</v>
      </c>
      <c r="AU50" s="230">
        <v>3063</v>
      </c>
      <c r="AV50" s="230">
        <v>3589</v>
      </c>
      <c r="AW50" s="228">
        <v>-526</v>
      </c>
      <c r="AX50" s="229">
        <v>-0.14660000000000001</v>
      </c>
      <c r="AY50" s="228">
        <v>97</v>
      </c>
      <c r="AZ50" s="228">
        <v>143</v>
      </c>
      <c r="BA50" s="228">
        <v>-46</v>
      </c>
      <c r="BB50" s="229">
        <v>-0.32169999999999999</v>
      </c>
      <c r="BC50" s="228">
        <v>9</v>
      </c>
      <c r="BD50" s="228">
        <v>14</v>
      </c>
      <c r="BE50" s="228">
        <v>-5</v>
      </c>
      <c r="BF50" s="229">
        <v>-0.35709999999999997</v>
      </c>
      <c r="BG50" s="230">
        <v>15704</v>
      </c>
      <c r="BH50" s="230">
        <v>25803</v>
      </c>
      <c r="BI50" s="230">
        <v>-10099</v>
      </c>
      <c r="BJ50" s="229">
        <v>-0.39140000000000003</v>
      </c>
      <c r="BK50" s="230">
        <v>9450</v>
      </c>
      <c r="BL50" s="230">
        <v>14730</v>
      </c>
      <c r="BM50" s="230">
        <v>-5280</v>
      </c>
      <c r="BN50" s="229">
        <v>-0.35849999999999999</v>
      </c>
      <c r="BO50" s="230">
        <v>28323</v>
      </c>
      <c r="BP50" s="230">
        <v>44279</v>
      </c>
      <c r="BQ50" s="230">
        <v>-15956</v>
      </c>
      <c r="BR50" s="229">
        <v>-0.3604</v>
      </c>
      <c r="BS50" s="230">
        <v>98820</v>
      </c>
      <c r="BT50" s="230">
        <v>178471</v>
      </c>
      <c r="BU50" s="230">
        <v>-79651</v>
      </c>
      <c r="BV50" s="229">
        <v>-0.44629999999999997</v>
      </c>
      <c r="BW50" s="230">
        <v>2361100</v>
      </c>
      <c r="BX50" s="230">
        <v>2394700</v>
      </c>
      <c r="BY50" s="230">
        <v>-33600</v>
      </c>
      <c r="BZ50" s="229">
        <v>-1.4E-2</v>
      </c>
      <c r="CA50" s="230">
        <v>2179850</v>
      </c>
      <c r="CB50" s="230">
        <v>2214900</v>
      </c>
      <c r="CC50" s="230">
        <v>-35050</v>
      </c>
      <c r="CD50" s="229">
        <v>-1.5800000000000002E-2</v>
      </c>
      <c r="CE50" s="230">
        <v>176500</v>
      </c>
      <c r="CF50" s="230">
        <v>175050</v>
      </c>
      <c r="CG50" s="230">
        <v>1450</v>
      </c>
      <c r="CH50" s="229">
        <v>8.3000000000000001E-3</v>
      </c>
      <c r="CI50" s="230">
        <v>4750</v>
      </c>
      <c r="CJ50" s="230">
        <v>4750</v>
      </c>
      <c r="CK50" s="228">
        <v>0</v>
      </c>
      <c r="CL50" s="229">
        <v>0</v>
      </c>
      <c r="CM50" s="230">
        <v>765500</v>
      </c>
      <c r="CN50" s="230">
        <v>734500</v>
      </c>
      <c r="CO50" s="230">
        <v>31000</v>
      </c>
      <c r="CP50" s="229">
        <v>4.2200000000000001E-2</v>
      </c>
      <c r="CQ50" s="230">
        <v>508300</v>
      </c>
      <c r="CR50" s="230">
        <v>522450</v>
      </c>
      <c r="CS50" s="230">
        <v>-14150</v>
      </c>
      <c r="CT50" s="229">
        <v>-2.7099999999999999E-2</v>
      </c>
      <c r="CU50" s="230">
        <v>3634900</v>
      </c>
      <c r="CV50" s="230">
        <v>3651650</v>
      </c>
      <c r="CW50" s="230">
        <v>-16750</v>
      </c>
      <c r="CX50" s="229">
        <v>-4.5999999999999999E-3</v>
      </c>
      <c r="CY50" s="228">
        <v>19.82</v>
      </c>
      <c r="CZ50" s="228">
        <v>20.440000000000001</v>
      </c>
      <c r="DA50" s="228">
        <v>-0.62</v>
      </c>
      <c r="DB50" s="228">
        <v>-0.62</v>
      </c>
      <c r="DC50" s="228">
        <v>23.88</v>
      </c>
      <c r="DD50" s="228">
        <v>23.93</v>
      </c>
      <c r="DE50" s="228">
        <v>-4.0599999999999996</v>
      </c>
      <c r="DF50" s="228">
        <v>-0.05</v>
      </c>
      <c r="DG50" s="228">
        <v>18.75</v>
      </c>
      <c r="DH50" s="228">
        <v>19.399999999999999</v>
      </c>
      <c r="DI50" s="228">
        <v>-0.65</v>
      </c>
      <c r="DJ50" s="228">
        <v>-0.65</v>
      </c>
      <c r="DK50" s="228">
        <v>21.6</v>
      </c>
      <c r="DL50" s="228">
        <v>22.27</v>
      </c>
      <c r="DM50" s="228">
        <v>-0.67</v>
      </c>
      <c r="DN50" s="228">
        <v>-0.67</v>
      </c>
      <c r="DO50" s="228">
        <v>0.66</v>
      </c>
      <c r="DP50" s="228">
        <v>0.71</v>
      </c>
      <c r="DQ50" s="228">
        <v>-0.05</v>
      </c>
      <c r="DR50" s="229">
        <v>-7.0400000000000004E-2</v>
      </c>
      <c r="DS50" s="231">
        <v>13000</v>
      </c>
      <c r="DT50" s="231">
        <v>12000</v>
      </c>
      <c r="DU50" s="228">
        <v>0.6</v>
      </c>
      <c r="DV50" s="228">
        <v>0.56999999999999995</v>
      </c>
      <c r="DW50" s="228">
        <v>0.03</v>
      </c>
      <c r="DX50" s="229">
        <v>5.2600000000000001E-2</v>
      </c>
      <c r="DY50" s="229">
        <v>7.6799999999999993E-2</v>
      </c>
      <c r="DZ50" s="230">
        <v>179800</v>
      </c>
      <c r="EA50" s="229">
        <v>6.8999999999999999E-3</v>
      </c>
      <c r="EB50" s="229">
        <v>7.6799999999999993E-2</v>
      </c>
      <c r="EC50" s="228">
        <v>88.76</v>
      </c>
      <c r="ED50" s="229">
        <v>6.7999999999999996E-3</v>
      </c>
      <c r="EE50" s="230">
        <v>50800</v>
      </c>
      <c r="EF50" s="230">
        <v>102558</v>
      </c>
      <c r="EG50" s="229">
        <v>-0.50470000000000004</v>
      </c>
      <c r="EH50" s="229">
        <v>0.5141</v>
      </c>
      <c r="EI50" s="231">
        <v>104926.13</v>
      </c>
      <c r="EJ50" s="231">
        <v>59686.86</v>
      </c>
      <c r="EK50" s="231">
        <v>20548.759999999998</v>
      </c>
      <c r="EL50" s="231">
        <v>3956</v>
      </c>
      <c r="EM50" s="231">
        <v>185161.75</v>
      </c>
      <c r="EN50" s="231">
        <v>291242.96999999997</v>
      </c>
      <c r="EO50" s="231">
        <v>-106081.22</v>
      </c>
      <c r="EP50" s="229">
        <v>-0.36420000000000002</v>
      </c>
      <c r="EQ50" s="231">
        <v>101758</v>
      </c>
      <c r="ER50" s="231">
        <v>61895</v>
      </c>
      <c r="ES50" s="231">
        <v>306541</v>
      </c>
      <c r="ET50" s="231">
        <v>11955674</v>
      </c>
      <c r="EU50" s="231">
        <v>470194</v>
      </c>
      <c r="EV50" s="231">
        <v>473455</v>
      </c>
      <c r="EW50" s="231">
        <v>-3261</v>
      </c>
      <c r="EX50" s="229">
        <v>-6.8999999999999999E-3</v>
      </c>
      <c r="EY50" s="229">
        <v>0.30399999999999999</v>
      </c>
    </row>
    <row r="51" spans="1:155" ht="17.25" thickBot="1" x14ac:dyDescent="0.3">
      <c r="A51" s="226">
        <v>46064</v>
      </c>
      <c r="B51" s="227" t="s">
        <v>221</v>
      </c>
      <c r="C51" s="227" t="s">
        <v>306</v>
      </c>
      <c r="D51" s="228">
        <v>229.9</v>
      </c>
      <c r="E51" s="228">
        <v>231.5</v>
      </c>
      <c r="F51" s="228">
        <v>-1.6</v>
      </c>
      <c r="G51" s="229">
        <v>-6.8999999999999999E-3</v>
      </c>
      <c r="H51" s="228">
        <v>229.81</v>
      </c>
      <c r="I51" s="228">
        <v>231.47</v>
      </c>
      <c r="J51" s="228">
        <v>-1.66</v>
      </c>
      <c r="K51" s="229">
        <v>-7.1999999999999998E-3</v>
      </c>
      <c r="L51" s="228">
        <v>229.9</v>
      </c>
      <c r="M51" s="228">
        <v>231.5</v>
      </c>
      <c r="N51" s="228">
        <v>-1.6</v>
      </c>
      <c r="O51" s="229">
        <v>-6.8999999999999999E-3</v>
      </c>
      <c r="P51" s="228">
        <v>229.9</v>
      </c>
      <c r="Q51" s="228">
        <v>231.47</v>
      </c>
      <c r="R51" s="228">
        <v>-1.57</v>
      </c>
      <c r="S51" s="229">
        <v>-6.7999999999999996E-3</v>
      </c>
      <c r="T51" s="228">
        <v>230.06</v>
      </c>
      <c r="U51" s="228">
        <v>231.66</v>
      </c>
      <c r="V51" s="228">
        <v>-1.6</v>
      </c>
      <c r="W51" s="229">
        <v>-6.8999999999999999E-3</v>
      </c>
      <c r="X51" s="228">
        <v>0.09</v>
      </c>
      <c r="Y51" s="228">
        <v>0.03</v>
      </c>
      <c r="Z51" s="228">
        <v>0.06</v>
      </c>
      <c r="AA51" s="229">
        <v>4.0000000000000002E-4</v>
      </c>
      <c r="AB51" s="228">
        <v>0.09</v>
      </c>
      <c r="AC51" s="228">
        <v>0.03</v>
      </c>
      <c r="AD51" s="228">
        <v>0.06</v>
      </c>
      <c r="AE51" s="229">
        <v>4.0000000000000002E-4</v>
      </c>
      <c r="AF51" s="228">
        <v>0.09</v>
      </c>
      <c r="AG51" s="228">
        <v>0</v>
      </c>
      <c r="AH51" s="228">
        <v>0.09</v>
      </c>
      <c r="AI51" s="229">
        <v>4.0000000000000002E-4</v>
      </c>
      <c r="AJ51" s="228">
        <v>0.25</v>
      </c>
      <c r="AK51" s="228">
        <v>0.19</v>
      </c>
      <c r="AL51" s="228">
        <v>0.06</v>
      </c>
      <c r="AM51" s="229">
        <v>1.1000000000000001E-3</v>
      </c>
      <c r="AN51" s="228">
        <v>230.84</v>
      </c>
      <c r="AO51" s="228">
        <v>230.67</v>
      </c>
      <c r="AP51" s="228">
        <v>0</v>
      </c>
      <c r="AQ51" s="230">
        <v>6416</v>
      </c>
      <c r="AR51" s="230">
        <v>10976</v>
      </c>
      <c r="AS51" s="230">
        <v>-4560</v>
      </c>
      <c r="AT51" s="229">
        <v>-0.41549999999999998</v>
      </c>
      <c r="AU51" s="230">
        <v>4751</v>
      </c>
      <c r="AV51" s="230">
        <v>7897</v>
      </c>
      <c r="AW51" s="230">
        <v>-3146</v>
      </c>
      <c r="AX51" s="229">
        <v>-0.39839999999999998</v>
      </c>
      <c r="AY51" s="230">
        <v>1512</v>
      </c>
      <c r="AZ51" s="230">
        <v>2836</v>
      </c>
      <c r="BA51" s="230">
        <v>-1324</v>
      </c>
      <c r="BB51" s="229">
        <v>-0.46689999999999998</v>
      </c>
      <c r="BC51" s="228">
        <v>153</v>
      </c>
      <c r="BD51" s="228">
        <v>243</v>
      </c>
      <c r="BE51" s="228">
        <v>-90</v>
      </c>
      <c r="BF51" s="229">
        <v>-0.37040000000000001</v>
      </c>
      <c r="BG51" s="230">
        <v>15954</v>
      </c>
      <c r="BH51" s="230">
        <v>24809</v>
      </c>
      <c r="BI51" s="230">
        <v>-8855</v>
      </c>
      <c r="BJ51" s="229">
        <v>-0.3569</v>
      </c>
      <c r="BK51" s="230">
        <v>9634</v>
      </c>
      <c r="BL51" s="230">
        <v>11681</v>
      </c>
      <c r="BM51" s="230">
        <v>-2047</v>
      </c>
      <c r="BN51" s="229">
        <v>-0.17519999999999999</v>
      </c>
      <c r="BO51" s="230">
        <v>32004</v>
      </c>
      <c r="BP51" s="230">
        <v>47466</v>
      </c>
      <c r="BQ51" s="230">
        <v>-15462</v>
      </c>
      <c r="BR51" s="229">
        <v>-0.32569999999999999</v>
      </c>
      <c r="BS51" s="230">
        <v>8239093</v>
      </c>
      <c r="BT51" s="230">
        <v>13237295</v>
      </c>
      <c r="BU51" s="230">
        <v>-4998202</v>
      </c>
      <c r="BV51" s="229">
        <v>-0.37759999999999999</v>
      </c>
      <c r="BW51" s="230">
        <v>162900000</v>
      </c>
      <c r="BX51" s="230">
        <v>161595000</v>
      </c>
      <c r="BY51" s="230">
        <v>1305000</v>
      </c>
      <c r="BZ51" s="229">
        <v>8.0999999999999996E-3</v>
      </c>
      <c r="CA51" s="230">
        <v>125964000</v>
      </c>
      <c r="CB51" s="230">
        <v>127125000</v>
      </c>
      <c r="CC51" s="230">
        <v>-1161000</v>
      </c>
      <c r="CD51" s="229">
        <v>-9.1000000000000004E-3</v>
      </c>
      <c r="CE51" s="230">
        <v>33852000</v>
      </c>
      <c r="CF51" s="230">
        <v>31521000</v>
      </c>
      <c r="CG51" s="230">
        <v>2331000</v>
      </c>
      <c r="CH51" s="229">
        <v>7.3999999999999996E-2</v>
      </c>
      <c r="CI51" s="230">
        <v>3084000</v>
      </c>
      <c r="CJ51" s="230">
        <v>2949000</v>
      </c>
      <c r="CK51" s="230">
        <v>135000</v>
      </c>
      <c r="CL51" s="229">
        <v>4.58E-2</v>
      </c>
      <c r="CM51" s="230">
        <v>98784000</v>
      </c>
      <c r="CN51" s="230">
        <v>97740000</v>
      </c>
      <c r="CO51" s="230">
        <v>1044000</v>
      </c>
      <c r="CP51" s="229">
        <v>1.0699999999999999E-2</v>
      </c>
      <c r="CQ51" s="230">
        <v>54663000</v>
      </c>
      <c r="CR51" s="230">
        <v>53433000</v>
      </c>
      <c r="CS51" s="230">
        <v>1230000</v>
      </c>
      <c r="CT51" s="229">
        <v>2.3E-2</v>
      </c>
      <c r="CU51" s="230">
        <v>316347000</v>
      </c>
      <c r="CV51" s="230">
        <v>312768000</v>
      </c>
      <c r="CW51" s="230">
        <v>3579000</v>
      </c>
      <c r="CX51" s="229">
        <v>1.14E-2</v>
      </c>
      <c r="CY51" s="228">
        <v>29.51</v>
      </c>
      <c r="CZ51" s="228">
        <v>28.34</v>
      </c>
      <c r="DA51" s="228">
        <v>1.17</v>
      </c>
      <c r="DB51" s="228">
        <v>1.17</v>
      </c>
      <c r="DC51" s="228">
        <v>30.88</v>
      </c>
      <c r="DD51" s="228">
        <v>30.95</v>
      </c>
      <c r="DE51" s="228">
        <v>-1.37</v>
      </c>
      <c r="DF51" s="228">
        <v>-7.0000000000000007E-2</v>
      </c>
      <c r="DG51" s="228">
        <v>29.88</v>
      </c>
      <c r="DH51" s="228">
        <v>28.6</v>
      </c>
      <c r="DI51" s="228">
        <v>1.28</v>
      </c>
      <c r="DJ51" s="228">
        <v>1.28</v>
      </c>
      <c r="DK51" s="228">
        <v>28.9</v>
      </c>
      <c r="DL51" s="228">
        <v>27.8</v>
      </c>
      <c r="DM51" s="228">
        <v>1.1000000000000001</v>
      </c>
      <c r="DN51" s="228">
        <v>1.1000000000000001</v>
      </c>
      <c r="DO51" s="228">
        <v>0.55000000000000004</v>
      </c>
      <c r="DP51" s="228">
        <v>0.55000000000000004</v>
      </c>
      <c r="DQ51" s="228">
        <v>0</v>
      </c>
      <c r="DR51" s="229">
        <v>0</v>
      </c>
      <c r="DS51" s="228">
        <v>250</v>
      </c>
      <c r="DT51" s="228">
        <v>230</v>
      </c>
      <c r="DU51" s="228">
        <v>0.6</v>
      </c>
      <c r="DV51" s="228">
        <v>0.47</v>
      </c>
      <c r="DW51" s="228">
        <v>0.13</v>
      </c>
      <c r="DX51" s="229">
        <v>0.27660000000000001</v>
      </c>
      <c r="DY51" s="229">
        <v>0.22670000000000001</v>
      </c>
      <c r="DZ51" s="230">
        <v>34470000</v>
      </c>
      <c r="EA51" s="229">
        <v>0</v>
      </c>
      <c r="EB51" s="229">
        <v>0.22670000000000001</v>
      </c>
      <c r="EC51" s="228">
        <v>-0.17</v>
      </c>
      <c r="ED51" s="229">
        <v>-6.9999999999999999E-4</v>
      </c>
      <c r="EE51" s="230">
        <v>4261713</v>
      </c>
      <c r="EF51" s="230">
        <v>5852128</v>
      </c>
      <c r="EG51" s="229">
        <v>-0.27179999999999999</v>
      </c>
      <c r="EH51" s="229">
        <v>0.51729999999999998</v>
      </c>
      <c r="EI51" s="231">
        <v>115993.59</v>
      </c>
      <c r="EJ51" s="231">
        <v>66319.69</v>
      </c>
      <c r="EK51" s="231">
        <v>44424</v>
      </c>
      <c r="EL51" s="231">
        <v>12483</v>
      </c>
      <c r="EM51" s="231">
        <v>226737.28</v>
      </c>
      <c r="EN51" s="231">
        <v>336781.73</v>
      </c>
      <c r="EO51" s="231">
        <v>-110044.45</v>
      </c>
      <c r="EP51" s="229">
        <v>-0.32679999999999998</v>
      </c>
      <c r="EQ51" s="231">
        <v>245425</v>
      </c>
      <c r="ER51" s="231">
        <v>125621</v>
      </c>
      <c r="ES51" s="231">
        <v>374512</v>
      </c>
      <c r="ET51" s="231">
        <v>358423198</v>
      </c>
      <c r="EU51" s="231">
        <v>745558</v>
      </c>
      <c r="EV51" s="231">
        <v>740135</v>
      </c>
      <c r="EW51" s="231">
        <v>5423</v>
      </c>
      <c r="EX51" s="229">
        <v>7.3000000000000001E-3</v>
      </c>
      <c r="EY51" s="229">
        <v>0.88260000000000005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zoomScale="86" zoomScaleNormal="86" workbookViewId="0">
      <selection activeCell="L149" sqref="L149"/>
    </sheetView>
  </sheetViews>
  <sheetFormatPr defaultRowHeight="15" x14ac:dyDescent="0.25"/>
  <cols>
    <col min="1" max="1" width="12.285156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140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hidden="1" thickBot="1" x14ac:dyDescent="0.3">
      <c r="A2" s="226">
        <v>46064</v>
      </c>
      <c r="B2" s="227" t="s">
        <v>175</v>
      </c>
      <c r="C2" s="227" t="s">
        <v>681</v>
      </c>
      <c r="D2" s="228">
        <v>500</v>
      </c>
      <c r="E2" s="228">
        <v>13</v>
      </c>
      <c r="F2" s="231">
        <v>1142.2</v>
      </c>
      <c r="G2" s="231">
        <v>1164</v>
      </c>
      <c r="H2" s="228">
        <v>-21.8</v>
      </c>
      <c r="I2" s="229">
        <v>-1.8700000000000001E-2</v>
      </c>
      <c r="J2" s="231">
        <v>1138.4000000000001</v>
      </c>
      <c r="K2" s="231">
        <v>1162.4000000000001</v>
      </c>
      <c r="L2" s="228">
        <v>-24</v>
      </c>
      <c r="M2" s="229">
        <v>-2.06E-2</v>
      </c>
      <c r="N2" s="231">
        <v>1142.2</v>
      </c>
      <c r="O2" s="231">
        <v>1164</v>
      </c>
      <c r="P2" s="228">
        <v>-21.8</v>
      </c>
      <c r="Q2" s="229">
        <v>-1.8700000000000001E-2</v>
      </c>
      <c r="R2" s="231">
        <v>1140.9000000000001</v>
      </c>
      <c r="S2" s="231">
        <v>1161.2</v>
      </c>
      <c r="T2" s="228">
        <v>-20.3</v>
      </c>
      <c r="U2" s="229">
        <v>-1.7500000000000002E-2</v>
      </c>
      <c r="V2" s="231">
        <v>1150</v>
      </c>
      <c r="W2" s="231">
        <v>1130</v>
      </c>
      <c r="X2" s="228">
        <v>20</v>
      </c>
      <c r="Y2" s="229">
        <v>1.77E-2</v>
      </c>
      <c r="Z2" s="228">
        <v>3.8</v>
      </c>
      <c r="AA2" s="228">
        <v>1.6</v>
      </c>
      <c r="AB2" s="228">
        <v>2.2000000000000002</v>
      </c>
      <c r="AC2" s="229">
        <v>3.3E-3</v>
      </c>
      <c r="AD2" s="228">
        <v>3.8</v>
      </c>
      <c r="AE2" s="228">
        <v>1.6</v>
      </c>
      <c r="AF2" s="228">
        <v>2.2000000000000002</v>
      </c>
      <c r="AG2" s="229">
        <v>3.3E-3</v>
      </c>
      <c r="AH2" s="228">
        <v>2.5</v>
      </c>
      <c r="AI2" s="228">
        <v>-1.2</v>
      </c>
      <c r="AJ2" s="228">
        <v>3.7</v>
      </c>
      <c r="AK2" s="229">
        <v>2.2000000000000001E-3</v>
      </c>
      <c r="AL2" s="228">
        <v>11.6</v>
      </c>
      <c r="AM2" s="228">
        <v>-32.4</v>
      </c>
      <c r="AN2" s="228">
        <v>44</v>
      </c>
      <c r="AO2" s="229">
        <v>1.0200000000000001E-2</v>
      </c>
      <c r="AP2" s="231">
        <v>1141.1600000000001</v>
      </c>
      <c r="AQ2" s="231">
        <v>1139.45</v>
      </c>
      <c r="AR2" s="228">
        <v>0</v>
      </c>
      <c r="AS2" s="228">
        <v>128</v>
      </c>
      <c r="AT2" s="228">
        <v>193</v>
      </c>
      <c r="AU2" s="228">
        <v>-65</v>
      </c>
      <c r="AV2" s="229">
        <v>-0.33510000000000001</v>
      </c>
      <c r="AW2" s="228">
        <v>118</v>
      </c>
      <c r="AX2" s="228">
        <v>166</v>
      </c>
      <c r="AY2" s="228">
        <v>-48</v>
      </c>
      <c r="AZ2" s="229">
        <v>-0.28760000000000002</v>
      </c>
      <c r="BA2" s="228">
        <v>9</v>
      </c>
      <c r="BB2" s="228">
        <v>26</v>
      </c>
      <c r="BC2" s="228">
        <v>-17</v>
      </c>
      <c r="BD2" s="229">
        <v>-0.64410000000000001</v>
      </c>
      <c r="BE2" s="228">
        <v>0</v>
      </c>
      <c r="BF2" s="228">
        <v>0</v>
      </c>
      <c r="BG2" s="228">
        <v>0</v>
      </c>
      <c r="BH2" s="229">
        <v>0.1429</v>
      </c>
      <c r="BI2" s="228">
        <v>353</v>
      </c>
      <c r="BJ2" s="228">
        <v>680</v>
      </c>
      <c r="BK2" s="228">
        <v>-327</v>
      </c>
      <c r="BL2" s="229">
        <v>-0.48080000000000001</v>
      </c>
      <c r="BM2" s="228">
        <v>171</v>
      </c>
      <c r="BN2" s="228">
        <v>228</v>
      </c>
      <c r="BO2" s="228">
        <v>-58</v>
      </c>
      <c r="BP2" s="229">
        <v>-0.25240000000000001</v>
      </c>
      <c r="BQ2" s="228">
        <v>652</v>
      </c>
      <c r="BR2" s="230">
        <v>1101</v>
      </c>
      <c r="BS2" s="228">
        <v>-449</v>
      </c>
      <c r="BT2" s="229">
        <v>-0.40789999999999998</v>
      </c>
      <c r="BU2" s="230">
        <v>780640</v>
      </c>
      <c r="BV2" s="230">
        <v>1080456</v>
      </c>
      <c r="BW2" s="230">
        <v>-299816</v>
      </c>
      <c r="BX2" s="229">
        <v>-0.27750000000000002</v>
      </c>
      <c r="BY2" s="228">
        <v>333</v>
      </c>
      <c r="BZ2" s="228">
        <v>319</v>
      </c>
      <c r="CA2" s="228">
        <v>14</v>
      </c>
      <c r="CB2" s="229">
        <v>4.3700000000000003E-2</v>
      </c>
      <c r="CC2" s="228">
        <v>318</v>
      </c>
      <c r="CD2" s="228">
        <v>308</v>
      </c>
      <c r="CE2" s="228">
        <v>9</v>
      </c>
      <c r="CF2" s="229">
        <v>3.0200000000000001E-2</v>
      </c>
      <c r="CG2" s="228">
        <v>14</v>
      </c>
      <c r="CH2" s="228">
        <v>10</v>
      </c>
      <c r="CI2" s="228">
        <v>4</v>
      </c>
      <c r="CJ2" s="229">
        <v>0.4451</v>
      </c>
      <c r="CK2" s="228">
        <v>1</v>
      </c>
      <c r="CL2" s="228">
        <v>1</v>
      </c>
      <c r="CM2" s="228">
        <v>0</v>
      </c>
      <c r="CN2" s="229">
        <v>0.44440000000000002</v>
      </c>
      <c r="CO2" s="228">
        <v>193</v>
      </c>
      <c r="CP2" s="228">
        <v>181</v>
      </c>
      <c r="CQ2" s="228">
        <v>12</v>
      </c>
      <c r="CR2" s="229">
        <v>6.6900000000000001E-2</v>
      </c>
      <c r="CS2" s="228">
        <v>146</v>
      </c>
      <c r="CT2" s="228">
        <v>132</v>
      </c>
      <c r="CU2" s="228">
        <v>14</v>
      </c>
      <c r="CV2" s="229">
        <v>0.1047</v>
      </c>
      <c r="CW2" s="228">
        <v>672</v>
      </c>
      <c r="CX2" s="228">
        <v>632</v>
      </c>
      <c r="CY2" s="228">
        <v>40</v>
      </c>
      <c r="CZ2" s="229">
        <v>6.3100000000000003E-2</v>
      </c>
      <c r="DA2" s="228">
        <v>29.59</v>
      </c>
      <c r="DB2" s="228">
        <v>29.63</v>
      </c>
      <c r="DC2" s="228">
        <v>-0.04</v>
      </c>
      <c r="DD2" s="228">
        <v>-0.04</v>
      </c>
      <c r="DE2" s="228">
        <v>42.52</v>
      </c>
      <c r="DF2" s="228">
        <v>42.53</v>
      </c>
      <c r="DG2" s="228">
        <v>-12.93</v>
      </c>
      <c r="DH2" s="228">
        <v>-0.01</v>
      </c>
      <c r="DI2" s="228">
        <v>28.93</v>
      </c>
      <c r="DJ2" s="228">
        <v>29.07</v>
      </c>
      <c r="DK2" s="228">
        <v>-0.14000000000000001</v>
      </c>
      <c r="DL2" s="228">
        <v>-0.14000000000000001</v>
      </c>
      <c r="DM2" s="228">
        <v>30.96</v>
      </c>
      <c r="DN2" s="228">
        <v>31.3</v>
      </c>
      <c r="DO2" s="228">
        <v>-0.34</v>
      </c>
      <c r="DP2" s="228">
        <v>-0.34</v>
      </c>
      <c r="DQ2" s="228">
        <v>0.76</v>
      </c>
      <c r="DR2" s="228">
        <v>0.73</v>
      </c>
      <c r="DS2" s="228">
        <v>0.03</v>
      </c>
      <c r="DT2" s="229">
        <v>4.1099999999999998E-2</v>
      </c>
      <c r="DU2" s="231">
        <v>1200</v>
      </c>
      <c r="DV2" s="231">
        <v>1080</v>
      </c>
      <c r="DW2" s="228">
        <v>0.48</v>
      </c>
      <c r="DX2" s="228">
        <v>0.34</v>
      </c>
      <c r="DY2" s="228">
        <v>0.14000000000000001</v>
      </c>
      <c r="DZ2" s="229">
        <v>0.4118</v>
      </c>
      <c r="EA2" s="229">
        <v>4.5199999999999997E-2</v>
      </c>
      <c r="EB2" s="230">
        <v>91000</v>
      </c>
      <c r="EC2" s="229">
        <v>-1.1000000000000001E-3</v>
      </c>
      <c r="ED2" s="229">
        <v>4.5199999999999997E-2</v>
      </c>
      <c r="EE2" s="228">
        <v>-1.71</v>
      </c>
      <c r="EF2" s="229">
        <v>-1.5E-3</v>
      </c>
      <c r="EG2" s="230">
        <v>342639</v>
      </c>
      <c r="EH2" s="230">
        <v>376960</v>
      </c>
      <c r="EI2" s="229">
        <v>-9.0999999999999998E-2</v>
      </c>
      <c r="EJ2" s="229">
        <v>0.43890000000000001</v>
      </c>
      <c r="EK2" s="228">
        <v>371.9</v>
      </c>
      <c r="EL2" s="228">
        <v>164.6</v>
      </c>
      <c r="EM2" s="228">
        <v>127.91</v>
      </c>
      <c r="EN2" s="228">
        <v>17.63</v>
      </c>
      <c r="EO2" s="228">
        <v>664.41</v>
      </c>
      <c r="EP2" s="231">
        <v>1130.72</v>
      </c>
      <c r="EQ2" s="228">
        <v>-466.31</v>
      </c>
      <c r="ER2" s="229">
        <v>-0.41239999999999999</v>
      </c>
      <c r="ES2" s="228">
        <v>204</v>
      </c>
      <c r="ET2" s="228">
        <v>138.94</v>
      </c>
      <c r="EU2" s="228">
        <v>332.65</v>
      </c>
      <c r="EV2" s="231">
        <v>36943219</v>
      </c>
      <c r="EW2" s="228">
        <v>675.59</v>
      </c>
      <c r="EX2" s="228">
        <v>643.33000000000004</v>
      </c>
      <c r="EY2" s="228">
        <v>32.26</v>
      </c>
      <c r="EZ2" s="229">
        <v>5.0099999999999999E-2</v>
      </c>
      <c r="FA2" s="229">
        <v>0.15909999999999999</v>
      </c>
      <c r="FB2" s="227" t="s">
        <v>567</v>
      </c>
      <c r="FC2">
        <f>BY2-CC2</f>
        <v>15</v>
      </c>
    </row>
    <row r="3" spans="1:159" ht="17.25" hidden="1" thickBot="1" x14ac:dyDescent="0.3">
      <c r="A3" s="226">
        <v>46064</v>
      </c>
      <c r="B3" s="227" t="s">
        <v>184</v>
      </c>
      <c r="C3" s="227" t="s">
        <v>553</v>
      </c>
      <c r="D3" s="228">
        <v>125</v>
      </c>
      <c r="E3" s="228">
        <v>13</v>
      </c>
      <c r="F3" s="231">
        <v>5826.5</v>
      </c>
      <c r="G3" s="231">
        <v>5881</v>
      </c>
      <c r="H3" s="228">
        <v>-54.5</v>
      </c>
      <c r="I3" s="229">
        <v>-9.2999999999999992E-3</v>
      </c>
      <c r="J3" s="231">
        <v>5825.5</v>
      </c>
      <c r="K3" s="231">
        <v>5870</v>
      </c>
      <c r="L3" s="228">
        <v>-44.5</v>
      </c>
      <c r="M3" s="229">
        <v>-7.6E-3</v>
      </c>
      <c r="N3" s="231">
        <v>5826.5</v>
      </c>
      <c r="O3" s="231">
        <v>5881</v>
      </c>
      <c r="P3" s="228">
        <v>-54.5</v>
      </c>
      <c r="Q3" s="229">
        <v>-9.2999999999999992E-3</v>
      </c>
      <c r="R3" s="231">
        <v>5819</v>
      </c>
      <c r="S3" s="231">
        <v>5872.5</v>
      </c>
      <c r="T3" s="228">
        <v>-53.5</v>
      </c>
      <c r="U3" s="229">
        <v>-9.1000000000000004E-3</v>
      </c>
      <c r="V3" s="231">
        <v>5832</v>
      </c>
      <c r="W3" s="231">
        <v>5877</v>
      </c>
      <c r="X3" s="228">
        <v>-45</v>
      </c>
      <c r="Y3" s="229">
        <v>-7.7000000000000002E-3</v>
      </c>
      <c r="Z3" s="228">
        <v>1</v>
      </c>
      <c r="AA3" s="228">
        <v>11</v>
      </c>
      <c r="AB3" s="228">
        <v>-10</v>
      </c>
      <c r="AC3" s="229">
        <v>2.0000000000000001E-4</v>
      </c>
      <c r="AD3" s="228">
        <v>1</v>
      </c>
      <c r="AE3" s="228">
        <v>11</v>
      </c>
      <c r="AF3" s="228">
        <v>-10</v>
      </c>
      <c r="AG3" s="229">
        <v>2.0000000000000001E-4</v>
      </c>
      <c r="AH3" s="228">
        <v>-6.5</v>
      </c>
      <c r="AI3" s="228">
        <v>2.5</v>
      </c>
      <c r="AJ3" s="228">
        <v>-9</v>
      </c>
      <c r="AK3" s="229">
        <v>-1.1000000000000001E-3</v>
      </c>
      <c r="AL3" s="228">
        <v>6.5</v>
      </c>
      <c r="AM3" s="228">
        <v>7</v>
      </c>
      <c r="AN3" s="228">
        <v>-0.5</v>
      </c>
      <c r="AO3" s="229">
        <v>1.1000000000000001E-3</v>
      </c>
      <c r="AP3" s="231">
        <v>5826.53</v>
      </c>
      <c r="AQ3" s="231">
        <v>5821.36</v>
      </c>
      <c r="AR3" s="228">
        <v>0</v>
      </c>
      <c r="AS3" s="228">
        <v>163</v>
      </c>
      <c r="AT3" s="228">
        <v>205</v>
      </c>
      <c r="AU3" s="228">
        <v>-42</v>
      </c>
      <c r="AV3" s="229">
        <v>-0.20669999999999999</v>
      </c>
      <c r="AW3" s="228">
        <v>146</v>
      </c>
      <c r="AX3" s="228">
        <v>182</v>
      </c>
      <c r="AY3" s="228">
        <v>-36</v>
      </c>
      <c r="AZ3" s="229">
        <v>-0.1966</v>
      </c>
      <c r="BA3" s="228">
        <v>14</v>
      </c>
      <c r="BB3" s="228">
        <v>21</v>
      </c>
      <c r="BC3" s="228">
        <v>-7</v>
      </c>
      <c r="BD3" s="229">
        <v>-0.34239999999999998</v>
      </c>
      <c r="BE3" s="228">
        <v>2</v>
      </c>
      <c r="BF3" s="228">
        <v>1</v>
      </c>
      <c r="BG3" s="228">
        <v>1</v>
      </c>
      <c r="BH3" s="229">
        <v>0.64710000000000001</v>
      </c>
      <c r="BI3" s="228">
        <v>431</v>
      </c>
      <c r="BJ3" s="228">
        <v>591</v>
      </c>
      <c r="BK3" s="228">
        <v>-161</v>
      </c>
      <c r="BL3" s="229">
        <v>-0.27189999999999998</v>
      </c>
      <c r="BM3" s="228">
        <v>437</v>
      </c>
      <c r="BN3" s="228">
        <v>253</v>
      </c>
      <c r="BO3" s="228">
        <v>184</v>
      </c>
      <c r="BP3" s="229">
        <v>0.72750000000000004</v>
      </c>
      <c r="BQ3" s="230">
        <v>1030</v>
      </c>
      <c r="BR3" s="230">
        <v>1049</v>
      </c>
      <c r="BS3" s="228">
        <v>-19</v>
      </c>
      <c r="BT3" s="229">
        <v>-1.8100000000000002E-2</v>
      </c>
      <c r="BU3" s="230">
        <v>94218</v>
      </c>
      <c r="BV3" s="230">
        <v>159645</v>
      </c>
      <c r="BW3" s="230">
        <v>-65427</v>
      </c>
      <c r="BX3" s="229">
        <v>-0.4098</v>
      </c>
      <c r="BY3" s="230">
        <v>1298</v>
      </c>
      <c r="BZ3" s="230">
        <v>1312</v>
      </c>
      <c r="CA3" s="228">
        <v>-14</v>
      </c>
      <c r="CB3" s="229">
        <v>-1.0699999999999999E-2</v>
      </c>
      <c r="CC3" s="230">
        <v>1116</v>
      </c>
      <c r="CD3" s="230">
        <v>1134</v>
      </c>
      <c r="CE3" s="228">
        <v>-18</v>
      </c>
      <c r="CF3" s="229">
        <v>-1.5900000000000001E-2</v>
      </c>
      <c r="CG3" s="228">
        <v>174</v>
      </c>
      <c r="CH3" s="228">
        <v>171</v>
      </c>
      <c r="CI3" s="228">
        <v>2</v>
      </c>
      <c r="CJ3" s="229">
        <v>1.3599999999999999E-2</v>
      </c>
      <c r="CK3" s="228">
        <v>8</v>
      </c>
      <c r="CL3" s="228">
        <v>7</v>
      </c>
      <c r="CM3" s="228">
        <v>2</v>
      </c>
      <c r="CN3" s="229">
        <v>0.25559999999999999</v>
      </c>
      <c r="CO3" s="228">
        <v>761</v>
      </c>
      <c r="CP3" s="228">
        <v>748</v>
      </c>
      <c r="CQ3" s="228">
        <v>13</v>
      </c>
      <c r="CR3" s="229">
        <v>1.7600000000000001E-2</v>
      </c>
      <c r="CS3" s="228">
        <v>561</v>
      </c>
      <c r="CT3" s="228">
        <v>556</v>
      </c>
      <c r="CU3" s="228">
        <v>5</v>
      </c>
      <c r="CV3" s="229">
        <v>8.5000000000000006E-3</v>
      </c>
      <c r="CW3" s="230">
        <v>2620</v>
      </c>
      <c r="CX3" s="230">
        <v>2616</v>
      </c>
      <c r="CY3" s="228">
        <v>4</v>
      </c>
      <c r="CZ3" s="229">
        <v>1.5E-3</v>
      </c>
      <c r="DA3" s="228">
        <v>35.81</v>
      </c>
      <c r="DB3" s="228">
        <v>34.549999999999997</v>
      </c>
      <c r="DC3" s="228">
        <v>1.26</v>
      </c>
      <c r="DD3" s="228">
        <v>1.26</v>
      </c>
      <c r="DE3" s="228">
        <v>36.479999999999997</v>
      </c>
      <c r="DF3" s="228">
        <v>36.56</v>
      </c>
      <c r="DG3" s="228">
        <v>-0.67</v>
      </c>
      <c r="DH3" s="228">
        <v>-0.08</v>
      </c>
      <c r="DI3" s="228">
        <v>34.72</v>
      </c>
      <c r="DJ3" s="228">
        <v>33.28</v>
      </c>
      <c r="DK3" s="228">
        <v>1.44</v>
      </c>
      <c r="DL3" s="228">
        <v>1.44</v>
      </c>
      <c r="DM3" s="228">
        <v>36.89</v>
      </c>
      <c r="DN3" s="228">
        <v>37.49</v>
      </c>
      <c r="DO3" s="228">
        <v>-0.6</v>
      </c>
      <c r="DP3" s="228">
        <v>-0.6</v>
      </c>
      <c r="DQ3" s="228">
        <v>0.74</v>
      </c>
      <c r="DR3" s="228">
        <v>0.74</v>
      </c>
      <c r="DS3" s="228">
        <v>0</v>
      </c>
      <c r="DT3" s="229">
        <v>0</v>
      </c>
      <c r="DU3" s="231">
        <v>6000</v>
      </c>
      <c r="DV3" s="231">
        <v>5700</v>
      </c>
      <c r="DW3" s="228">
        <v>1.02</v>
      </c>
      <c r="DX3" s="228">
        <v>0.43</v>
      </c>
      <c r="DY3" s="228">
        <v>0.59</v>
      </c>
      <c r="DZ3" s="229">
        <v>1.3721000000000001</v>
      </c>
      <c r="EA3" s="229">
        <v>0.14019999999999999</v>
      </c>
      <c r="EB3" s="230">
        <v>305500</v>
      </c>
      <c r="EC3" s="229">
        <v>-1.2999999999999999E-3</v>
      </c>
      <c r="ED3" s="229">
        <v>0.14019999999999999</v>
      </c>
      <c r="EE3" s="228">
        <v>-5.17</v>
      </c>
      <c r="EF3" s="229">
        <v>-8.9999999999999998E-4</v>
      </c>
      <c r="EG3" s="230">
        <v>37228</v>
      </c>
      <c r="EH3" s="230">
        <v>80194</v>
      </c>
      <c r="EI3" s="229">
        <v>-0.53580000000000005</v>
      </c>
      <c r="EJ3" s="229">
        <v>0.39510000000000001</v>
      </c>
      <c r="EK3" s="228">
        <v>452.53</v>
      </c>
      <c r="EL3" s="228">
        <v>424.16</v>
      </c>
      <c r="EM3" s="228">
        <v>162.62</v>
      </c>
      <c r="EN3" s="228">
        <v>44.86</v>
      </c>
      <c r="EO3" s="231">
        <v>1039.32</v>
      </c>
      <c r="EP3" s="231">
        <v>1065.94</v>
      </c>
      <c r="EQ3" s="228">
        <v>-26.62</v>
      </c>
      <c r="ER3" s="229">
        <v>-2.5000000000000001E-2</v>
      </c>
      <c r="ES3" s="228">
        <v>752.28</v>
      </c>
      <c r="ET3" s="228">
        <v>509.49</v>
      </c>
      <c r="EU3" s="231">
        <v>1298.22</v>
      </c>
      <c r="EV3" s="231">
        <v>7946564</v>
      </c>
      <c r="EW3" s="231">
        <v>2560</v>
      </c>
      <c r="EX3" s="231">
        <v>2565.9699999999998</v>
      </c>
      <c r="EY3" s="228">
        <v>-5.97</v>
      </c>
      <c r="EZ3" s="229">
        <v>-2.3E-3</v>
      </c>
      <c r="FA3" s="229">
        <v>0.56589999999999996</v>
      </c>
      <c r="FB3" s="227" t="s">
        <v>568</v>
      </c>
      <c r="FC3">
        <f t="shared" ref="FC3:FC66" si="0">BY3-CC3</f>
        <v>182</v>
      </c>
    </row>
    <row r="4" spans="1:159" ht="17.25" hidden="1" thickBot="1" x14ac:dyDescent="0.3">
      <c r="A4" s="226">
        <v>46064</v>
      </c>
      <c r="B4" s="227" t="s">
        <v>175</v>
      </c>
      <c r="C4" s="227" t="s">
        <v>544</v>
      </c>
      <c r="D4" s="228">
        <v>3100</v>
      </c>
      <c r="E4" s="228">
        <v>13</v>
      </c>
      <c r="F4" s="228">
        <v>344.35</v>
      </c>
      <c r="G4" s="228">
        <v>354.9</v>
      </c>
      <c r="H4" s="228">
        <v>-10.55</v>
      </c>
      <c r="I4" s="229">
        <v>-2.9700000000000001E-2</v>
      </c>
      <c r="J4" s="228">
        <v>344.25</v>
      </c>
      <c r="K4" s="228">
        <v>353.75</v>
      </c>
      <c r="L4" s="228">
        <v>-9.5</v>
      </c>
      <c r="M4" s="229">
        <v>-2.69E-2</v>
      </c>
      <c r="N4" s="228">
        <v>344.35</v>
      </c>
      <c r="O4" s="228">
        <v>354.9</v>
      </c>
      <c r="P4" s="228">
        <v>-10.55</v>
      </c>
      <c r="Q4" s="229">
        <v>-2.9700000000000001E-2</v>
      </c>
      <c r="R4" s="228">
        <v>344.65</v>
      </c>
      <c r="S4" s="228">
        <v>355.55</v>
      </c>
      <c r="T4" s="228">
        <v>-10.9</v>
      </c>
      <c r="U4" s="229">
        <v>-3.0700000000000002E-2</v>
      </c>
      <c r="V4" s="228">
        <v>346.65</v>
      </c>
      <c r="W4" s="228">
        <v>358.65</v>
      </c>
      <c r="X4" s="228">
        <v>-12</v>
      </c>
      <c r="Y4" s="229">
        <v>-3.3500000000000002E-2</v>
      </c>
      <c r="Z4" s="228">
        <v>0.1</v>
      </c>
      <c r="AA4" s="228">
        <v>1.1499999999999999</v>
      </c>
      <c r="AB4" s="228">
        <v>-1.05</v>
      </c>
      <c r="AC4" s="229">
        <v>2.9999999999999997E-4</v>
      </c>
      <c r="AD4" s="228">
        <v>0.1</v>
      </c>
      <c r="AE4" s="228">
        <v>1.1499999999999999</v>
      </c>
      <c r="AF4" s="228">
        <v>-1.05</v>
      </c>
      <c r="AG4" s="229">
        <v>2.9999999999999997E-4</v>
      </c>
      <c r="AH4" s="228">
        <v>0.4</v>
      </c>
      <c r="AI4" s="228">
        <v>1.8</v>
      </c>
      <c r="AJ4" s="228">
        <v>-1.4</v>
      </c>
      <c r="AK4" s="229">
        <v>1.1999999999999999E-3</v>
      </c>
      <c r="AL4" s="228">
        <v>2.4</v>
      </c>
      <c r="AM4" s="228">
        <v>4.9000000000000004</v>
      </c>
      <c r="AN4" s="228">
        <v>-2.5</v>
      </c>
      <c r="AO4" s="229">
        <v>7.0000000000000001E-3</v>
      </c>
      <c r="AP4" s="228">
        <v>346.16</v>
      </c>
      <c r="AQ4" s="228">
        <v>347.57</v>
      </c>
      <c r="AR4" s="228">
        <v>0</v>
      </c>
      <c r="AS4" s="228">
        <v>573</v>
      </c>
      <c r="AT4" s="228">
        <v>366</v>
      </c>
      <c r="AU4" s="228">
        <v>207</v>
      </c>
      <c r="AV4" s="229">
        <v>0.56410000000000005</v>
      </c>
      <c r="AW4" s="228">
        <v>514</v>
      </c>
      <c r="AX4" s="228">
        <v>348</v>
      </c>
      <c r="AY4" s="228">
        <v>166</v>
      </c>
      <c r="AZ4" s="229">
        <v>0.47649999999999998</v>
      </c>
      <c r="BA4" s="228">
        <v>57</v>
      </c>
      <c r="BB4" s="228">
        <v>17</v>
      </c>
      <c r="BC4" s="228">
        <v>40</v>
      </c>
      <c r="BD4" s="229">
        <v>2.3885000000000001</v>
      </c>
      <c r="BE4" s="228">
        <v>2</v>
      </c>
      <c r="BF4" s="228">
        <v>1</v>
      </c>
      <c r="BG4" s="228">
        <v>1</v>
      </c>
      <c r="BH4" s="229">
        <v>0.5</v>
      </c>
      <c r="BI4" s="230">
        <v>1317</v>
      </c>
      <c r="BJ4" s="230">
        <v>1000</v>
      </c>
      <c r="BK4" s="228">
        <v>317</v>
      </c>
      <c r="BL4" s="229">
        <v>0.31659999999999999</v>
      </c>
      <c r="BM4" s="228">
        <v>639</v>
      </c>
      <c r="BN4" s="228">
        <v>483</v>
      </c>
      <c r="BO4" s="228">
        <v>156</v>
      </c>
      <c r="BP4" s="229">
        <v>0.32179999999999997</v>
      </c>
      <c r="BQ4" s="230">
        <v>2528</v>
      </c>
      <c r="BR4" s="230">
        <v>1850</v>
      </c>
      <c r="BS4" s="228">
        <v>679</v>
      </c>
      <c r="BT4" s="229">
        <v>0.36699999999999999</v>
      </c>
      <c r="BU4" s="230">
        <v>6863398</v>
      </c>
      <c r="BV4" s="230">
        <v>6302317</v>
      </c>
      <c r="BW4" s="230">
        <v>561081</v>
      </c>
      <c r="BX4" s="229">
        <v>8.8999999999999996E-2</v>
      </c>
      <c r="BY4" s="230">
        <v>2883</v>
      </c>
      <c r="BZ4" s="230">
        <v>2810</v>
      </c>
      <c r="CA4" s="228">
        <v>73</v>
      </c>
      <c r="CB4" s="229">
        <v>2.5999999999999999E-2</v>
      </c>
      <c r="CC4" s="230">
        <v>2812</v>
      </c>
      <c r="CD4" s="230">
        <v>2756</v>
      </c>
      <c r="CE4" s="228">
        <v>56</v>
      </c>
      <c r="CF4" s="229">
        <v>2.01E-2</v>
      </c>
      <c r="CG4" s="228">
        <v>68</v>
      </c>
      <c r="CH4" s="228">
        <v>52</v>
      </c>
      <c r="CI4" s="228">
        <v>16</v>
      </c>
      <c r="CJ4" s="229">
        <v>0.31259999999999999</v>
      </c>
      <c r="CK4" s="228">
        <v>4</v>
      </c>
      <c r="CL4" s="228">
        <v>2</v>
      </c>
      <c r="CM4" s="228">
        <v>1</v>
      </c>
      <c r="CN4" s="229">
        <v>0.63639999999999997</v>
      </c>
      <c r="CO4" s="228">
        <v>764</v>
      </c>
      <c r="CP4" s="228">
        <v>592</v>
      </c>
      <c r="CQ4" s="228">
        <v>172</v>
      </c>
      <c r="CR4" s="229">
        <v>0.29139999999999999</v>
      </c>
      <c r="CS4" s="228">
        <v>455</v>
      </c>
      <c r="CT4" s="228">
        <v>451</v>
      </c>
      <c r="CU4" s="228">
        <v>4</v>
      </c>
      <c r="CV4" s="229">
        <v>8.5000000000000006E-3</v>
      </c>
      <c r="CW4" s="230">
        <v>4102</v>
      </c>
      <c r="CX4" s="230">
        <v>3853</v>
      </c>
      <c r="CY4" s="228">
        <v>249</v>
      </c>
      <c r="CZ4" s="229">
        <v>6.4699999999999994E-2</v>
      </c>
      <c r="DA4" s="228">
        <v>37.72</v>
      </c>
      <c r="DB4" s="228">
        <v>34.72</v>
      </c>
      <c r="DC4" s="228">
        <v>3</v>
      </c>
      <c r="DD4" s="228">
        <v>3</v>
      </c>
      <c r="DE4" s="228">
        <v>37.35</v>
      </c>
      <c r="DF4" s="228">
        <v>37.22</v>
      </c>
      <c r="DG4" s="228">
        <v>0.37</v>
      </c>
      <c r="DH4" s="228">
        <v>0.13</v>
      </c>
      <c r="DI4" s="228">
        <v>37.86</v>
      </c>
      <c r="DJ4" s="228">
        <v>34.39</v>
      </c>
      <c r="DK4" s="228">
        <v>3.47</v>
      </c>
      <c r="DL4" s="228">
        <v>3.47</v>
      </c>
      <c r="DM4" s="228">
        <v>37.409999999999997</v>
      </c>
      <c r="DN4" s="228">
        <v>35.4</v>
      </c>
      <c r="DO4" s="228">
        <v>2.0099999999999998</v>
      </c>
      <c r="DP4" s="228">
        <v>2.0099999999999998</v>
      </c>
      <c r="DQ4" s="228">
        <v>0.6</v>
      </c>
      <c r="DR4" s="228">
        <v>0.76</v>
      </c>
      <c r="DS4" s="228">
        <v>-0.16</v>
      </c>
      <c r="DT4" s="229">
        <v>-0.21049999999999999</v>
      </c>
      <c r="DU4" s="228">
        <v>360</v>
      </c>
      <c r="DV4" s="228">
        <v>320</v>
      </c>
      <c r="DW4" s="228">
        <v>0.49</v>
      </c>
      <c r="DX4" s="228">
        <v>0.48</v>
      </c>
      <c r="DY4" s="228">
        <v>0.01</v>
      </c>
      <c r="DZ4" s="229">
        <v>2.0799999999999999E-2</v>
      </c>
      <c r="EA4" s="229">
        <v>2.4799999999999999E-2</v>
      </c>
      <c r="EB4" s="230">
        <v>1565500</v>
      </c>
      <c r="EC4" s="229">
        <v>8.9999999999999998E-4</v>
      </c>
      <c r="ED4" s="229">
        <v>2.4799999999999999E-2</v>
      </c>
      <c r="EE4" s="228">
        <v>1.41</v>
      </c>
      <c r="EF4" s="229">
        <v>4.1000000000000003E-3</v>
      </c>
      <c r="EG4" s="230">
        <v>3372995</v>
      </c>
      <c r="EH4" s="230">
        <v>3219017</v>
      </c>
      <c r="EI4" s="229">
        <v>4.7800000000000002E-2</v>
      </c>
      <c r="EJ4" s="229">
        <v>0.4914</v>
      </c>
      <c r="EK4" s="231">
        <v>1398.14</v>
      </c>
      <c r="EL4" s="228">
        <v>636.82000000000005</v>
      </c>
      <c r="EM4" s="228">
        <v>576.28</v>
      </c>
      <c r="EN4" s="228">
        <v>48.64</v>
      </c>
      <c r="EO4" s="231">
        <v>2611.2399999999998</v>
      </c>
      <c r="EP4" s="231">
        <v>1933.35</v>
      </c>
      <c r="EQ4" s="228">
        <v>677.89</v>
      </c>
      <c r="ER4" s="229">
        <v>0.35060000000000002</v>
      </c>
      <c r="ES4" s="228">
        <v>802.33</v>
      </c>
      <c r="ET4" s="228">
        <v>438.87</v>
      </c>
      <c r="EU4" s="231">
        <v>2883.47</v>
      </c>
      <c r="EV4" s="231">
        <v>122657000</v>
      </c>
      <c r="EW4" s="231">
        <v>4124.67</v>
      </c>
      <c r="EX4" s="231">
        <v>3955.8</v>
      </c>
      <c r="EY4" s="228">
        <v>168.87</v>
      </c>
      <c r="EZ4" s="229">
        <v>4.2700000000000002E-2</v>
      </c>
      <c r="FA4" s="229">
        <v>0.97119999999999995</v>
      </c>
      <c r="FB4" s="227" t="s">
        <v>567</v>
      </c>
      <c r="FC4">
        <f t="shared" si="0"/>
        <v>71</v>
      </c>
    </row>
    <row r="5" spans="1:159" ht="17.25" hidden="1" thickBot="1" x14ac:dyDescent="0.3">
      <c r="A5" s="226">
        <v>46064</v>
      </c>
      <c r="B5" s="227" t="s">
        <v>161</v>
      </c>
      <c r="C5" s="227" t="s">
        <v>579</v>
      </c>
      <c r="D5" s="228">
        <v>675</v>
      </c>
      <c r="E5" s="228">
        <v>13</v>
      </c>
      <c r="F5" s="231">
        <v>1036.7</v>
      </c>
      <c r="G5" s="231">
        <v>1019.55</v>
      </c>
      <c r="H5" s="228">
        <v>17.149999999999999</v>
      </c>
      <c r="I5" s="229">
        <v>1.6799999999999999E-2</v>
      </c>
      <c r="J5" s="231">
        <v>1033.8</v>
      </c>
      <c r="K5" s="231">
        <v>1016.75</v>
      </c>
      <c r="L5" s="228">
        <v>17.05</v>
      </c>
      <c r="M5" s="229">
        <v>1.6799999999999999E-2</v>
      </c>
      <c r="N5" s="231">
        <v>1036.7</v>
      </c>
      <c r="O5" s="231">
        <v>1019.55</v>
      </c>
      <c r="P5" s="228">
        <v>17.149999999999999</v>
      </c>
      <c r="Q5" s="229">
        <v>1.6799999999999999E-2</v>
      </c>
      <c r="R5" s="231">
        <v>1043.05</v>
      </c>
      <c r="S5" s="231">
        <v>1024.55</v>
      </c>
      <c r="T5" s="228">
        <v>18.5</v>
      </c>
      <c r="U5" s="229">
        <v>1.8100000000000002E-2</v>
      </c>
      <c r="V5" s="231">
        <v>1045.3</v>
      </c>
      <c r="W5" s="231">
        <v>1031.45</v>
      </c>
      <c r="X5" s="228">
        <v>13.85</v>
      </c>
      <c r="Y5" s="229">
        <v>1.34E-2</v>
      </c>
      <c r="Z5" s="228">
        <v>2.9</v>
      </c>
      <c r="AA5" s="228">
        <v>2.8</v>
      </c>
      <c r="AB5" s="228">
        <v>0.1</v>
      </c>
      <c r="AC5" s="229">
        <v>2.8E-3</v>
      </c>
      <c r="AD5" s="228">
        <v>2.9</v>
      </c>
      <c r="AE5" s="228">
        <v>2.8</v>
      </c>
      <c r="AF5" s="228">
        <v>0.1</v>
      </c>
      <c r="AG5" s="229">
        <v>2.8E-3</v>
      </c>
      <c r="AH5" s="228">
        <v>9.25</v>
      </c>
      <c r="AI5" s="228">
        <v>7.8</v>
      </c>
      <c r="AJ5" s="228">
        <v>1.45</v>
      </c>
      <c r="AK5" s="229">
        <v>8.8999999999999999E-3</v>
      </c>
      <c r="AL5" s="228">
        <v>11.5</v>
      </c>
      <c r="AM5" s="228">
        <v>14.7</v>
      </c>
      <c r="AN5" s="228">
        <v>-3.2</v>
      </c>
      <c r="AO5" s="229">
        <v>1.11E-2</v>
      </c>
      <c r="AP5" s="231">
        <v>1032.46</v>
      </c>
      <c r="AQ5" s="231">
        <v>1037.21</v>
      </c>
      <c r="AR5" s="228">
        <v>0</v>
      </c>
      <c r="AS5" s="228">
        <v>198</v>
      </c>
      <c r="AT5" s="228">
        <v>178</v>
      </c>
      <c r="AU5" s="228">
        <v>20</v>
      </c>
      <c r="AV5" s="229">
        <v>0.1114</v>
      </c>
      <c r="AW5" s="228">
        <v>192</v>
      </c>
      <c r="AX5" s="228">
        <v>170</v>
      </c>
      <c r="AY5" s="228">
        <v>22</v>
      </c>
      <c r="AZ5" s="229">
        <v>0.1303</v>
      </c>
      <c r="BA5" s="228">
        <v>6</v>
      </c>
      <c r="BB5" s="228">
        <v>8</v>
      </c>
      <c r="BC5" s="228">
        <v>-2</v>
      </c>
      <c r="BD5" s="229">
        <v>-0.2414</v>
      </c>
      <c r="BE5" s="228">
        <v>0</v>
      </c>
      <c r="BF5" s="228">
        <v>0</v>
      </c>
      <c r="BG5" s="228">
        <v>0</v>
      </c>
      <c r="BH5" s="229">
        <v>-0.57140000000000002</v>
      </c>
      <c r="BI5" s="228">
        <v>208</v>
      </c>
      <c r="BJ5" s="228">
        <v>180</v>
      </c>
      <c r="BK5" s="228">
        <v>28</v>
      </c>
      <c r="BL5" s="229">
        <v>0.15579999999999999</v>
      </c>
      <c r="BM5" s="228">
        <v>150</v>
      </c>
      <c r="BN5" s="228">
        <v>212</v>
      </c>
      <c r="BO5" s="228">
        <v>-62</v>
      </c>
      <c r="BP5" s="229">
        <v>-0.29070000000000001</v>
      </c>
      <c r="BQ5" s="228">
        <v>557</v>
      </c>
      <c r="BR5" s="228">
        <v>570</v>
      </c>
      <c r="BS5" s="228">
        <v>-14</v>
      </c>
      <c r="BT5" s="229">
        <v>-2.3800000000000002E-2</v>
      </c>
      <c r="BU5" s="230">
        <v>956963</v>
      </c>
      <c r="BV5" s="230">
        <v>1050211</v>
      </c>
      <c r="BW5" s="230">
        <v>-93248</v>
      </c>
      <c r="BX5" s="229">
        <v>-8.8800000000000004E-2</v>
      </c>
      <c r="BY5" s="230">
        <v>2196</v>
      </c>
      <c r="BZ5" s="230">
        <v>2182</v>
      </c>
      <c r="CA5" s="228">
        <v>14</v>
      </c>
      <c r="CB5" s="229">
        <v>6.3E-3</v>
      </c>
      <c r="CC5" s="230">
        <v>2162</v>
      </c>
      <c r="CD5" s="230">
        <v>2149</v>
      </c>
      <c r="CE5" s="228">
        <v>13</v>
      </c>
      <c r="CF5" s="229">
        <v>6.0000000000000001E-3</v>
      </c>
      <c r="CG5" s="228">
        <v>29</v>
      </c>
      <c r="CH5" s="228">
        <v>28</v>
      </c>
      <c r="CI5" s="228">
        <v>1</v>
      </c>
      <c r="CJ5" s="229">
        <v>3.27E-2</v>
      </c>
      <c r="CK5" s="228">
        <v>6</v>
      </c>
      <c r="CL5" s="228">
        <v>6</v>
      </c>
      <c r="CM5" s="228">
        <v>0</v>
      </c>
      <c r="CN5" s="229">
        <v>-3.6600000000000001E-2</v>
      </c>
      <c r="CO5" s="228">
        <v>416</v>
      </c>
      <c r="CP5" s="228">
        <v>430</v>
      </c>
      <c r="CQ5" s="228">
        <v>-14</v>
      </c>
      <c r="CR5" s="229">
        <v>-3.3399999999999999E-2</v>
      </c>
      <c r="CS5" s="228">
        <v>352</v>
      </c>
      <c r="CT5" s="228">
        <v>364</v>
      </c>
      <c r="CU5" s="228">
        <v>-12</v>
      </c>
      <c r="CV5" s="229">
        <v>-3.3500000000000002E-2</v>
      </c>
      <c r="CW5" s="230">
        <v>2963</v>
      </c>
      <c r="CX5" s="230">
        <v>2976</v>
      </c>
      <c r="CY5" s="228">
        <v>-13</v>
      </c>
      <c r="CZ5" s="229">
        <v>-4.3E-3</v>
      </c>
      <c r="DA5" s="228">
        <v>40.659999999999997</v>
      </c>
      <c r="DB5" s="228">
        <v>39.770000000000003</v>
      </c>
      <c r="DC5" s="228">
        <v>0.89</v>
      </c>
      <c r="DD5" s="228">
        <v>0.89</v>
      </c>
      <c r="DE5" s="228">
        <v>55.08</v>
      </c>
      <c r="DF5" s="228">
        <v>55.17</v>
      </c>
      <c r="DG5" s="228">
        <v>-14.42</v>
      </c>
      <c r="DH5" s="228">
        <v>-0.09</v>
      </c>
      <c r="DI5" s="228">
        <v>37.86</v>
      </c>
      <c r="DJ5" s="228">
        <v>38.67</v>
      </c>
      <c r="DK5" s="228">
        <v>-0.81</v>
      </c>
      <c r="DL5" s="228">
        <v>-0.81</v>
      </c>
      <c r="DM5" s="228">
        <v>44.54</v>
      </c>
      <c r="DN5" s="228">
        <v>40.69</v>
      </c>
      <c r="DO5" s="228">
        <v>3.85</v>
      </c>
      <c r="DP5" s="228">
        <v>3.85</v>
      </c>
      <c r="DQ5" s="228">
        <v>0.85</v>
      </c>
      <c r="DR5" s="228">
        <v>0.85</v>
      </c>
      <c r="DS5" s="228">
        <v>0</v>
      </c>
      <c r="DT5" s="229">
        <v>0</v>
      </c>
      <c r="DU5" s="231">
        <v>1000</v>
      </c>
      <c r="DV5" s="228">
        <v>900</v>
      </c>
      <c r="DW5" s="228">
        <v>0.72</v>
      </c>
      <c r="DX5" s="228">
        <v>1.17</v>
      </c>
      <c r="DY5" s="228">
        <v>-0.45</v>
      </c>
      <c r="DZ5" s="229">
        <v>-0.3846</v>
      </c>
      <c r="EA5" s="229">
        <v>1.5599999999999999E-2</v>
      </c>
      <c r="EB5" s="230">
        <v>324000</v>
      </c>
      <c r="EC5" s="229">
        <v>6.1000000000000004E-3</v>
      </c>
      <c r="ED5" s="229">
        <v>1.5599999999999999E-2</v>
      </c>
      <c r="EE5" s="228">
        <v>4.75</v>
      </c>
      <c r="EF5" s="229">
        <v>4.5999999999999999E-3</v>
      </c>
      <c r="EG5" s="230">
        <v>400813</v>
      </c>
      <c r="EH5" s="230">
        <v>322950</v>
      </c>
      <c r="EI5" s="229">
        <v>0.24110000000000001</v>
      </c>
      <c r="EJ5" s="229">
        <v>0.41880000000000001</v>
      </c>
      <c r="EK5" s="228">
        <v>217.93</v>
      </c>
      <c r="EL5" s="228">
        <v>138.22</v>
      </c>
      <c r="EM5" s="228">
        <v>197.47</v>
      </c>
      <c r="EN5" s="228">
        <v>30.74</v>
      </c>
      <c r="EO5" s="228">
        <v>553.61</v>
      </c>
      <c r="EP5" s="228">
        <v>561.38</v>
      </c>
      <c r="EQ5" s="228">
        <v>-7.77</v>
      </c>
      <c r="ER5" s="229">
        <v>-1.38E-2</v>
      </c>
      <c r="ES5" s="228">
        <v>398.04</v>
      </c>
      <c r="ET5" s="228">
        <v>310.95</v>
      </c>
      <c r="EU5" s="231">
        <v>2196.1799999999998</v>
      </c>
      <c r="EV5" s="231">
        <v>43791427</v>
      </c>
      <c r="EW5" s="231">
        <v>2905.17</v>
      </c>
      <c r="EX5" s="231">
        <v>2879.76</v>
      </c>
      <c r="EY5" s="228">
        <v>25.41</v>
      </c>
      <c r="EZ5" s="229">
        <v>8.8000000000000005E-3</v>
      </c>
      <c r="FA5" s="229">
        <v>0.65269999999999995</v>
      </c>
      <c r="FB5" s="227" t="s">
        <v>555</v>
      </c>
      <c r="FC5">
        <f t="shared" si="0"/>
        <v>34</v>
      </c>
    </row>
    <row r="6" spans="1:159" ht="17.25" hidden="1" thickBot="1" x14ac:dyDescent="0.3">
      <c r="A6" s="226">
        <v>46064</v>
      </c>
      <c r="B6" s="227" t="s">
        <v>215</v>
      </c>
      <c r="C6" s="227" t="s">
        <v>159</v>
      </c>
      <c r="D6" s="228">
        <v>309</v>
      </c>
      <c r="E6" s="228">
        <v>13</v>
      </c>
      <c r="F6" s="231">
        <v>2236.6999999999998</v>
      </c>
      <c r="G6" s="231">
        <v>2229.8000000000002</v>
      </c>
      <c r="H6" s="228">
        <v>6.9</v>
      </c>
      <c r="I6" s="229">
        <v>3.0999999999999999E-3</v>
      </c>
      <c r="J6" s="231">
        <v>2234.4</v>
      </c>
      <c r="K6" s="231">
        <v>2228.4</v>
      </c>
      <c r="L6" s="228">
        <v>6</v>
      </c>
      <c r="M6" s="229">
        <v>2.7000000000000001E-3</v>
      </c>
      <c r="N6" s="231">
        <v>2236.6999999999998</v>
      </c>
      <c r="O6" s="231">
        <v>2229.8000000000002</v>
      </c>
      <c r="P6" s="228">
        <v>6.9</v>
      </c>
      <c r="Q6" s="229">
        <v>3.0999999999999999E-3</v>
      </c>
      <c r="R6" s="231">
        <v>2235.1999999999998</v>
      </c>
      <c r="S6" s="231">
        <v>2231.6999999999998</v>
      </c>
      <c r="T6" s="228">
        <v>3.5</v>
      </c>
      <c r="U6" s="229">
        <v>1.6000000000000001E-3</v>
      </c>
      <c r="V6" s="231">
        <v>2235.6999999999998</v>
      </c>
      <c r="W6" s="231">
        <v>2236.6</v>
      </c>
      <c r="X6" s="228">
        <v>-0.9</v>
      </c>
      <c r="Y6" s="229">
        <v>-4.0000000000000002E-4</v>
      </c>
      <c r="Z6" s="228">
        <v>2.2999999999999998</v>
      </c>
      <c r="AA6" s="228">
        <v>1.4</v>
      </c>
      <c r="AB6" s="228">
        <v>0.9</v>
      </c>
      <c r="AC6" s="229">
        <v>1E-3</v>
      </c>
      <c r="AD6" s="228">
        <v>2.2999999999999998</v>
      </c>
      <c r="AE6" s="228">
        <v>1.4</v>
      </c>
      <c r="AF6" s="228">
        <v>0.9</v>
      </c>
      <c r="AG6" s="229">
        <v>1E-3</v>
      </c>
      <c r="AH6" s="228">
        <v>0.8</v>
      </c>
      <c r="AI6" s="228">
        <v>3.3</v>
      </c>
      <c r="AJ6" s="228">
        <v>-2.5</v>
      </c>
      <c r="AK6" s="229">
        <v>4.0000000000000002E-4</v>
      </c>
      <c r="AL6" s="228">
        <v>1.3</v>
      </c>
      <c r="AM6" s="228">
        <v>8.1999999999999993</v>
      </c>
      <c r="AN6" s="228">
        <v>-6.9</v>
      </c>
      <c r="AO6" s="229">
        <v>5.9999999999999995E-4</v>
      </c>
      <c r="AP6" s="231">
        <v>2230</v>
      </c>
      <c r="AQ6" s="231">
        <v>2228.62</v>
      </c>
      <c r="AR6" s="228">
        <v>0</v>
      </c>
      <c r="AS6" s="228">
        <v>512</v>
      </c>
      <c r="AT6" s="230">
        <v>1118</v>
      </c>
      <c r="AU6" s="228">
        <v>-606</v>
      </c>
      <c r="AV6" s="229">
        <v>-0.5423</v>
      </c>
      <c r="AW6" s="228">
        <v>367</v>
      </c>
      <c r="AX6" s="228">
        <v>972</v>
      </c>
      <c r="AY6" s="228">
        <v>-604</v>
      </c>
      <c r="AZ6" s="229">
        <v>-0.62180000000000002</v>
      </c>
      <c r="BA6" s="228">
        <v>129</v>
      </c>
      <c r="BB6" s="228">
        <v>128</v>
      </c>
      <c r="BC6" s="228">
        <v>1</v>
      </c>
      <c r="BD6" s="229">
        <v>7.0000000000000001E-3</v>
      </c>
      <c r="BE6" s="228">
        <v>15</v>
      </c>
      <c r="BF6" s="228">
        <v>18</v>
      </c>
      <c r="BG6" s="228">
        <v>-3</v>
      </c>
      <c r="BH6" s="229">
        <v>-0.1711</v>
      </c>
      <c r="BI6" s="230">
        <v>1031</v>
      </c>
      <c r="BJ6" s="230">
        <v>3173</v>
      </c>
      <c r="BK6" s="230">
        <v>-2142</v>
      </c>
      <c r="BL6" s="229">
        <v>-0.67500000000000004</v>
      </c>
      <c r="BM6" s="228">
        <v>771</v>
      </c>
      <c r="BN6" s="230">
        <v>3532</v>
      </c>
      <c r="BO6" s="230">
        <v>-2760</v>
      </c>
      <c r="BP6" s="229">
        <v>-0.78159999999999996</v>
      </c>
      <c r="BQ6" s="230">
        <v>2314</v>
      </c>
      <c r="BR6" s="230">
        <v>7822</v>
      </c>
      <c r="BS6" s="230">
        <v>-5508</v>
      </c>
      <c r="BT6" s="229">
        <v>-0.70420000000000005</v>
      </c>
      <c r="BU6" s="230">
        <v>728198</v>
      </c>
      <c r="BV6" s="230">
        <v>1790366</v>
      </c>
      <c r="BW6" s="230">
        <v>-1062168</v>
      </c>
      <c r="BX6" s="229">
        <v>-0.59330000000000005</v>
      </c>
      <c r="BY6" s="230">
        <v>4222</v>
      </c>
      <c r="BZ6" s="230">
        <v>4228</v>
      </c>
      <c r="CA6" s="228">
        <v>-7</v>
      </c>
      <c r="CB6" s="229">
        <v>-1.6000000000000001E-3</v>
      </c>
      <c r="CC6" s="230">
        <v>3829</v>
      </c>
      <c r="CD6" s="230">
        <v>3928</v>
      </c>
      <c r="CE6" s="228">
        <v>-99</v>
      </c>
      <c r="CF6" s="229">
        <v>-2.52E-2</v>
      </c>
      <c r="CG6" s="228">
        <v>345</v>
      </c>
      <c r="CH6" s="228">
        <v>254</v>
      </c>
      <c r="CI6" s="228">
        <v>90</v>
      </c>
      <c r="CJ6" s="229">
        <v>0.35560000000000003</v>
      </c>
      <c r="CK6" s="228">
        <v>48</v>
      </c>
      <c r="CL6" s="228">
        <v>46</v>
      </c>
      <c r="CM6" s="228">
        <v>2</v>
      </c>
      <c r="CN6" s="229">
        <v>4.0399999999999998E-2</v>
      </c>
      <c r="CO6" s="230">
        <v>1869</v>
      </c>
      <c r="CP6" s="230">
        <v>1825</v>
      </c>
      <c r="CQ6" s="228">
        <v>44</v>
      </c>
      <c r="CR6" s="229">
        <v>2.4199999999999999E-2</v>
      </c>
      <c r="CS6" s="230">
        <v>1708</v>
      </c>
      <c r="CT6" s="230">
        <v>1716</v>
      </c>
      <c r="CU6" s="228">
        <v>-8</v>
      </c>
      <c r="CV6" s="229">
        <v>-4.7000000000000002E-3</v>
      </c>
      <c r="CW6" s="230">
        <v>7798</v>
      </c>
      <c r="CX6" s="230">
        <v>7769</v>
      </c>
      <c r="CY6" s="228">
        <v>29</v>
      </c>
      <c r="CZ6" s="229">
        <v>3.8E-3</v>
      </c>
      <c r="DA6" s="228">
        <v>38.020000000000003</v>
      </c>
      <c r="DB6" s="228">
        <v>38.979999999999997</v>
      </c>
      <c r="DC6" s="228">
        <v>-0.96</v>
      </c>
      <c r="DD6" s="228">
        <v>-0.96</v>
      </c>
      <c r="DE6" s="228">
        <v>49.29</v>
      </c>
      <c r="DF6" s="228">
        <v>49.41</v>
      </c>
      <c r="DG6" s="228">
        <v>-11.27</v>
      </c>
      <c r="DH6" s="228">
        <v>-0.12</v>
      </c>
      <c r="DI6" s="228">
        <v>36.29</v>
      </c>
      <c r="DJ6" s="228">
        <v>36.68</v>
      </c>
      <c r="DK6" s="228">
        <v>-0.39</v>
      </c>
      <c r="DL6" s="228">
        <v>-0.39</v>
      </c>
      <c r="DM6" s="228">
        <v>40.33</v>
      </c>
      <c r="DN6" s="228">
        <v>41.06</v>
      </c>
      <c r="DO6" s="228">
        <v>-0.73</v>
      </c>
      <c r="DP6" s="228">
        <v>-0.73</v>
      </c>
      <c r="DQ6" s="228">
        <v>0.91</v>
      </c>
      <c r="DR6" s="228">
        <v>0.94</v>
      </c>
      <c r="DS6" s="228">
        <v>-0.03</v>
      </c>
      <c r="DT6" s="229">
        <v>-3.1899999999999998E-2</v>
      </c>
      <c r="DU6" s="231">
        <v>2300</v>
      </c>
      <c r="DV6" s="231">
        <v>2200</v>
      </c>
      <c r="DW6" s="228">
        <v>0.75</v>
      </c>
      <c r="DX6" s="228">
        <v>1.1100000000000001</v>
      </c>
      <c r="DY6" s="228">
        <v>-0.36</v>
      </c>
      <c r="DZ6" s="229">
        <v>-0.32429999999999998</v>
      </c>
      <c r="EA6" s="229">
        <v>9.3100000000000002E-2</v>
      </c>
      <c r="EB6" s="230">
        <v>1344150</v>
      </c>
      <c r="EC6" s="229">
        <v>-6.9999999999999999E-4</v>
      </c>
      <c r="ED6" s="229">
        <v>9.3100000000000002E-2</v>
      </c>
      <c r="EE6" s="228">
        <v>-1.38</v>
      </c>
      <c r="EF6" s="229">
        <v>-5.9999999999999995E-4</v>
      </c>
      <c r="EG6" s="230">
        <v>282064</v>
      </c>
      <c r="EH6" s="230">
        <v>283605</v>
      </c>
      <c r="EI6" s="229">
        <v>-5.4000000000000003E-3</v>
      </c>
      <c r="EJ6" s="229">
        <v>0.38729999999999998</v>
      </c>
      <c r="EK6" s="231">
        <v>1081.51</v>
      </c>
      <c r="EL6" s="228">
        <v>743.52</v>
      </c>
      <c r="EM6" s="228">
        <v>510.17</v>
      </c>
      <c r="EN6" s="228">
        <v>105.93</v>
      </c>
      <c r="EO6" s="231">
        <v>2335.21</v>
      </c>
      <c r="EP6" s="231">
        <v>7865.35</v>
      </c>
      <c r="EQ6" s="231">
        <v>-5530.14</v>
      </c>
      <c r="ER6" s="229">
        <v>-0.70309999999999995</v>
      </c>
      <c r="ES6" s="231">
        <v>1896.75</v>
      </c>
      <c r="ET6" s="231">
        <v>1601.54</v>
      </c>
      <c r="EU6" s="231">
        <v>4221.37</v>
      </c>
      <c r="EV6" s="231">
        <v>49117354</v>
      </c>
      <c r="EW6" s="231">
        <v>7719.66</v>
      </c>
      <c r="EX6" s="231">
        <v>7672.39</v>
      </c>
      <c r="EY6" s="228">
        <v>47.27</v>
      </c>
      <c r="EZ6" s="229">
        <v>6.1999999999999998E-3</v>
      </c>
      <c r="FA6" s="229">
        <v>0.70979999999999999</v>
      </c>
      <c r="FB6" s="227" t="s">
        <v>556</v>
      </c>
      <c r="FC6">
        <f t="shared" si="0"/>
        <v>393</v>
      </c>
    </row>
    <row r="7" spans="1:159" ht="17.25" hidden="1" thickBot="1" x14ac:dyDescent="0.3">
      <c r="A7" s="226">
        <v>46064</v>
      </c>
      <c r="B7" s="227" t="s">
        <v>161</v>
      </c>
      <c r="C7" s="227" t="s">
        <v>606</v>
      </c>
      <c r="D7" s="228">
        <v>600</v>
      </c>
      <c r="E7" s="228">
        <v>13</v>
      </c>
      <c r="F7" s="228">
        <v>997.6</v>
      </c>
      <c r="G7" s="228">
        <v>981.2</v>
      </c>
      <c r="H7" s="228">
        <v>16.399999999999999</v>
      </c>
      <c r="I7" s="229">
        <v>1.67E-2</v>
      </c>
      <c r="J7" s="228">
        <v>994.75</v>
      </c>
      <c r="K7" s="228">
        <v>978.3</v>
      </c>
      <c r="L7" s="228">
        <v>16.45</v>
      </c>
      <c r="M7" s="229">
        <v>1.6799999999999999E-2</v>
      </c>
      <c r="N7" s="228">
        <v>997.6</v>
      </c>
      <c r="O7" s="228">
        <v>981.2</v>
      </c>
      <c r="P7" s="228">
        <v>16.399999999999999</v>
      </c>
      <c r="Q7" s="229">
        <v>1.67E-2</v>
      </c>
      <c r="R7" s="231">
        <v>1002.85</v>
      </c>
      <c r="S7" s="228">
        <v>986.25</v>
      </c>
      <c r="T7" s="228">
        <v>16.600000000000001</v>
      </c>
      <c r="U7" s="229">
        <v>1.6799999999999999E-2</v>
      </c>
      <c r="V7" s="231">
        <v>1008.9</v>
      </c>
      <c r="W7" s="228">
        <v>993.35</v>
      </c>
      <c r="X7" s="228">
        <v>15.55</v>
      </c>
      <c r="Y7" s="229">
        <v>1.5699999999999999E-2</v>
      </c>
      <c r="Z7" s="228">
        <v>2.85</v>
      </c>
      <c r="AA7" s="228">
        <v>2.9</v>
      </c>
      <c r="AB7" s="228">
        <v>-0.05</v>
      </c>
      <c r="AC7" s="229">
        <v>2.8999999999999998E-3</v>
      </c>
      <c r="AD7" s="228">
        <v>2.85</v>
      </c>
      <c r="AE7" s="228">
        <v>2.9</v>
      </c>
      <c r="AF7" s="228">
        <v>-0.05</v>
      </c>
      <c r="AG7" s="229">
        <v>2.8999999999999998E-3</v>
      </c>
      <c r="AH7" s="228">
        <v>8.1</v>
      </c>
      <c r="AI7" s="228">
        <v>7.95</v>
      </c>
      <c r="AJ7" s="228">
        <v>0.15</v>
      </c>
      <c r="AK7" s="229">
        <v>8.0999999999999996E-3</v>
      </c>
      <c r="AL7" s="228">
        <v>14.15</v>
      </c>
      <c r="AM7" s="228">
        <v>15.05</v>
      </c>
      <c r="AN7" s="228">
        <v>-0.9</v>
      </c>
      <c r="AO7" s="229">
        <v>1.4200000000000001E-2</v>
      </c>
      <c r="AP7" s="228">
        <v>992.41</v>
      </c>
      <c r="AQ7" s="228">
        <v>996.78</v>
      </c>
      <c r="AR7" s="228">
        <v>0</v>
      </c>
      <c r="AS7" s="228">
        <v>294</v>
      </c>
      <c r="AT7" s="228">
        <v>284</v>
      </c>
      <c r="AU7" s="228">
        <v>11</v>
      </c>
      <c r="AV7" s="229">
        <v>3.8199999999999998E-2</v>
      </c>
      <c r="AW7" s="228">
        <v>275</v>
      </c>
      <c r="AX7" s="228">
        <v>263</v>
      </c>
      <c r="AY7" s="228">
        <v>12</v>
      </c>
      <c r="AZ7" s="229">
        <v>4.5199999999999997E-2</v>
      </c>
      <c r="BA7" s="228">
        <v>18</v>
      </c>
      <c r="BB7" s="228">
        <v>18</v>
      </c>
      <c r="BC7" s="228">
        <v>0</v>
      </c>
      <c r="BD7" s="229">
        <v>2.3599999999999999E-2</v>
      </c>
      <c r="BE7" s="228">
        <v>1</v>
      </c>
      <c r="BF7" s="228">
        <v>3</v>
      </c>
      <c r="BG7" s="228">
        <v>-1</v>
      </c>
      <c r="BH7" s="229">
        <v>-0.56820000000000004</v>
      </c>
      <c r="BI7" s="228">
        <v>860</v>
      </c>
      <c r="BJ7" s="228">
        <v>811</v>
      </c>
      <c r="BK7" s="228">
        <v>49</v>
      </c>
      <c r="BL7" s="229">
        <v>0.06</v>
      </c>
      <c r="BM7" s="228">
        <v>410</v>
      </c>
      <c r="BN7" s="228">
        <v>642</v>
      </c>
      <c r="BO7" s="228">
        <v>-233</v>
      </c>
      <c r="BP7" s="229">
        <v>-0.36220000000000002</v>
      </c>
      <c r="BQ7" s="230">
        <v>1564</v>
      </c>
      <c r="BR7" s="230">
        <v>1737</v>
      </c>
      <c r="BS7" s="228">
        <v>-173</v>
      </c>
      <c r="BT7" s="229">
        <v>-9.9699999999999997E-2</v>
      </c>
      <c r="BU7" s="230">
        <v>1704454</v>
      </c>
      <c r="BV7" s="230">
        <v>2315875</v>
      </c>
      <c r="BW7" s="230">
        <v>-611421</v>
      </c>
      <c r="BX7" s="229">
        <v>-0.26400000000000001</v>
      </c>
      <c r="BY7" s="230">
        <v>2241</v>
      </c>
      <c r="BZ7" s="230">
        <v>2233</v>
      </c>
      <c r="CA7" s="228">
        <v>8</v>
      </c>
      <c r="CB7" s="229">
        <v>3.3999999999999998E-3</v>
      </c>
      <c r="CC7" s="230">
        <v>2176</v>
      </c>
      <c r="CD7" s="230">
        <v>2168</v>
      </c>
      <c r="CE7" s="228">
        <v>9</v>
      </c>
      <c r="CF7" s="229">
        <v>4.0000000000000001E-3</v>
      </c>
      <c r="CG7" s="228">
        <v>51</v>
      </c>
      <c r="CH7" s="228">
        <v>52</v>
      </c>
      <c r="CI7" s="228">
        <v>-1</v>
      </c>
      <c r="CJ7" s="229">
        <v>-2.06E-2</v>
      </c>
      <c r="CK7" s="228">
        <v>13</v>
      </c>
      <c r="CL7" s="228">
        <v>13</v>
      </c>
      <c r="CM7" s="228">
        <v>0</v>
      </c>
      <c r="CN7" s="229">
        <v>0</v>
      </c>
      <c r="CO7" s="228">
        <v>955</v>
      </c>
      <c r="CP7" s="228">
        <v>951</v>
      </c>
      <c r="CQ7" s="228">
        <v>4</v>
      </c>
      <c r="CR7" s="229">
        <v>4.3E-3</v>
      </c>
      <c r="CS7" s="228">
        <v>820</v>
      </c>
      <c r="CT7" s="228">
        <v>828</v>
      </c>
      <c r="CU7" s="228">
        <v>-8</v>
      </c>
      <c r="CV7" s="229">
        <v>-9.7000000000000003E-3</v>
      </c>
      <c r="CW7" s="230">
        <v>4016</v>
      </c>
      <c r="CX7" s="230">
        <v>4012</v>
      </c>
      <c r="CY7" s="228">
        <v>4</v>
      </c>
      <c r="CZ7" s="229">
        <v>8.9999999999999998E-4</v>
      </c>
      <c r="DA7" s="228">
        <v>38.049999999999997</v>
      </c>
      <c r="DB7" s="228">
        <v>38.86</v>
      </c>
      <c r="DC7" s="228">
        <v>-0.81</v>
      </c>
      <c r="DD7" s="228">
        <v>-0.81</v>
      </c>
      <c r="DE7" s="228">
        <v>58.82</v>
      </c>
      <c r="DF7" s="228">
        <v>58.92</v>
      </c>
      <c r="DG7" s="228">
        <v>-20.77</v>
      </c>
      <c r="DH7" s="228">
        <v>-0.1</v>
      </c>
      <c r="DI7" s="228">
        <v>36.25</v>
      </c>
      <c r="DJ7" s="228">
        <v>37.56</v>
      </c>
      <c r="DK7" s="228">
        <v>-1.31</v>
      </c>
      <c r="DL7" s="228">
        <v>-1.31</v>
      </c>
      <c r="DM7" s="228">
        <v>41.84</v>
      </c>
      <c r="DN7" s="228">
        <v>40.51</v>
      </c>
      <c r="DO7" s="228">
        <v>1.33</v>
      </c>
      <c r="DP7" s="228">
        <v>1.33</v>
      </c>
      <c r="DQ7" s="228">
        <v>0.86</v>
      </c>
      <c r="DR7" s="228">
        <v>0.87</v>
      </c>
      <c r="DS7" s="228">
        <v>-0.01</v>
      </c>
      <c r="DT7" s="229">
        <v>-1.15E-2</v>
      </c>
      <c r="DU7" s="231">
        <v>1000</v>
      </c>
      <c r="DV7" s="228">
        <v>900</v>
      </c>
      <c r="DW7" s="228">
        <v>0.48</v>
      </c>
      <c r="DX7" s="228">
        <v>0.79</v>
      </c>
      <c r="DY7" s="228">
        <v>-0.31</v>
      </c>
      <c r="DZ7" s="229">
        <v>-0.39240000000000003</v>
      </c>
      <c r="EA7" s="229">
        <v>2.8799999999999999E-2</v>
      </c>
      <c r="EB7" s="230">
        <v>657600</v>
      </c>
      <c r="EC7" s="229">
        <v>5.3E-3</v>
      </c>
      <c r="ED7" s="229">
        <v>2.8799999999999999E-2</v>
      </c>
      <c r="EE7" s="228">
        <v>4.37</v>
      </c>
      <c r="EF7" s="229">
        <v>4.4000000000000003E-3</v>
      </c>
      <c r="EG7" s="230">
        <v>673302</v>
      </c>
      <c r="EH7" s="230">
        <v>506443</v>
      </c>
      <c r="EI7" s="229">
        <v>0.32950000000000002</v>
      </c>
      <c r="EJ7" s="229">
        <v>0.39500000000000002</v>
      </c>
      <c r="EK7" s="228">
        <v>892.65</v>
      </c>
      <c r="EL7" s="228">
        <v>385.67</v>
      </c>
      <c r="EM7" s="228">
        <v>293.05</v>
      </c>
      <c r="EN7" s="228">
        <v>55.48</v>
      </c>
      <c r="EO7" s="231">
        <v>1571.37</v>
      </c>
      <c r="EP7" s="231">
        <v>1720.54</v>
      </c>
      <c r="EQ7" s="228">
        <v>-149.16999999999999</v>
      </c>
      <c r="ER7" s="229">
        <v>-8.6699999999999999E-2</v>
      </c>
      <c r="ES7" s="228">
        <v>936.34</v>
      </c>
      <c r="ET7" s="228">
        <v>715.14</v>
      </c>
      <c r="EU7" s="231">
        <v>2241.4299999999998</v>
      </c>
      <c r="EV7" s="231">
        <v>92816927</v>
      </c>
      <c r="EW7" s="231">
        <v>3892.9</v>
      </c>
      <c r="EX7" s="231">
        <v>3843.9</v>
      </c>
      <c r="EY7" s="228">
        <v>49</v>
      </c>
      <c r="EZ7" s="229">
        <v>1.2699999999999999E-2</v>
      </c>
      <c r="FA7" s="229">
        <v>0.43369999999999997</v>
      </c>
      <c r="FB7" s="227" t="s">
        <v>555</v>
      </c>
      <c r="FC7">
        <f t="shared" si="0"/>
        <v>65</v>
      </c>
    </row>
    <row r="8" spans="1:159" ht="17.25" hidden="1" thickBot="1" x14ac:dyDescent="0.3">
      <c r="A8" s="226">
        <v>46064</v>
      </c>
      <c r="B8" s="227" t="s">
        <v>215</v>
      </c>
      <c r="C8" s="227" t="s">
        <v>160</v>
      </c>
      <c r="D8" s="228">
        <v>475</v>
      </c>
      <c r="E8" s="228">
        <v>13</v>
      </c>
      <c r="F8" s="231">
        <v>1555.8</v>
      </c>
      <c r="G8" s="231">
        <v>1559.4</v>
      </c>
      <c r="H8" s="228">
        <v>-3.6</v>
      </c>
      <c r="I8" s="229">
        <v>-2.3E-3</v>
      </c>
      <c r="J8" s="231">
        <v>1553.4</v>
      </c>
      <c r="K8" s="231">
        <v>1554.7</v>
      </c>
      <c r="L8" s="228">
        <v>-1.3</v>
      </c>
      <c r="M8" s="229">
        <v>-8.0000000000000004E-4</v>
      </c>
      <c r="N8" s="231">
        <v>1555.8</v>
      </c>
      <c r="O8" s="231">
        <v>1559.4</v>
      </c>
      <c r="P8" s="228">
        <v>-3.6</v>
      </c>
      <c r="Q8" s="229">
        <v>-2.3E-3</v>
      </c>
      <c r="R8" s="231">
        <v>1564.8</v>
      </c>
      <c r="S8" s="231">
        <v>1569.2</v>
      </c>
      <c r="T8" s="228">
        <v>-4.4000000000000004</v>
      </c>
      <c r="U8" s="229">
        <v>-2.8E-3</v>
      </c>
      <c r="V8" s="231">
        <v>1576.8</v>
      </c>
      <c r="W8" s="231">
        <v>1579.7</v>
      </c>
      <c r="X8" s="228">
        <v>-2.9</v>
      </c>
      <c r="Y8" s="229">
        <v>-1.8E-3</v>
      </c>
      <c r="Z8" s="228">
        <v>2.4</v>
      </c>
      <c r="AA8" s="228">
        <v>4.7</v>
      </c>
      <c r="AB8" s="228">
        <v>-2.2999999999999998</v>
      </c>
      <c r="AC8" s="229">
        <v>1.5E-3</v>
      </c>
      <c r="AD8" s="228">
        <v>2.4</v>
      </c>
      <c r="AE8" s="228">
        <v>4.7</v>
      </c>
      <c r="AF8" s="228">
        <v>-2.2999999999999998</v>
      </c>
      <c r="AG8" s="229">
        <v>1.5E-3</v>
      </c>
      <c r="AH8" s="228">
        <v>11.4</v>
      </c>
      <c r="AI8" s="228">
        <v>14.5</v>
      </c>
      <c r="AJ8" s="228">
        <v>-3.1</v>
      </c>
      <c r="AK8" s="229">
        <v>7.3000000000000001E-3</v>
      </c>
      <c r="AL8" s="228">
        <v>23.4</v>
      </c>
      <c r="AM8" s="228">
        <v>25</v>
      </c>
      <c r="AN8" s="228">
        <v>-1.6</v>
      </c>
      <c r="AO8" s="229">
        <v>1.5100000000000001E-2</v>
      </c>
      <c r="AP8" s="231">
        <v>1552.89</v>
      </c>
      <c r="AQ8" s="231">
        <v>1562.84</v>
      </c>
      <c r="AR8" s="228">
        <v>0</v>
      </c>
      <c r="AS8" s="228">
        <v>225</v>
      </c>
      <c r="AT8" s="228">
        <v>598</v>
      </c>
      <c r="AU8" s="228">
        <v>-373</v>
      </c>
      <c r="AV8" s="229">
        <v>-0.62319999999999998</v>
      </c>
      <c r="AW8" s="228">
        <v>204</v>
      </c>
      <c r="AX8" s="228">
        <v>556</v>
      </c>
      <c r="AY8" s="228">
        <v>-352</v>
      </c>
      <c r="AZ8" s="229">
        <v>-0.63270000000000004</v>
      </c>
      <c r="BA8" s="228">
        <v>20</v>
      </c>
      <c r="BB8" s="228">
        <v>39</v>
      </c>
      <c r="BC8" s="228">
        <v>-19</v>
      </c>
      <c r="BD8" s="229">
        <v>-0.48010000000000003</v>
      </c>
      <c r="BE8" s="228">
        <v>1</v>
      </c>
      <c r="BF8" s="228">
        <v>3</v>
      </c>
      <c r="BG8" s="228">
        <v>-2</v>
      </c>
      <c r="BH8" s="229">
        <v>-0.71109999999999995</v>
      </c>
      <c r="BI8" s="228">
        <v>965</v>
      </c>
      <c r="BJ8" s="230">
        <v>2063</v>
      </c>
      <c r="BK8" s="230">
        <v>-1098</v>
      </c>
      <c r="BL8" s="229">
        <v>-0.53220000000000001</v>
      </c>
      <c r="BM8" s="228">
        <v>877</v>
      </c>
      <c r="BN8" s="230">
        <v>2038</v>
      </c>
      <c r="BO8" s="230">
        <v>-1161</v>
      </c>
      <c r="BP8" s="229">
        <v>-0.56969999999999998</v>
      </c>
      <c r="BQ8" s="230">
        <v>2068</v>
      </c>
      <c r="BR8" s="230">
        <v>4700</v>
      </c>
      <c r="BS8" s="230">
        <v>-2632</v>
      </c>
      <c r="BT8" s="229">
        <v>-0.56010000000000004</v>
      </c>
      <c r="BU8" s="230">
        <v>1529414</v>
      </c>
      <c r="BV8" s="230">
        <v>1874785</v>
      </c>
      <c r="BW8" s="230">
        <v>-345371</v>
      </c>
      <c r="BX8" s="229">
        <v>-0.1842</v>
      </c>
      <c r="BY8" s="230">
        <v>3394</v>
      </c>
      <c r="BZ8" s="230">
        <v>3374</v>
      </c>
      <c r="CA8" s="228">
        <v>20</v>
      </c>
      <c r="CB8" s="229">
        <v>5.8999999999999999E-3</v>
      </c>
      <c r="CC8" s="230">
        <v>3247</v>
      </c>
      <c r="CD8" s="230">
        <v>3233</v>
      </c>
      <c r="CE8" s="228">
        <v>14</v>
      </c>
      <c r="CF8" s="229">
        <v>4.3E-3</v>
      </c>
      <c r="CG8" s="228">
        <v>126</v>
      </c>
      <c r="CH8" s="228">
        <v>120</v>
      </c>
      <c r="CI8" s="228">
        <v>6</v>
      </c>
      <c r="CJ8" s="229">
        <v>4.6100000000000002E-2</v>
      </c>
      <c r="CK8" s="228">
        <v>21</v>
      </c>
      <c r="CL8" s="228">
        <v>21</v>
      </c>
      <c r="CM8" s="228">
        <v>0</v>
      </c>
      <c r="CN8" s="229">
        <v>1.4200000000000001E-2</v>
      </c>
      <c r="CO8" s="230">
        <v>1517</v>
      </c>
      <c r="CP8" s="230">
        <v>1499</v>
      </c>
      <c r="CQ8" s="228">
        <v>17</v>
      </c>
      <c r="CR8" s="229">
        <v>1.1599999999999999E-2</v>
      </c>
      <c r="CS8" s="230">
        <v>1323</v>
      </c>
      <c r="CT8" s="230">
        <v>1302</v>
      </c>
      <c r="CU8" s="228">
        <v>21</v>
      </c>
      <c r="CV8" s="229">
        <v>1.5900000000000001E-2</v>
      </c>
      <c r="CW8" s="230">
        <v>6234</v>
      </c>
      <c r="CX8" s="230">
        <v>6176</v>
      </c>
      <c r="CY8" s="228">
        <v>58</v>
      </c>
      <c r="CZ8" s="229">
        <v>9.4000000000000004E-3</v>
      </c>
      <c r="DA8" s="228">
        <v>28.83</v>
      </c>
      <c r="DB8" s="228">
        <v>29.56</v>
      </c>
      <c r="DC8" s="228">
        <v>-0.73</v>
      </c>
      <c r="DD8" s="228">
        <v>-0.73</v>
      </c>
      <c r="DE8" s="228">
        <v>38.869999999999997</v>
      </c>
      <c r="DF8" s="228">
        <v>38.97</v>
      </c>
      <c r="DG8" s="228">
        <v>-10.039999999999999</v>
      </c>
      <c r="DH8" s="228">
        <v>-0.1</v>
      </c>
      <c r="DI8" s="228">
        <v>27.47</v>
      </c>
      <c r="DJ8" s="228">
        <v>27.65</v>
      </c>
      <c r="DK8" s="228">
        <v>-0.18</v>
      </c>
      <c r="DL8" s="228">
        <v>-0.18</v>
      </c>
      <c r="DM8" s="228">
        <v>30.31</v>
      </c>
      <c r="DN8" s="228">
        <v>31.5</v>
      </c>
      <c r="DO8" s="228">
        <v>-1.19</v>
      </c>
      <c r="DP8" s="228">
        <v>-1.19</v>
      </c>
      <c r="DQ8" s="228">
        <v>0.87</v>
      </c>
      <c r="DR8" s="228">
        <v>0.87</v>
      </c>
      <c r="DS8" s="228">
        <v>0</v>
      </c>
      <c r="DT8" s="229">
        <v>0</v>
      </c>
      <c r="DU8" s="231">
        <v>1600</v>
      </c>
      <c r="DV8" s="231">
        <v>1500</v>
      </c>
      <c r="DW8" s="228">
        <v>0.91</v>
      </c>
      <c r="DX8" s="228">
        <v>0.99</v>
      </c>
      <c r="DY8" s="228">
        <v>-0.08</v>
      </c>
      <c r="DZ8" s="229">
        <v>-8.0799999999999997E-2</v>
      </c>
      <c r="EA8" s="229">
        <v>4.3299999999999998E-2</v>
      </c>
      <c r="EB8" s="230">
        <v>906300</v>
      </c>
      <c r="EC8" s="229">
        <v>5.7999999999999996E-3</v>
      </c>
      <c r="ED8" s="229">
        <v>4.3299999999999998E-2</v>
      </c>
      <c r="EE8" s="228">
        <v>9.9499999999999993</v>
      </c>
      <c r="EF8" s="229">
        <v>6.4000000000000003E-3</v>
      </c>
      <c r="EG8" s="230">
        <v>870932</v>
      </c>
      <c r="EH8" s="230">
        <v>725237</v>
      </c>
      <c r="EI8" s="229">
        <v>0.2009</v>
      </c>
      <c r="EJ8" s="229">
        <v>0.56950000000000001</v>
      </c>
      <c r="EK8" s="231">
        <v>1003.53</v>
      </c>
      <c r="EL8" s="228">
        <v>850.29</v>
      </c>
      <c r="EM8" s="228">
        <v>225.19</v>
      </c>
      <c r="EN8" s="228">
        <v>88.68</v>
      </c>
      <c r="EO8" s="231">
        <v>2079.0100000000002</v>
      </c>
      <c r="EP8" s="231">
        <v>4706.58</v>
      </c>
      <c r="EQ8" s="231">
        <v>-2627.57</v>
      </c>
      <c r="ER8" s="229">
        <v>-0.55830000000000002</v>
      </c>
      <c r="ES8" s="231">
        <v>1516.07</v>
      </c>
      <c r="ET8" s="231">
        <v>1214.8699999999999</v>
      </c>
      <c r="EU8" s="231">
        <v>3395.26</v>
      </c>
      <c r="EV8" s="231">
        <v>84394936</v>
      </c>
      <c r="EW8" s="231">
        <v>6126.21</v>
      </c>
      <c r="EX8" s="231">
        <v>6074.99</v>
      </c>
      <c r="EY8" s="228">
        <v>51.22</v>
      </c>
      <c r="EZ8" s="229">
        <v>8.3999999999999995E-3</v>
      </c>
      <c r="FA8" s="229">
        <v>0.4748</v>
      </c>
      <c r="FB8" s="227" t="s">
        <v>567</v>
      </c>
      <c r="FC8">
        <f t="shared" si="0"/>
        <v>147</v>
      </c>
    </row>
    <row r="9" spans="1:159" ht="17.25" hidden="1" thickBot="1" x14ac:dyDescent="0.3">
      <c r="A9" s="226">
        <v>46064</v>
      </c>
      <c r="B9" s="227" t="s">
        <v>170</v>
      </c>
      <c r="C9" s="227" t="s">
        <v>497</v>
      </c>
      <c r="D9" s="228">
        <v>125</v>
      </c>
      <c r="E9" s="228">
        <v>13</v>
      </c>
      <c r="F9" s="231">
        <v>5851.5</v>
      </c>
      <c r="G9" s="231">
        <v>5771.5</v>
      </c>
      <c r="H9" s="228">
        <v>80</v>
      </c>
      <c r="I9" s="229">
        <v>1.3899999999999999E-2</v>
      </c>
      <c r="J9" s="231">
        <v>5890</v>
      </c>
      <c r="K9" s="231">
        <v>5811.5</v>
      </c>
      <c r="L9" s="228">
        <v>78.5</v>
      </c>
      <c r="M9" s="229">
        <v>1.35E-2</v>
      </c>
      <c r="N9" s="231">
        <v>5851.5</v>
      </c>
      <c r="O9" s="231">
        <v>5771.5</v>
      </c>
      <c r="P9" s="228">
        <v>80</v>
      </c>
      <c r="Q9" s="229">
        <v>1.3899999999999999E-2</v>
      </c>
      <c r="R9" s="231">
        <v>5875</v>
      </c>
      <c r="S9" s="231">
        <v>5790.5</v>
      </c>
      <c r="T9" s="228">
        <v>84.5</v>
      </c>
      <c r="U9" s="229">
        <v>1.46E-2</v>
      </c>
      <c r="V9" s="231">
        <v>5740</v>
      </c>
      <c r="W9" s="231">
        <v>5740</v>
      </c>
      <c r="X9" s="228">
        <v>0</v>
      </c>
      <c r="Y9" s="229">
        <v>0</v>
      </c>
      <c r="Z9" s="228">
        <v>-38.5</v>
      </c>
      <c r="AA9" s="228">
        <v>-40</v>
      </c>
      <c r="AB9" s="228">
        <v>1.5</v>
      </c>
      <c r="AC9" s="229">
        <v>-6.4999999999999997E-3</v>
      </c>
      <c r="AD9" s="228">
        <v>-38.5</v>
      </c>
      <c r="AE9" s="228">
        <v>-40</v>
      </c>
      <c r="AF9" s="228">
        <v>1.5</v>
      </c>
      <c r="AG9" s="229">
        <v>-6.4999999999999997E-3</v>
      </c>
      <c r="AH9" s="228">
        <v>-15</v>
      </c>
      <c r="AI9" s="228">
        <v>-21</v>
      </c>
      <c r="AJ9" s="228">
        <v>6</v>
      </c>
      <c r="AK9" s="229">
        <v>-2.5000000000000001E-3</v>
      </c>
      <c r="AL9" s="228">
        <v>-150</v>
      </c>
      <c r="AM9" s="228">
        <v>-71.5</v>
      </c>
      <c r="AN9" s="228">
        <v>-78.5</v>
      </c>
      <c r="AO9" s="229">
        <v>-2.5499999999999998E-2</v>
      </c>
      <c r="AP9" s="231">
        <v>5826.29</v>
      </c>
      <c r="AQ9" s="231">
        <v>5827.13</v>
      </c>
      <c r="AR9" s="228">
        <v>0</v>
      </c>
      <c r="AS9" s="228">
        <v>141</v>
      </c>
      <c r="AT9" s="228">
        <v>77</v>
      </c>
      <c r="AU9" s="228">
        <v>64</v>
      </c>
      <c r="AV9" s="229">
        <v>0.82809999999999995</v>
      </c>
      <c r="AW9" s="228">
        <v>136</v>
      </c>
      <c r="AX9" s="228">
        <v>74</v>
      </c>
      <c r="AY9" s="228">
        <v>62</v>
      </c>
      <c r="AZ9" s="229">
        <v>0.83350000000000002</v>
      </c>
      <c r="BA9" s="228">
        <v>5</v>
      </c>
      <c r="BB9" s="228">
        <v>3</v>
      </c>
      <c r="BC9" s="228">
        <v>2</v>
      </c>
      <c r="BD9" s="229">
        <v>0.68420000000000003</v>
      </c>
      <c r="BE9" s="228">
        <v>0</v>
      </c>
      <c r="BF9" s="228">
        <v>0</v>
      </c>
      <c r="BG9" s="228">
        <v>0</v>
      </c>
      <c r="BH9" s="229">
        <v>0</v>
      </c>
      <c r="BI9" s="228">
        <v>425</v>
      </c>
      <c r="BJ9" s="228">
        <v>139</v>
      </c>
      <c r="BK9" s="228">
        <v>287</v>
      </c>
      <c r="BL9" s="229">
        <v>2.0653999999999999</v>
      </c>
      <c r="BM9" s="228">
        <v>196</v>
      </c>
      <c r="BN9" s="228">
        <v>105</v>
      </c>
      <c r="BO9" s="228">
        <v>92</v>
      </c>
      <c r="BP9" s="229">
        <v>0.87680000000000002</v>
      </c>
      <c r="BQ9" s="228">
        <v>762</v>
      </c>
      <c r="BR9" s="228">
        <v>320</v>
      </c>
      <c r="BS9" s="228">
        <v>442</v>
      </c>
      <c r="BT9" s="229">
        <v>1.38</v>
      </c>
      <c r="BU9" s="230">
        <v>80390</v>
      </c>
      <c r="BV9" s="230">
        <v>84833</v>
      </c>
      <c r="BW9" s="230">
        <v>-4443</v>
      </c>
      <c r="BX9" s="229">
        <v>-5.2400000000000002E-2</v>
      </c>
      <c r="BY9" s="228">
        <v>767</v>
      </c>
      <c r="BZ9" s="228">
        <v>747</v>
      </c>
      <c r="CA9" s="228">
        <v>20</v>
      </c>
      <c r="CB9" s="229">
        <v>2.64E-2</v>
      </c>
      <c r="CC9" s="228">
        <v>762</v>
      </c>
      <c r="CD9" s="228">
        <v>743</v>
      </c>
      <c r="CE9" s="228">
        <v>19</v>
      </c>
      <c r="CF9" s="229">
        <v>2.58E-2</v>
      </c>
      <c r="CG9" s="228">
        <v>5</v>
      </c>
      <c r="CH9" s="228">
        <v>4</v>
      </c>
      <c r="CI9" s="228">
        <v>1</v>
      </c>
      <c r="CJ9" s="229">
        <v>0.14810000000000001</v>
      </c>
      <c r="CK9" s="228">
        <v>0</v>
      </c>
      <c r="CL9" s="228">
        <v>0</v>
      </c>
      <c r="CM9" s="228">
        <v>0</v>
      </c>
      <c r="CN9" s="229">
        <v>0</v>
      </c>
      <c r="CO9" s="228">
        <v>142</v>
      </c>
      <c r="CP9" s="228">
        <v>102</v>
      </c>
      <c r="CQ9" s="228">
        <v>40</v>
      </c>
      <c r="CR9" s="229">
        <v>0.39019999999999999</v>
      </c>
      <c r="CS9" s="228">
        <v>107</v>
      </c>
      <c r="CT9" s="228">
        <v>99</v>
      </c>
      <c r="CU9" s="228">
        <v>8</v>
      </c>
      <c r="CV9" s="229">
        <v>7.8700000000000006E-2</v>
      </c>
      <c r="CW9" s="230">
        <v>1016</v>
      </c>
      <c r="CX9" s="228">
        <v>949</v>
      </c>
      <c r="CY9" s="228">
        <v>67</v>
      </c>
      <c r="CZ9" s="229">
        <v>7.0999999999999994E-2</v>
      </c>
      <c r="DA9" s="228">
        <v>37.299999999999997</v>
      </c>
      <c r="DB9" s="228">
        <v>35.479999999999997</v>
      </c>
      <c r="DC9" s="228">
        <v>1.82</v>
      </c>
      <c r="DD9" s="228">
        <v>1.82</v>
      </c>
      <c r="DE9" s="228">
        <v>25.53</v>
      </c>
      <c r="DF9" s="228">
        <v>25.52</v>
      </c>
      <c r="DG9" s="228">
        <v>11.77</v>
      </c>
      <c r="DH9" s="228">
        <v>0.01</v>
      </c>
      <c r="DI9" s="228">
        <v>35.58</v>
      </c>
      <c r="DJ9" s="228">
        <v>32.520000000000003</v>
      </c>
      <c r="DK9" s="228">
        <v>3.06</v>
      </c>
      <c r="DL9" s="228">
        <v>3.06</v>
      </c>
      <c r="DM9" s="228">
        <v>41.03</v>
      </c>
      <c r="DN9" s="228">
        <v>39.42</v>
      </c>
      <c r="DO9" s="228">
        <v>1.61</v>
      </c>
      <c r="DP9" s="228">
        <v>1.61</v>
      </c>
      <c r="DQ9" s="228">
        <v>0.76</v>
      </c>
      <c r="DR9" s="228">
        <v>0.98</v>
      </c>
      <c r="DS9" s="228">
        <v>-0.22</v>
      </c>
      <c r="DT9" s="229">
        <v>-0.22450000000000001</v>
      </c>
      <c r="DU9" s="231">
        <v>6000</v>
      </c>
      <c r="DV9" s="231">
        <v>5300</v>
      </c>
      <c r="DW9" s="228">
        <v>0.46</v>
      </c>
      <c r="DX9" s="228">
        <v>0.75</v>
      </c>
      <c r="DY9" s="228">
        <v>-0.28999999999999998</v>
      </c>
      <c r="DZ9" s="229">
        <v>-0.38669999999999999</v>
      </c>
      <c r="EA9" s="229">
        <v>6.0000000000000001E-3</v>
      </c>
      <c r="EB9" s="230">
        <v>6875</v>
      </c>
      <c r="EC9" s="229">
        <v>4.0000000000000001E-3</v>
      </c>
      <c r="ED9" s="229">
        <v>6.0000000000000001E-3</v>
      </c>
      <c r="EE9" s="228">
        <v>0.84</v>
      </c>
      <c r="EF9" s="229">
        <v>1E-4</v>
      </c>
      <c r="EG9" s="230">
        <v>27632</v>
      </c>
      <c r="EH9" s="230">
        <v>50045</v>
      </c>
      <c r="EI9" s="229">
        <v>-0.44790000000000002</v>
      </c>
      <c r="EJ9" s="229">
        <v>0.34370000000000001</v>
      </c>
      <c r="EK9" s="228">
        <v>440.36</v>
      </c>
      <c r="EL9" s="228">
        <v>176.63</v>
      </c>
      <c r="EM9" s="228">
        <v>140.19999999999999</v>
      </c>
      <c r="EN9" s="228">
        <v>11.58</v>
      </c>
      <c r="EO9" s="228">
        <v>757.19</v>
      </c>
      <c r="EP9" s="228">
        <v>310.29000000000002</v>
      </c>
      <c r="EQ9" s="228">
        <v>446.9</v>
      </c>
      <c r="ER9" s="229">
        <v>1.4402999999999999</v>
      </c>
      <c r="ES9" s="228">
        <v>144.56</v>
      </c>
      <c r="ET9" s="228">
        <v>99.27</v>
      </c>
      <c r="EU9" s="228">
        <v>766.93</v>
      </c>
      <c r="EV9" s="231">
        <v>7334235</v>
      </c>
      <c r="EW9" s="231">
        <v>1010.76</v>
      </c>
      <c r="EX9" s="228">
        <v>931.61</v>
      </c>
      <c r="EY9" s="228">
        <v>79.150000000000006</v>
      </c>
      <c r="EZ9" s="229">
        <v>8.5000000000000006E-2</v>
      </c>
      <c r="FA9" s="229">
        <v>0.23669999999999999</v>
      </c>
      <c r="FB9" s="227" t="s">
        <v>555</v>
      </c>
      <c r="FC9">
        <f t="shared" si="0"/>
        <v>5</v>
      </c>
    </row>
    <row r="10" spans="1:159" ht="17.25" hidden="1" thickBot="1" x14ac:dyDescent="0.3">
      <c r="A10" s="226">
        <v>46064</v>
      </c>
      <c r="B10" s="227" t="s">
        <v>184</v>
      </c>
      <c r="C10" s="227" t="s">
        <v>680</v>
      </c>
      <c r="D10" s="228">
        <v>100</v>
      </c>
      <c r="E10" s="228">
        <v>13</v>
      </c>
      <c r="F10" s="231">
        <v>7643.5</v>
      </c>
      <c r="G10" s="231">
        <v>7453</v>
      </c>
      <c r="H10" s="228">
        <v>190.5</v>
      </c>
      <c r="I10" s="229">
        <v>2.5600000000000001E-2</v>
      </c>
      <c r="J10" s="231">
        <v>7696</v>
      </c>
      <c r="K10" s="231">
        <v>7510.5</v>
      </c>
      <c r="L10" s="228">
        <v>185.5</v>
      </c>
      <c r="M10" s="229">
        <v>2.47E-2</v>
      </c>
      <c r="N10" s="231">
        <v>7643.5</v>
      </c>
      <c r="O10" s="231">
        <v>7453</v>
      </c>
      <c r="P10" s="228">
        <v>190.5</v>
      </c>
      <c r="Q10" s="229">
        <v>2.5600000000000001E-2</v>
      </c>
      <c r="R10" s="231">
        <v>7525.5</v>
      </c>
      <c r="S10" s="231">
        <v>7345.5</v>
      </c>
      <c r="T10" s="228">
        <v>180</v>
      </c>
      <c r="U10" s="229">
        <v>2.4500000000000001E-2</v>
      </c>
      <c r="V10" s="231">
        <v>7440</v>
      </c>
      <c r="W10" s="231">
        <v>7272</v>
      </c>
      <c r="X10" s="228">
        <v>168</v>
      </c>
      <c r="Y10" s="229">
        <v>2.3099999999999999E-2</v>
      </c>
      <c r="Z10" s="228">
        <v>-52.5</v>
      </c>
      <c r="AA10" s="228">
        <v>-57.5</v>
      </c>
      <c r="AB10" s="228">
        <v>5</v>
      </c>
      <c r="AC10" s="229">
        <v>-6.7999999999999996E-3</v>
      </c>
      <c r="AD10" s="228">
        <v>-52.5</v>
      </c>
      <c r="AE10" s="228">
        <v>-57.5</v>
      </c>
      <c r="AF10" s="228">
        <v>5</v>
      </c>
      <c r="AG10" s="229">
        <v>-6.7999999999999996E-3</v>
      </c>
      <c r="AH10" s="228">
        <v>-170.5</v>
      </c>
      <c r="AI10" s="228">
        <v>-165</v>
      </c>
      <c r="AJ10" s="228">
        <v>-5.5</v>
      </c>
      <c r="AK10" s="229">
        <v>-2.2200000000000001E-2</v>
      </c>
      <c r="AL10" s="228">
        <v>-256</v>
      </c>
      <c r="AM10" s="228">
        <v>-238.5</v>
      </c>
      <c r="AN10" s="228">
        <v>-17.5</v>
      </c>
      <c r="AO10" s="229">
        <v>-3.3300000000000003E-2</v>
      </c>
      <c r="AP10" s="231">
        <v>7550.05</v>
      </c>
      <c r="AQ10" s="231">
        <v>7446.99</v>
      </c>
      <c r="AR10" s="228">
        <v>0</v>
      </c>
      <c r="AS10" s="228">
        <v>419</v>
      </c>
      <c r="AT10" s="230">
        <v>1150</v>
      </c>
      <c r="AU10" s="228">
        <v>-731</v>
      </c>
      <c r="AV10" s="229">
        <v>-0.63570000000000004</v>
      </c>
      <c r="AW10" s="228">
        <v>360</v>
      </c>
      <c r="AX10" s="230">
        <v>1037</v>
      </c>
      <c r="AY10" s="228">
        <v>-677</v>
      </c>
      <c r="AZ10" s="229">
        <v>-0.65300000000000002</v>
      </c>
      <c r="BA10" s="228">
        <v>57</v>
      </c>
      <c r="BB10" s="228">
        <v>106</v>
      </c>
      <c r="BC10" s="228">
        <v>-50</v>
      </c>
      <c r="BD10" s="229">
        <v>-0.46650000000000003</v>
      </c>
      <c r="BE10" s="228">
        <v>2</v>
      </c>
      <c r="BF10" s="228">
        <v>7</v>
      </c>
      <c r="BG10" s="228">
        <v>-4</v>
      </c>
      <c r="BH10" s="229">
        <v>-0.64439999999999997</v>
      </c>
      <c r="BI10" s="230">
        <v>2784</v>
      </c>
      <c r="BJ10" s="230">
        <v>7622</v>
      </c>
      <c r="BK10" s="230">
        <v>-4838</v>
      </c>
      <c r="BL10" s="229">
        <v>-0.63470000000000004</v>
      </c>
      <c r="BM10" s="230">
        <v>1853</v>
      </c>
      <c r="BN10" s="230">
        <v>3610</v>
      </c>
      <c r="BO10" s="230">
        <v>-1756</v>
      </c>
      <c r="BP10" s="229">
        <v>-0.48659999999999998</v>
      </c>
      <c r="BQ10" s="230">
        <v>5057</v>
      </c>
      <c r="BR10" s="230">
        <v>12383</v>
      </c>
      <c r="BS10" s="230">
        <v>-7326</v>
      </c>
      <c r="BT10" s="229">
        <v>-0.59160000000000001</v>
      </c>
      <c r="BU10" s="230">
        <v>582957</v>
      </c>
      <c r="BV10" s="230">
        <v>1723988</v>
      </c>
      <c r="BW10" s="230">
        <v>-1141031</v>
      </c>
      <c r="BX10" s="229">
        <v>-0.66190000000000004</v>
      </c>
      <c r="BY10" s="228">
        <v>903</v>
      </c>
      <c r="BZ10" s="228">
        <v>865</v>
      </c>
      <c r="CA10" s="228">
        <v>37</v>
      </c>
      <c r="CB10" s="229">
        <v>4.2999999999999997E-2</v>
      </c>
      <c r="CC10" s="228">
        <v>809</v>
      </c>
      <c r="CD10" s="228">
        <v>785</v>
      </c>
      <c r="CE10" s="228">
        <v>25</v>
      </c>
      <c r="CF10" s="229">
        <v>3.1300000000000001E-2</v>
      </c>
      <c r="CG10" s="228">
        <v>85</v>
      </c>
      <c r="CH10" s="228">
        <v>73</v>
      </c>
      <c r="CI10" s="228">
        <v>13</v>
      </c>
      <c r="CJ10" s="229">
        <v>0.17460000000000001</v>
      </c>
      <c r="CK10" s="228">
        <v>8</v>
      </c>
      <c r="CL10" s="228">
        <v>8</v>
      </c>
      <c r="CM10" s="228">
        <v>0</v>
      </c>
      <c r="CN10" s="229">
        <v>0</v>
      </c>
      <c r="CO10" s="228">
        <v>712</v>
      </c>
      <c r="CP10" s="228">
        <v>771</v>
      </c>
      <c r="CQ10" s="228">
        <v>-59</v>
      </c>
      <c r="CR10" s="229">
        <v>-7.7100000000000002E-2</v>
      </c>
      <c r="CS10" s="228">
        <v>791</v>
      </c>
      <c r="CT10" s="228">
        <v>626</v>
      </c>
      <c r="CU10" s="228">
        <v>165</v>
      </c>
      <c r="CV10" s="229">
        <v>0.26390000000000002</v>
      </c>
      <c r="CW10" s="230">
        <v>2406</v>
      </c>
      <c r="CX10" s="230">
        <v>2263</v>
      </c>
      <c r="CY10" s="228">
        <v>143</v>
      </c>
      <c r="CZ10" s="229">
        <v>6.3200000000000006E-2</v>
      </c>
      <c r="DA10" s="228">
        <v>43.25</v>
      </c>
      <c r="DB10" s="228">
        <v>44.73</v>
      </c>
      <c r="DC10" s="228">
        <v>-1.48</v>
      </c>
      <c r="DD10" s="228">
        <v>-1.48</v>
      </c>
      <c r="DE10" s="228">
        <v>51.91</v>
      </c>
      <c r="DF10" s="228">
        <v>51.94</v>
      </c>
      <c r="DG10" s="228">
        <v>-8.66</v>
      </c>
      <c r="DH10" s="228">
        <v>-0.03</v>
      </c>
      <c r="DI10" s="228">
        <v>38.79</v>
      </c>
      <c r="DJ10" s="228">
        <v>42.09</v>
      </c>
      <c r="DK10" s="228">
        <v>-3.3</v>
      </c>
      <c r="DL10" s="228">
        <v>-3.3</v>
      </c>
      <c r="DM10" s="228">
        <v>49.96</v>
      </c>
      <c r="DN10" s="228">
        <v>50.31</v>
      </c>
      <c r="DO10" s="228">
        <v>-0.35</v>
      </c>
      <c r="DP10" s="228">
        <v>-0.35</v>
      </c>
      <c r="DQ10" s="228">
        <v>1.1100000000000001</v>
      </c>
      <c r="DR10" s="228">
        <v>0.81</v>
      </c>
      <c r="DS10" s="228">
        <v>0.3</v>
      </c>
      <c r="DT10" s="229">
        <v>0.37040000000000001</v>
      </c>
      <c r="DU10" s="231">
        <v>8000</v>
      </c>
      <c r="DV10" s="231">
        <v>7000</v>
      </c>
      <c r="DW10" s="228">
        <v>0.67</v>
      </c>
      <c r="DX10" s="228">
        <v>0.47</v>
      </c>
      <c r="DY10" s="228">
        <v>0.2</v>
      </c>
      <c r="DZ10" s="229">
        <v>0.42549999999999999</v>
      </c>
      <c r="EA10" s="229">
        <v>0.10349999999999999</v>
      </c>
      <c r="EB10" s="230">
        <v>105600</v>
      </c>
      <c r="EC10" s="229">
        <v>-1.54E-2</v>
      </c>
      <c r="ED10" s="229">
        <v>0.10349999999999999</v>
      </c>
      <c r="EE10" s="228">
        <v>-103.06</v>
      </c>
      <c r="EF10" s="229">
        <v>-1.37E-2</v>
      </c>
      <c r="EG10" s="230">
        <v>142807</v>
      </c>
      <c r="EH10" s="230">
        <v>456958</v>
      </c>
      <c r="EI10" s="229">
        <v>-0.6875</v>
      </c>
      <c r="EJ10" s="229">
        <v>0.245</v>
      </c>
      <c r="EK10" s="231">
        <v>2889.05</v>
      </c>
      <c r="EL10" s="231">
        <v>1701.82</v>
      </c>
      <c r="EM10" s="228">
        <v>413.15</v>
      </c>
      <c r="EN10" s="228">
        <v>76.11</v>
      </c>
      <c r="EO10" s="231">
        <v>5004.0200000000004</v>
      </c>
      <c r="EP10" s="231">
        <v>12143.95</v>
      </c>
      <c r="EQ10" s="231">
        <v>-7139.94</v>
      </c>
      <c r="ER10" s="229">
        <v>-0.58789999999999998</v>
      </c>
      <c r="ES10" s="228">
        <v>678.26</v>
      </c>
      <c r="ET10" s="228">
        <v>706.42</v>
      </c>
      <c r="EU10" s="228">
        <v>901.17</v>
      </c>
      <c r="EV10" s="231">
        <v>3257355</v>
      </c>
      <c r="EW10" s="231">
        <v>2285.85</v>
      </c>
      <c r="EX10" s="231">
        <v>2126.0300000000002</v>
      </c>
      <c r="EY10" s="228">
        <v>159.82</v>
      </c>
      <c r="EZ10" s="229">
        <v>7.5200000000000003E-2</v>
      </c>
      <c r="FA10" s="229">
        <v>0.96619999999999995</v>
      </c>
      <c r="FB10" s="227" t="s">
        <v>555</v>
      </c>
      <c r="FC10">
        <f t="shared" si="0"/>
        <v>94</v>
      </c>
    </row>
    <row r="11" spans="1:159" ht="17.25" hidden="1" thickBot="1" x14ac:dyDescent="0.3">
      <c r="A11" s="226">
        <v>46064</v>
      </c>
      <c r="B11" s="227" t="s">
        <v>157</v>
      </c>
      <c r="C11" s="227" t="s">
        <v>164</v>
      </c>
      <c r="D11" s="228">
        <v>1050</v>
      </c>
      <c r="E11" s="228">
        <v>13</v>
      </c>
      <c r="F11" s="228">
        <v>541.54999999999995</v>
      </c>
      <c r="G11" s="228">
        <v>539.9</v>
      </c>
      <c r="H11" s="228">
        <v>1.65</v>
      </c>
      <c r="I11" s="229">
        <v>3.0999999999999999E-3</v>
      </c>
      <c r="J11" s="228">
        <v>541.25</v>
      </c>
      <c r="K11" s="228">
        <v>538.5</v>
      </c>
      <c r="L11" s="228">
        <v>2.75</v>
      </c>
      <c r="M11" s="229">
        <v>5.1000000000000004E-3</v>
      </c>
      <c r="N11" s="228">
        <v>541.54999999999995</v>
      </c>
      <c r="O11" s="228">
        <v>539.9</v>
      </c>
      <c r="P11" s="228">
        <v>1.65</v>
      </c>
      <c r="Q11" s="229">
        <v>3.0999999999999999E-3</v>
      </c>
      <c r="R11" s="228">
        <v>543.95000000000005</v>
      </c>
      <c r="S11" s="228">
        <v>542.1</v>
      </c>
      <c r="T11" s="228">
        <v>1.85</v>
      </c>
      <c r="U11" s="229">
        <v>3.3999999999999998E-3</v>
      </c>
      <c r="V11" s="228">
        <v>543.54999999999995</v>
      </c>
      <c r="W11" s="228">
        <v>542.4</v>
      </c>
      <c r="X11" s="228">
        <v>1.1499999999999999</v>
      </c>
      <c r="Y11" s="229">
        <v>2.0999999999999999E-3</v>
      </c>
      <c r="Z11" s="228">
        <v>0.3</v>
      </c>
      <c r="AA11" s="228">
        <v>1.4</v>
      </c>
      <c r="AB11" s="228">
        <v>-1.1000000000000001</v>
      </c>
      <c r="AC11" s="229">
        <v>5.9999999999999995E-4</v>
      </c>
      <c r="AD11" s="228">
        <v>0.3</v>
      </c>
      <c r="AE11" s="228">
        <v>1.4</v>
      </c>
      <c r="AF11" s="228">
        <v>-1.1000000000000001</v>
      </c>
      <c r="AG11" s="229">
        <v>5.9999999999999995E-4</v>
      </c>
      <c r="AH11" s="228">
        <v>2.7</v>
      </c>
      <c r="AI11" s="228">
        <v>3.6</v>
      </c>
      <c r="AJ11" s="228">
        <v>-0.9</v>
      </c>
      <c r="AK11" s="229">
        <v>5.0000000000000001E-3</v>
      </c>
      <c r="AL11" s="228">
        <v>2.2999999999999998</v>
      </c>
      <c r="AM11" s="228">
        <v>3.9</v>
      </c>
      <c r="AN11" s="228">
        <v>-1.6</v>
      </c>
      <c r="AO11" s="229">
        <v>4.1999999999999997E-3</v>
      </c>
      <c r="AP11" s="228">
        <v>539.55999999999995</v>
      </c>
      <c r="AQ11" s="228">
        <v>542.14</v>
      </c>
      <c r="AR11" s="228">
        <v>0</v>
      </c>
      <c r="AS11" s="228">
        <v>142</v>
      </c>
      <c r="AT11" s="228">
        <v>271</v>
      </c>
      <c r="AU11" s="228">
        <v>-129</v>
      </c>
      <c r="AV11" s="229">
        <v>-0.4773</v>
      </c>
      <c r="AW11" s="228">
        <v>129</v>
      </c>
      <c r="AX11" s="228">
        <v>242</v>
      </c>
      <c r="AY11" s="228">
        <v>-113</v>
      </c>
      <c r="AZ11" s="229">
        <v>-0.46810000000000002</v>
      </c>
      <c r="BA11" s="228">
        <v>11</v>
      </c>
      <c r="BB11" s="228">
        <v>21</v>
      </c>
      <c r="BC11" s="228">
        <v>-11</v>
      </c>
      <c r="BD11" s="229">
        <v>-0.50129999999999997</v>
      </c>
      <c r="BE11" s="228">
        <v>2</v>
      </c>
      <c r="BF11" s="228">
        <v>8</v>
      </c>
      <c r="BG11" s="228">
        <v>-5</v>
      </c>
      <c r="BH11" s="229">
        <v>-0.70679999999999998</v>
      </c>
      <c r="BI11" s="228">
        <v>379</v>
      </c>
      <c r="BJ11" s="228">
        <v>770</v>
      </c>
      <c r="BK11" s="228">
        <v>-391</v>
      </c>
      <c r="BL11" s="229">
        <v>-0.5081</v>
      </c>
      <c r="BM11" s="228">
        <v>148</v>
      </c>
      <c r="BN11" s="228">
        <v>502</v>
      </c>
      <c r="BO11" s="228">
        <v>-355</v>
      </c>
      <c r="BP11" s="229">
        <v>-0.70620000000000005</v>
      </c>
      <c r="BQ11" s="228">
        <v>668</v>
      </c>
      <c r="BR11" s="230">
        <v>1543</v>
      </c>
      <c r="BS11" s="228">
        <v>-875</v>
      </c>
      <c r="BT11" s="229">
        <v>-0.56720000000000004</v>
      </c>
      <c r="BU11" s="230">
        <v>1113654</v>
      </c>
      <c r="BV11" s="230">
        <v>1631163</v>
      </c>
      <c r="BW11" s="230">
        <v>-517509</v>
      </c>
      <c r="BX11" s="229">
        <v>-0.31730000000000003</v>
      </c>
      <c r="BY11" s="230">
        <v>2609</v>
      </c>
      <c r="BZ11" s="230">
        <v>2607</v>
      </c>
      <c r="CA11" s="228">
        <v>1</v>
      </c>
      <c r="CB11" s="229">
        <v>5.0000000000000001E-4</v>
      </c>
      <c r="CC11" s="230">
        <v>2532</v>
      </c>
      <c r="CD11" s="230">
        <v>2535</v>
      </c>
      <c r="CE11" s="228">
        <v>-3</v>
      </c>
      <c r="CF11" s="229">
        <v>-1.1999999999999999E-3</v>
      </c>
      <c r="CG11" s="228">
        <v>64</v>
      </c>
      <c r="CH11" s="228">
        <v>60</v>
      </c>
      <c r="CI11" s="228">
        <v>4</v>
      </c>
      <c r="CJ11" s="229">
        <v>5.9799999999999999E-2</v>
      </c>
      <c r="CK11" s="228">
        <v>13</v>
      </c>
      <c r="CL11" s="228">
        <v>12</v>
      </c>
      <c r="CM11" s="228">
        <v>1</v>
      </c>
      <c r="CN11" s="229">
        <v>6.54E-2</v>
      </c>
      <c r="CO11" s="228">
        <v>747</v>
      </c>
      <c r="CP11" s="228">
        <v>747</v>
      </c>
      <c r="CQ11" s="228">
        <v>0</v>
      </c>
      <c r="CR11" s="229">
        <v>-1E-4</v>
      </c>
      <c r="CS11" s="228">
        <v>564</v>
      </c>
      <c r="CT11" s="228">
        <v>561</v>
      </c>
      <c r="CU11" s="228">
        <v>3</v>
      </c>
      <c r="CV11" s="229">
        <v>5.5999999999999999E-3</v>
      </c>
      <c r="CW11" s="230">
        <v>3920</v>
      </c>
      <c r="CX11" s="230">
        <v>3915</v>
      </c>
      <c r="CY11" s="228">
        <v>4</v>
      </c>
      <c r="CZ11" s="229">
        <v>1.1000000000000001E-3</v>
      </c>
      <c r="DA11" s="228">
        <v>24.35</v>
      </c>
      <c r="DB11" s="228">
        <v>25.88</v>
      </c>
      <c r="DC11" s="228">
        <v>-1.53</v>
      </c>
      <c r="DD11" s="228">
        <v>-1.53</v>
      </c>
      <c r="DE11" s="228">
        <v>32.74</v>
      </c>
      <c r="DF11" s="228">
        <v>32.82</v>
      </c>
      <c r="DG11" s="228">
        <v>-8.39</v>
      </c>
      <c r="DH11" s="228">
        <v>-0.08</v>
      </c>
      <c r="DI11" s="228">
        <v>23.87</v>
      </c>
      <c r="DJ11" s="228">
        <v>24.64</v>
      </c>
      <c r="DK11" s="228">
        <v>-0.77</v>
      </c>
      <c r="DL11" s="228">
        <v>-0.77</v>
      </c>
      <c r="DM11" s="228">
        <v>25.58</v>
      </c>
      <c r="DN11" s="228">
        <v>27.8</v>
      </c>
      <c r="DO11" s="228">
        <v>-2.2200000000000002</v>
      </c>
      <c r="DP11" s="228">
        <v>-2.2200000000000002</v>
      </c>
      <c r="DQ11" s="228">
        <v>0.75</v>
      </c>
      <c r="DR11" s="228">
        <v>0.75</v>
      </c>
      <c r="DS11" s="228">
        <v>0</v>
      </c>
      <c r="DT11" s="229">
        <v>0</v>
      </c>
      <c r="DU11" s="228">
        <v>550</v>
      </c>
      <c r="DV11" s="228">
        <v>500</v>
      </c>
      <c r="DW11" s="228">
        <v>0.39</v>
      </c>
      <c r="DX11" s="228">
        <v>0.65</v>
      </c>
      <c r="DY11" s="228">
        <v>-0.26</v>
      </c>
      <c r="DZ11" s="229">
        <v>-0.4</v>
      </c>
      <c r="EA11" s="229">
        <v>2.93E-2</v>
      </c>
      <c r="EB11" s="230">
        <v>1331400</v>
      </c>
      <c r="EC11" s="229">
        <v>4.4000000000000003E-3</v>
      </c>
      <c r="ED11" s="229">
        <v>2.93E-2</v>
      </c>
      <c r="EE11" s="228">
        <v>2.58</v>
      </c>
      <c r="EF11" s="229">
        <v>4.7999999999999996E-3</v>
      </c>
      <c r="EG11" s="230">
        <v>636672</v>
      </c>
      <c r="EH11" s="230">
        <v>669124</v>
      </c>
      <c r="EI11" s="229">
        <v>-4.8500000000000001E-2</v>
      </c>
      <c r="EJ11" s="229">
        <v>0.57169999999999999</v>
      </c>
      <c r="EK11" s="228">
        <v>392</v>
      </c>
      <c r="EL11" s="228">
        <v>146.1</v>
      </c>
      <c r="EM11" s="228">
        <v>141.24</v>
      </c>
      <c r="EN11" s="228">
        <v>38.21</v>
      </c>
      <c r="EO11" s="228">
        <v>679.34</v>
      </c>
      <c r="EP11" s="231">
        <v>1553.31</v>
      </c>
      <c r="EQ11" s="228">
        <v>-873.97</v>
      </c>
      <c r="ER11" s="229">
        <v>-0.56259999999999999</v>
      </c>
      <c r="ES11" s="228">
        <v>768.46</v>
      </c>
      <c r="ET11" s="228">
        <v>558.9</v>
      </c>
      <c r="EU11" s="231">
        <v>2609.25</v>
      </c>
      <c r="EV11" s="231">
        <v>79841849</v>
      </c>
      <c r="EW11" s="231">
        <v>3936.61</v>
      </c>
      <c r="EX11" s="231">
        <v>3923.52</v>
      </c>
      <c r="EY11" s="228">
        <v>13.09</v>
      </c>
      <c r="EZ11" s="229">
        <v>3.3E-3</v>
      </c>
      <c r="FA11" s="229">
        <v>0.90659999999999996</v>
      </c>
      <c r="FB11" s="227" t="s">
        <v>555</v>
      </c>
      <c r="FC11">
        <f t="shared" si="0"/>
        <v>77</v>
      </c>
    </row>
    <row r="12" spans="1:159" ht="17.25" hidden="1" thickBot="1" x14ac:dyDescent="0.3">
      <c r="A12" s="226">
        <v>46064</v>
      </c>
      <c r="B12" s="227" t="s">
        <v>175</v>
      </c>
      <c r="C12" s="227" t="s">
        <v>609</v>
      </c>
      <c r="D12" s="228">
        <v>250</v>
      </c>
      <c r="E12" s="228">
        <v>13</v>
      </c>
      <c r="F12" s="231">
        <v>2790.9</v>
      </c>
      <c r="G12" s="231">
        <v>2792.5</v>
      </c>
      <c r="H12" s="228">
        <v>-1.6</v>
      </c>
      <c r="I12" s="229">
        <v>-5.9999999999999995E-4</v>
      </c>
      <c r="J12" s="231">
        <v>2781.1</v>
      </c>
      <c r="K12" s="231">
        <v>2783</v>
      </c>
      <c r="L12" s="228">
        <v>-1.9</v>
      </c>
      <c r="M12" s="229">
        <v>-6.9999999999999999E-4</v>
      </c>
      <c r="N12" s="231">
        <v>2790.9</v>
      </c>
      <c r="O12" s="231">
        <v>2792.5</v>
      </c>
      <c r="P12" s="228">
        <v>-1.6</v>
      </c>
      <c r="Q12" s="229">
        <v>-5.9999999999999995E-4</v>
      </c>
      <c r="R12" s="231">
        <v>2786.3</v>
      </c>
      <c r="S12" s="231">
        <v>2785.4</v>
      </c>
      <c r="T12" s="228">
        <v>0.9</v>
      </c>
      <c r="U12" s="229">
        <v>2.9999999999999997E-4</v>
      </c>
      <c r="V12" s="231">
        <v>2784.2</v>
      </c>
      <c r="W12" s="231">
        <v>2781.3</v>
      </c>
      <c r="X12" s="228">
        <v>2.9</v>
      </c>
      <c r="Y12" s="229">
        <v>1E-3</v>
      </c>
      <c r="Z12" s="228">
        <v>9.8000000000000007</v>
      </c>
      <c r="AA12" s="228">
        <v>9.5</v>
      </c>
      <c r="AB12" s="228">
        <v>0.3</v>
      </c>
      <c r="AC12" s="229">
        <v>3.5000000000000001E-3</v>
      </c>
      <c r="AD12" s="228">
        <v>9.8000000000000007</v>
      </c>
      <c r="AE12" s="228">
        <v>9.5</v>
      </c>
      <c r="AF12" s="228">
        <v>0.3</v>
      </c>
      <c r="AG12" s="229">
        <v>3.5000000000000001E-3</v>
      </c>
      <c r="AH12" s="228">
        <v>5.2</v>
      </c>
      <c r="AI12" s="228">
        <v>2.4</v>
      </c>
      <c r="AJ12" s="228">
        <v>2.8</v>
      </c>
      <c r="AK12" s="229">
        <v>1.9E-3</v>
      </c>
      <c r="AL12" s="228">
        <v>3.1</v>
      </c>
      <c r="AM12" s="228">
        <v>-1.7</v>
      </c>
      <c r="AN12" s="228">
        <v>4.8</v>
      </c>
      <c r="AO12" s="229">
        <v>1.1000000000000001E-3</v>
      </c>
      <c r="AP12" s="231">
        <v>2792.97</v>
      </c>
      <c r="AQ12" s="231">
        <v>2785.85</v>
      </c>
      <c r="AR12" s="228">
        <v>0</v>
      </c>
      <c r="AS12" s="228">
        <v>221</v>
      </c>
      <c r="AT12" s="228">
        <v>396</v>
      </c>
      <c r="AU12" s="228">
        <v>-175</v>
      </c>
      <c r="AV12" s="229">
        <v>-0.44190000000000002</v>
      </c>
      <c r="AW12" s="228">
        <v>204</v>
      </c>
      <c r="AX12" s="228">
        <v>367</v>
      </c>
      <c r="AY12" s="228">
        <v>-163</v>
      </c>
      <c r="AZ12" s="229">
        <v>-0.44340000000000002</v>
      </c>
      <c r="BA12" s="228">
        <v>14</v>
      </c>
      <c r="BB12" s="228">
        <v>25</v>
      </c>
      <c r="BC12" s="228">
        <v>-11</v>
      </c>
      <c r="BD12" s="229">
        <v>-0.44350000000000001</v>
      </c>
      <c r="BE12" s="228">
        <v>3</v>
      </c>
      <c r="BF12" s="228">
        <v>4</v>
      </c>
      <c r="BG12" s="228">
        <v>-1</v>
      </c>
      <c r="BH12" s="229">
        <v>-0.30509999999999998</v>
      </c>
      <c r="BI12" s="228">
        <v>670</v>
      </c>
      <c r="BJ12" s="230">
        <v>2763</v>
      </c>
      <c r="BK12" s="230">
        <v>-2093</v>
      </c>
      <c r="BL12" s="229">
        <v>-0.75760000000000005</v>
      </c>
      <c r="BM12" s="228">
        <v>391</v>
      </c>
      <c r="BN12" s="230">
        <v>1083</v>
      </c>
      <c r="BO12" s="228">
        <v>-692</v>
      </c>
      <c r="BP12" s="229">
        <v>-0.6391</v>
      </c>
      <c r="BQ12" s="230">
        <v>1282</v>
      </c>
      <c r="BR12" s="230">
        <v>4243</v>
      </c>
      <c r="BS12" s="230">
        <v>-2961</v>
      </c>
      <c r="BT12" s="229">
        <v>-0.69789999999999996</v>
      </c>
      <c r="BU12" s="230">
        <v>511680</v>
      </c>
      <c r="BV12" s="230">
        <v>906459</v>
      </c>
      <c r="BW12" s="230">
        <v>-394779</v>
      </c>
      <c r="BX12" s="229">
        <v>-0.4355</v>
      </c>
      <c r="BY12" s="228">
        <v>816</v>
      </c>
      <c r="BZ12" s="228">
        <v>804</v>
      </c>
      <c r="CA12" s="228">
        <v>12</v>
      </c>
      <c r="CB12" s="229">
        <v>1.55E-2</v>
      </c>
      <c r="CC12" s="228">
        <v>770</v>
      </c>
      <c r="CD12" s="228">
        <v>760</v>
      </c>
      <c r="CE12" s="228">
        <v>10</v>
      </c>
      <c r="CF12" s="229">
        <v>1.38E-2</v>
      </c>
      <c r="CG12" s="228">
        <v>38</v>
      </c>
      <c r="CH12" s="228">
        <v>36</v>
      </c>
      <c r="CI12" s="228">
        <v>2</v>
      </c>
      <c r="CJ12" s="229">
        <v>6.0400000000000002E-2</v>
      </c>
      <c r="CK12" s="228">
        <v>8</v>
      </c>
      <c r="CL12" s="228">
        <v>9</v>
      </c>
      <c r="CM12" s="228">
        <v>0</v>
      </c>
      <c r="CN12" s="229">
        <v>-1.6400000000000001E-2</v>
      </c>
      <c r="CO12" s="228">
        <v>674</v>
      </c>
      <c r="CP12" s="228">
        <v>704</v>
      </c>
      <c r="CQ12" s="228">
        <v>-30</v>
      </c>
      <c r="CR12" s="229">
        <v>-4.2799999999999998E-2</v>
      </c>
      <c r="CS12" s="228">
        <v>608</v>
      </c>
      <c r="CT12" s="228">
        <v>618</v>
      </c>
      <c r="CU12" s="228">
        <v>-9</v>
      </c>
      <c r="CV12" s="229">
        <v>-1.5100000000000001E-2</v>
      </c>
      <c r="CW12" s="230">
        <v>2098</v>
      </c>
      <c r="CX12" s="230">
        <v>2125</v>
      </c>
      <c r="CY12" s="228">
        <v>-27</v>
      </c>
      <c r="CZ12" s="229">
        <v>-1.2699999999999999E-2</v>
      </c>
      <c r="DA12" s="228">
        <v>41.1</v>
      </c>
      <c r="DB12" s="228">
        <v>41.24</v>
      </c>
      <c r="DC12" s="228">
        <v>-0.14000000000000001</v>
      </c>
      <c r="DD12" s="228">
        <v>-0.14000000000000001</v>
      </c>
      <c r="DE12" s="228">
        <v>54.51</v>
      </c>
      <c r="DF12" s="228">
        <v>54.64</v>
      </c>
      <c r="DG12" s="228">
        <v>-13.41</v>
      </c>
      <c r="DH12" s="228">
        <v>-0.13</v>
      </c>
      <c r="DI12" s="228">
        <v>39.35</v>
      </c>
      <c r="DJ12" s="228">
        <v>40.01</v>
      </c>
      <c r="DK12" s="228">
        <v>-0.66</v>
      </c>
      <c r="DL12" s="228">
        <v>-0.66</v>
      </c>
      <c r="DM12" s="228">
        <v>44.09</v>
      </c>
      <c r="DN12" s="228">
        <v>44.36</v>
      </c>
      <c r="DO12" s="228">
        <v>-0.27</v>
      </c>
      <c r="DP12" s="228">
        <v>-0.27</v>
      </c>
      <c r="DQ12" s="228">
        <v>0.9</v>
      </c>
      <c r="DR12" s="228">
        <v>0.88</v>
      </c>
      <c r="DS12" s="228">
        <v>0.02</v>
      </c>
      <c r="DT12" s="229">
        <v>2.2700000000000001E-2</v>
      </c>
      <c r="DU12" s="231">
        <v>2700</v>
      </c>
      <c r="DV12" s="231">
        <v>2600</v>
      </c>
      <c r="DW12" s="228">
        <v>0.57999999999999996</v>
      </c>
      <c r="DX12" s="228">
        <v>0.39</v>
      </c>
      <c r="DY12" s="228">
        <v>0.19</v>
      </c>
      <c r="DZ12" s="229">
        <v>0.48720000000000002</v>
      </c>
      <c r="EA12" s="229">
        <v>5.6800000000000003E-2</v>
      </c>
      <c r="EB12" s="230">
        <v>158750</v>
      </c>
      <c r="EC12" s="229">
        <v>-1.6000000000000001E-3</v>
      </c>
      <c r="ED12" s="229">
        <v>5.6800000000000003E-2</v>
      </c>
      <c r="EE12" s="228">
        <v>-7.12</v>
      </c>
      <c r="EF12" s="229">
        <v>-2.5000000000000001E-3</v>
      </c>
      <c r="EG12" s="230">
        <v>185194</v>
      </c>
      <c r="EH12" s="230">
        <v>277703</v>
      </c>
      <c r="EI12" s="229">
        <v>-0.33310000000000001</v>
      </c>
      <c r="EJ12" s="229">
        <v>0.3619</v>
      </c>
      <c r="EK12" s="228">
        <v>707.35</v>
      </c>
      <c r="EL12" s="228">
        <v>370.91</v>
      </c>
      <c r="EM12" s="228">
        <v>221.09</v>
      </c>
      <c r="EN12" s="228">
        <v>52.98</v>
      </c>
      <c r="EO12" s="231">
        <v>1299.3399999999999</v>
      </c>
      <c r="EP12" s="231">
        <v>4311.29</v>
      </c>
      <c r="EQ12" s="231">
        <v>-3011.95</v>
      </c>
      <c r="ER12" s="229">
        <v>-0.6986</v>
      </c>
      <c r="ES12" s="228">
        <v>666.79</v>
      </c>
      <c r="ET12" s="228">
        <v>533.85</v>
      </c>
      <c r="EU12" s="228">
        <v>816.26</v>
      </c>
      <c r="EV12" s="231">
        <v>9673308</v>
      </c>
      <c r="EW12" s="231">
        <v>2016.9</v>
      </c>
      <c r="EX12" s="231">
        <v>2041.23</v>
      </c>
      <c r="EY12" s="228">
        <v>-24.33</v>
      </c>
      <c r="EZ12" s="229">
        <v>-1.1900000000000001E-2</v>
      </c>
      <c r="FA12" s="229">
        <v>0.7772</v>
      </c>
      <c r="FB12" s="227" t="s">
        <v>567</v>
      </c>
      <c r="FC12">
        <f t="shared" si="0"/>
        <v>46</v>
      </c>
    </row>
    <row r="13" spans="1:159" ht="17.25" hidden="1" thickBot="1" x14ac:dyDescent="0.3">
      <c r="A13" s="226">
        <v>46064</v>
      </c>
      <c r="B13" s="227" t="s">
        <v>227</v>
      </c>
      <c r="C13" s="227" t="s">
        <v>598</v>
      </c>
      <c r="D13" s="228">
        <v>350</v>
      </c>
      <c r="E13" s="228">
        <v>13</v>
      </c>
      <c r="F13" s="231">
        <v>2281.6999999999998</v>
      </c>
      <c r="G13" s="231">
        <v>2239.6999999999998</v>
      </c>
      <c r="H13" s="228">
        <v>42</v>
      </c>
      <c r="I13" s="229">
        <v>1.8800000000000001E-2</v>
      </c>
      <c r="J13" s="231">
        <v>2280.8000000000002</v>
      </c>
      <c r="K13" s="231">
        <v>2238.6999999999998</v>
      </c>
      <c r="L13" s="228">
        <v>42.1</v>
      </c>
      <c r="M13" s="229">
        <v>1.8800000000000001E-2</v>
      </c>
      <c r="N13" s="231">
        <v>2281.6999999999998</v>
      </c>
      <c r="O13" s="231">
        <v>2239.6999999999998</v>
      </c>
      <c r="P13" s="228">
        <v>42</v>
      </c>
      <c r="Q13" s="229">
        <v>1.8800000000000001E-2</v>
      </c>
      <c r="R13" s="231">
        <v>2293.1999999999998</v>
      </c>
      <c r="S13" s="231">
        <v>2251.4</v>
      </c>
      <c r="T13" s="228">
        <v>41.8</v>
      </c>
      <c r="U13" s="229">
        <v>1.8599999999999998E-2</v>
      </c>
      <c r="V13" s="231">
        <v>2297.4</v>
      </c>
      <c r="W13" s="231">
        <v>2259</v>
      </c>
      <c r="X13" s="228">
        <v>38.4</v>
      </c>
      <c r="Y13" s="229">
        <v>1.7000000000000001E-2</v>
      </c>
      <c r="Z13" s="228">
        <v>0.9</v>
      </c>
      <c r="AA13" s="228">
        <v>1</v>
      </c>
      <c r="AB13" s="228">
        <v>-0.1</v>
      </c>
      <c r="AC13" s="229">
        <v>4.0000000000000002E-4</v>
      </c>
      <c r="AD13" s="228">
        <v>0.9</v>
      </c>
      <c r="AE13" s="228">
        <v>1</v>
      </c>
      <c r="AF13" s="228">
        <v>-0.1</v>
      </c>
      <c r="AG13" s="229">
        <v>4.0000000000000002E-4</v>
      </c>
      <c r="AH13" s="228">
        <v>12.4</v>
      </c>
      <c r="AI13" s="228">
        <v>12.7</v>
      </c>
      <c r="AJ13" s="228">
        <v>-0.3</v>
      </c>
      <c r="AK13" s="229">
        <v>5.4000000000000003E-3</v>
      </c>
      <c r="AL13" s="228">
        <v>16.600000000000001</v>
      </c>
      <c r="AM13" s="228">
        <v>20.3</v>
      </c>
      <c r="AN13" s="228">
        <v>-3.7</v>
      </c>
      <c r="AO13" s="229">
        <v>7.3000000000000001E-3</v>
      </c>
      <c r="AP13" s="231">
        <v>2263.4699999999998</v>
      </c>
      <c r="AQ13" s="231">
        <v>2276.35</v>
      </c>
      <c r="AR13" s="228">
        <v>0</v>
      </c>
      <c r="AS13" s="228">
        <v>191</v>
      </c>
      <c r="AT13" s="228">
        <v>235</v>
      </c>
      <c r="AU13" s="228">
        <v>-44</v>
      </c>
      <c r="AV13" s="229">
        <v>-0.18779999999999999</v>
      </c>
      <c r="AW13" s="228">
        <v>180</v>
      </c>
      <c r="AX13" s="228">
        <v>215</v>
      </c>
      <c r="AY13" s="228">
        <v>-34</v>
      </c>
      <c r="AZ13" s="229">
        <v>-0.1605</v>
      </c>
      <c r="BA13" s="228">
        <v>9</v>
      </c>
      <c r="BB13" s="228">
        <v>18</v>
      </c>
      <c r="BC13" s="228">
        <v>-9</v>
      </c>
      <c r="BD13" s="229">
        <v>-0.5</v>
      </c>
      <c r="BE13" s="228">
        <v>2</v>
      </c>
      <c r="BF13" s="228">
        <v>2</v>
      </c>
      <c r="BG13" s="228">
        <v>-1</v>
      </c>
      <c r="BH13" s="229">
        <v>-0.3</v>
      </c>
      <c r="BI13" s="228">
        <v>505</v>
      </c>
      <c r="BJ13" s="228">
        <v>384</v>
      </c>
      <c r="BK13" s="228">
        <v>121</v>
      </c>
      <c r="BL13" s="229">
        <v>0.315</v>
      </c>
      <c r="BM13" s="228">
        <v>361</v>
      </c>
      <c r="BN13" s="228">
        <v>267</v>
      </c>
      <c r="BO13" s="228">
        <v>94</v>
      </c>
      <c r="BP13" s="229">
        <v>0.35060000000000002</v>
      </c>
      <c r="BQ13" s="230">
        <v>1057</v>
      </c>
      <c r="BR13" s="228">
        <v>886</v>
      </c>
      <c r="BS13" s="228">
        <v>171</v>
      </c>
      <c r="BT13" s="229">
        <v>0.1923</v>
      </c>
      <c r="BU13" s="230">
        <v>748776</v>
      </c>
      <c r="BV13" s="230">
        <v>971322</v>
      </c>
      <c r="BW13" s="230">
        <v>-222546</v>
      </c>
      <c r="BX13" s="229">
        <v>-0.2291</v>
      </c>
      <c r="BY13" s="230">
        <v>1540</v>
      </c>
      <c r="BZ13" s="230">
        <v>1597</v>
      </c>
      <c r="CA13" s="228">
        <v>-57</v>
      </c>
      <c r="CB13" s="229">
        <v>-3.56E-2</v>
      </c>
      <c r="CC13" s="230">
        <v>1512</v>
      </c>
      <c r="CD13" s="230">
        <v>1572</v>
      </c>
      <c r="CE13" s="228">
        <v>-60</v>
      </c>
      <c r="CF13" s="229">
        <v>-3.7900000000000003E-2</v>
      </c>
      <c r="CG13" s="228">
        <v>21</v>
      </c>
      <c r="CH13" s="228">
        <v>19</v>
      </c>
      <c r="CI13" s="228">
        <v>2</v>
      </c>
      <c r="CJ13" s="229">
        <v>0.105</v>
      </c>
      <c r="CK13" s="228">
        <v>7</v>
      </c>
      <c r="CL13" s="228">
        <v>6</v>
      </c>
      <c r="CM13" s="228">
        <v>1</v>
      </c>
      <c r="CN13" s="229">
        <v>0.1447</v>
      </c>
      <c r="CO13" s="228">
        <v>393</v>
      </c>
      <c r="CP13" s="228">
        <v>383</v>
      </c>
      <c r="CQ13" s="228">
        <v>10</v>
      </c>
      <c r="CR13" s="229">
        <v>2.5000000000000001E-2</v>
      </c>
      <c r="CS13" s="228">
        <v>613</v>
      </c>
      <c r="CT13" s="228">
        <v>564</v>
      </c>
      <c r="CU13" s="228">
        <v>48</v>
      </c>
      <c r="CV13" s="229">
        <v>8.5900000000000004E-2</v>
      </c>
      <c r="CW13" s="230">
        <v>2546</v>
      </c>
      <c r="CX13" s="230">
        <v>2544</v>
      </c>
      <c r="CY13" s="228">
        <v>1</v>
      </c>
      <c r="CZ13" s="229">
        <v>5.0000000000000001E-4</v>
      </c>
      <c r="DA13" s="228">
        <v>27.36</v>
      </c>
      <c r="DB13" s="228">
        <v>26.62</v>
      </c>
      <c r="DC13" s="228">
        <v>0.74</v>
      </c>
      <c r="DD13" s="228">
        <v>0.74</v>
      </c>
      <c r="DE13" s="228">
        <v>32.17</v>
      </c>
      <c r="DF13" s="228">
        <v>32.15</v>
      </c>
      <c r="DG13" s="228">
        <v>-4.8099999999999996</v>
      </c>
      <c r="DH13" s="228">
        <v>0.02</v>
      </c>
      <c r="DI13" s="228">
        <v>24.41</v>
      </c>
      <c r="DJ13" s="228">
        <v>24.41</v>
      </c>
      <c r="DK13" s="228">
        <v>0</v>
      </c>
      <c r="DL13" s="228">
        <v>0</v>
      </c>
      <c r="DM13" s="228">
        <v>31.5</v>
      </c>
      <c r="DN13" s="228">
        <v>29.78</v>
      </c>
      <c r="DO13" s="228">
        <v>1.72</v>
      </c>
      <c r="DP13" s="228">
        <v>1.72</v>
      </c>
      <c r="DQ13" s="228">
        <v>1.56</v>
      </c>
      <c r="DR13" s="228">
        <v>1.47</v>
      </c>
      <c r="DS13" s="228">
        <v>0.09</v>
      </c>
      <c r="DT13" s="229">
        <v>6.1199999999999997E-2</v>
      </c>
      <c r="DU13" s="231">
        <v>2200</v>
      </c>
      <c r="DV13" s="231">
        <v>2100</v>
      </c>
      <c r="DW13" s="228">
        <v>0.71</v>
      </c>
      <c r="DX13" s="228">
        <v>0.7</v>
      </c>
      <c r="DY13" s="228">
        <v>0.01</v>
      </c>
      <c r="DZ13" s="229">
        <v>1.43E-2</v>
      </c>
      <c r="EA13" s="229">
        <v>1.8100000000000002E-2</v>
      </c>
      <c r="EB13" s="230">
        <v>109900</v>
      </c>
      <c r="EC13" s="229">
        <v>5.0000000000000001E-3</v>
      </c>
      <c r="ED13" s="229">
        <v>1.8100000000000002E-2</v>
      </c>
      <c r="EE13" s="228">
        <v>12.88</v>
      </c>
      <c r="EF13" s="229">
        <v>5.7000000000000002E-3</v>
      </c>
      <c r="EG13" s="230">
        <v>531527</v>
      </c>
      <c r="EH13" s="230">
        <v>699564</v>
      </c>
      <c r="EI13" s="229">
        <v>-0.2402</v>
      </c>
      <c r="EJ13" s="229">
        <v>0.70989999999999998</v>
      </c>
      <c r="EK13" s="228">
        <v>517.33000000000004</v>
      </c>
      <c r="EL13" s="228">
        <v>344</v>
      </c>
      <c r="EM13" s="228">
        <v>189.56</v>
      </c>
      <c r="EN13" s="228">
        <v>33.54</v>
      </c>
      <c r="EO13" s="231">
        <v>1050.8900000000001</v>
      </c>
      <c r="EP13" s="228">
        <v>875.37</v>
      </c>
      <c r="EQ13" s="228">
        <v>175.52</v>
      </c>
      <c r="ER13" s="229">
        <v>0.20050000000000001</v>
      </c>
      <c r="ES13" s="228">
        <v>382.27</v>
      </c>
      <c r="ET13" s="228">
        <v>563.35</v>
      </c>
      <c r="EU13" s="231">
        <v>1540.4</v>
      </c>
      <c r="EV13" s="231">
        <v>23068453</v>
      </c>
      <c r="EW13" s="231">
        <v>2486.02</v>
      </c>
      <c r="EX13" s="231">
        <v>2454.33</v>
      </c>
      <c r="EY13" s="228">
        <v>31.69</v>
      </c>
      <c r="EZ13" s="229">
        <v>1.29E-2</v>
      </c>
      <c r="FA13" s="229">
        <v>0.48359999999999997</v>
      </c>
      <c r="FB13" s="227" t="s">
        <v>556</v>
      </c>
      <c r="FC13">
        <f t="shared" si="0"/>
        <v>28</v>
      </c>
    </row>
    <row r="14" spans="1:159" ht="17.25" hidden="1" thickBot="1" x14ac:dyDescent="0.3">
      <c r="A14" s="226">
        <v>46064</v>
      </c>
      <c r="B14" s="227" t="s">
        <v>170</v>
      </c>
      <c r="C14" s="227" t="s">
        <v>165</v>
      </c>
      <c r="D14" s="228">
        <v>125</v>
      </c>
      <c r="E14" s="228">
        <v>13</v>
      </c>
      <c r="F14" s="231">
        <v>7520.5</v>
      </c>
      <c r="G14" s="231">
        <v>7213.5</v>
      </c>
      <c r="H14" s="228">
        <v>307</v>
      </c>
      <c r="I14" s="229">
        <v>4.2599999999999999E-2</v>
      </c>
      <c r="J14" s="231">
        <v>7507</v>
      </c>
      <c r="K14" s="231">
        <v>7219</v>
      </c>
      <c r="L14" s="228">
        <v>288</v>
      </c>
      <c r="M14" s="229">
        <v>3.9899999999999998E-2</v>
      </c>
      <c r="N14" s="231">
        <v>7520.5</v>
      </c>
      <c r="O14" s="231">
        <v>7213.5</v>
      </c>
      <c r="P14" s="228">
        <v>307</v>
      </c>
      <c r="Q14" s="229">
        <v>4.2599999999999999E-2</v>
      </c>
      <c r="R14" s="231">
        <v>7566.5</v>
      </c>
      <c r="S14" s="231">
        <v>7259.5</v>
      </c>
      <c r="T14" s="228">
        <v>307</v>
      </c>
      <c r="U14" s="229">
        <v>4.2299999999999997E-2</v>
      </c>
      <c r="V14" s="231">
        <v>7606.5</v>
      </c>
      <c r="W14" s="231">
        <v>7292.5</v>
      </c>
      <c r="X14" s="228">
        <v>314</v>
      </c>
      <c r="Y14" s="229">
        <v>4.3099999999999999E-2</v>
      </c>
      <c r="Z14" s="228">
        <v>13.5</v>
      </c>
      <c r="AA14" s="228">
        <v>-5.5</v>
      </c>
      <c r="AB14" s="228">
        <v>19</v>
      </c>
      <c r="AC14" s="229">
        <v>1.8E-3</v>
      </c>
      <c r="AD14" s="228">
        <v>13.5</v>
      </c>
      <c r="AE14" s="228">
        <v>-5.5</v>
      </c>
      <c r="AF14" s="228">
        <v>19</v>
      </c>
      <c r="AG14" s="229">
        <v>1.8E-3</v>
      </c>
      <c r="AH14" s="228">
        <v>59.5</v>
      </c>
      <c r="AI14" s="228">
        <v>40.5</v>
      </c>
      <c r="AJ14" s="228">
        <v>19</v>
      </c>
      <c r="AK14" s="229">
        <v>7.9000000000000008E-3</v>
      </c>
      <c r="AL14" s="228">
        <v>99.5</v>
      </c>
      <c r="AM14" s="228">
        <v>73.5</v>
      </c>
      <c r="AN14" s="228">
        <v>26</v>
      </c>
      <c r="AO14" s="229">
        <v>1.3299999999999999E-2</v>
      </c>
      <c r="AP14" s="231">
        <v>7555.76</v>
      </c>
      <c r="AQ14" s="231">
        <v>7600.98</v>
      </c>
      <c r="AR14" s="228">
        <v>0</v>
      </c>
      <c r="AS14" s="230">
        <v>1398</v>
      </c>
      <c r="AT14" s="228">
        <v>497</v>
      </c>
      <c r="AU14" s="228">
        <v>901</v>
      </c>
      <c r="AV14" s="229">
        <v>1.8133999999999999</v>
      </c>
      <c r="AW14" s="230">
        <v>1328</v>
      </c>
      <c r="AX14" s="228">
        <v>480</v>
      </c>
      <c r="AY14" s="228">
        <v>848</v>
      </c>
      <c r="AZ14" s="229">
        <v>1.7686999999999999</v>
      </c>
      <c r="BA14" s="228">
        <v>61</v>
      </c>
      <c r="BB14" s="228">
        <v>14</v>
      </c>
      <c r="BC14" s="228">
        <v>47</v>
      </c>
      <c r="BD14" s="229">
        <v>3.3919000000000001</v>
      </c>
      <c r="BE14" s="228">
        <v>9</v>
      </c>
      <c r="BF14" s="228">
        <v>3</v>
      </c>
      <c r="BG14" s="228">
        <v>5</v>
      </c>
      <c r="BH14" s="229">
        <v>1.6571</v>
      </c>
      <c r="BI14" s="230">
        <v>15452</v>
      </c>
      <c r="BJ14" s="230">
        <v>3206</v>
      </c>
      <c r="BK14" s="230">
        <v>12246</v>
      </c>
      <c r="BL14" s="229">
        <v>3.82</v>
      </c>
      <c r="BM14" s="230">
        <v>6487</v>
      </c>
      <c r="BN14" s="230">
        <v>1234</v>
      </c>
      <c r="BO14" s="230">
        <v>5254</v>
      </c>
      <c r="BP14" s="229">
        <v>4.2579000000000002</v>
      </c>
      <c r="BQ14" s="230">
        <v>23337</v>
      </c>
      <c r="BR14" s="230">
        <v>4936</v>
      </c>
      <c r="BS14" s="230">
        <v>18400</v>
      </c>
      <c r="BT14" s="229">
        <v>3.7275</v>
      </c>
      <c r="BU14" s="230">
        <v>1587641</v>
      </c>
      <c r="BV14" s="230">
        <v>286805</v>
      </c>
      <c r="BW14" s="230">
        <v>1300836</v>
      </c>
      <c r="BX14" s="229">
        <v>4.5355999999999996</v>
      </c>
      <c r="BY14" s="230">
        <v>2704</v>
      </c>
      <c r="BZ14" s="230">
        <v>2658</v>
      </c>
      <c r="CA14" s="228">
        <v>47</v>
      </c>
      <c r="CB14" s="229">
        <v>1.7500000000000002E-2</v>
      </c>
      <c r="CC14" s="230">
        <v>2645</v>
      </c>
      <c r="CD14" s="230">
        <v>2606</v>
      </c>
      <c r="CE14" s="228">
        <v>39</v>
      </c>
      <c r="CF14" s="229">
        <v>1.4800000000000001E-2</v>
      </c>
      <c r="CG14" s="228">
        <v>53</v>
      </c>
      <c r="CH14" s="228">
        <v>46</v>
      </c>
      <c r="CI14" s="228">
        <v>6</v>
      </c>
      <c r="CJ14" s="229">
        <v>0.13789999999999999</v>
      </c>
      <c r="CK14" s="228">
        <v>7</v>
      </c>
      <c r="CL14" s="228">
        <v>5</v>
      </c>
      <c r="CM14" s="228">
        <v>2</v>
      </c>
      <c r="CN14" s="229">
        <v>0.29630000000000001</v>
      </c>
      <c r="CO14" s="230">
        <v>1765</v>
      </c>
      <c r="CP14" s="230">
        <v>1456</v>
      </c>
      <c r="CQ14" s="228">
        <v>308</v>
      </c>
      <c r="CR14" s="229">
        <v>0.21160000000000001</v>
      </c>
      <c r="CS14" s="230">
        <v>1321</v>
      </c>
      <c r="CT14" s="230">
        <v>1007</v>
      </c>
      <c r="CU14" s="228">
        <v>314</v>
      </c>
      <c r="CV14" s="229">
        <v>0.31159999999999999</v>
      </c>
      <c r="CW14" s="230">
        <v>5790</v>
      </c>
      <c r="CX14" s="230">
        <v>5121</v>
      </c>
      <c r="CY14" s="228">
        <v>668</v>
      </c>
      <c r="CZ14" s="229">
        <v>0.1305</v>
      </c>
      <c r="DA14" s="228">
        <v>23.19</v>
      </c>
      <c r="DB14" s="228">
        <v>33.1</v>
      </c>
      <c r="DC14" s="228">
        <v>-9.91</v>
      </c>
      <c r="DD14" s="228">
        <v>-9.91</v>
      </c>
      <c r="DE14" s="228">
        <v>25.23</v>
      </c>
      <c r="DF14" s="228">
        <v>24.74</v>
      </c>
      <c r="DG14" s="228">
        <v>-2.04</v>
      </c>
      <c r="DH14" s="228">
        <v>0.49</v>
      </c>
      <c r="DI14" s="228">
        <v>23.26</v>
      </c>
      <c r="DJ14" s="228">
        <v>33.340000000000003</v>
      </c>
      <c r="DK14" s="228">
        <v>-10.08</v>
      </c>
      <c r="DL14" s="228">
        <v>-10.08</v>
      </c>
      <c r="DM14" s="228">
        <v>23.03</v>
      </c>
      <c r="DN14" s="228">
        <v>32.47</v>
      </c>
      <c r="DO14" s="228">
        <v>-9.44</v>
      </c>
      <c r="DP14" s="228">
        <v>-9.44</v>
      </c>
      <c r="DQ14" s="228">
        <v>0.75</v>
      </c>
      <c r="DR14" s="228">
        <v>0.69</v>
      </c>
      <c r="DS14" s="228">
        <v>0.06</v>
      </c>
      <c r="DT14" s="229">
        <v>8.6999999999999994E-2</v>
      </c>
      <c r="DU14" s="231">
        <v>7600</v>
      </c>
      <c r="DV14" s="231">
        <v>7200</v>
      </c>
      <c r="DW14" s="228">
        <v>0.42</v>
      </c>
      <c r="DX14" s="228">
        <v>0.38</v>
      </c>
      <c r="DY14" s="228">
        <v>0.04</v>
      </c>
      <c r="DZ14" s="229">
        <v>0.1053</v>
      </c>
      <c r="EA14" s="229">
        <v>2.1899999999999999E-2</v>
      </c>
      <c r="EB14" s="230">
        <v>68375</v>
      </c>
      <c r="EC14" s="229">
        <v>6.1000000000000004E-3</v>
      </c>
      <c r="ED14" s="229">
        <v>2.1899999999999999E-2</v>
      </c>
      <c r="EE14" s="228">
        <v>45.22</v>
      </c>
      <c r="EF14" s="229">
        <v>6.0000000000000001E-3</v>
      </c>
      <c r="EG14" s="230">
        <v>648247</v>
      </c>
      <c r="EH14" s="230">
        <v>135332</v>
      </c>
      <c r="EI14" s="229">
        <v>3.79</v>
      </c>
      <c r="EJ14" s="229">
        <v>0.4083</v>
      </c>
      <c r="EK14" s="231">
        <v>16014.84</v>
      </c>
      <c r="EL14" s="231">
        <v>6334.3</v>
      </c>
      <c r="EM14" s="231">
        <v>1404.8</v>
      </c>
      <c r="EN14" s="228">
        <v>41.56</v>
      </c>
      <c r="EO14" s="231">
        <v>23753.94</v>
      </c>
      <c r="EP14" s="231">
        <v>4866.07</v>
      </c>
      <c r="EQ14" s="231">
        <v>18887.87</v>
      </c>
      <c r="ER14" s="229">
        <v>3.8815</v>
      </c>
      <c r="ES14" s="231">
        <v>1777.52</v>
      </c>
      <c r="ET14" s="231">
        <v>1234.3699999999999</v>
      </c>
      <c r="EU14" s="231">
        <v>2704.49</v>
      </c>
      <c r="EV14" s="231">
        <v>15524629</v>
      </c>
      <c r="EW14" s="231">
        <v>5716.38</v>
      </c>
      <c r="EX14" s="231">
        <v>4893.18</v>
      </c>
      <c r="EY14" s="228">
        <v>823.2</v>
      </c>
      <c r="EZ14" s="229">
        <v>0.16819999999999999</v>
      </c>
      <c r="FA14" s="229">
        <v>0.49590000000000001</v>
      </c>
      <c r="FB14" s="227" t="s">
        <v>555</v>
      </c>
      <c r="FC14">
        <f t="shared" si="0"/>
        <v>59</v>
      </c>
    </row>
    <row r="15" spans="1:159" ht="17.25" hidden="1" thickBot="1" x14ac:dyDescent="0.3">
      <c r="A15" s="226">
        <v>46064</v>
      </c>
      <c r="B15" s="227" t="s">
        <v>162</v>
      </c>
      <c r="C15" s="227" t="s">
        <v>167</v>
      </c>
      <c r="D15" s="228">
        <v>5000</v>
      </c>
      <c r="E15" s="228">
        <v>13</v>
      </c>
      <c r="F15" s="228">
        <v>206.25</v>
      </c>
      <c r="G15" s="228">
        <v>208.47</v>
      </c>
      <c r="H15" s="228">
        <v>-2.2200000000000002</v>
      </c>
      <c r="I15" s="229">
        <v>-1.06E-2</v>
      </c>
      <c r="J15" s="228">
        <v>206.35</v>
      </c>
      <c r="K15" s="228">
        <v>209.73</v>
      </c>
      <c r="L15" s="228">
        <v>-3.38</v>
      </c>
      <c r="M15" s="229">
        <v>-1.61E-2</v>
      </c>
      <c r="N15" s="228">
        <v>206.25</v>
      </c>
      <c r="O15" s="228">
        <v>208.47</v>
      </c>
      <c r="P15" s="228">
        <v>-2.2200000000000002</v>
      </c>
      <c r="Q15" s="229">
        <v>-1.06E-2</v>
      </c>
      <c r="R15" s="228">
        <v>204.57</v>
      </c>
      <c r="S15" s="228">
        <v>206.58</v>
      </c>
      <c r="T15" s="228">
        <v>-2.0099999999999998</v>
      </c>
      <c r="U15" s="229">
        <v>-9.7000000000000003E-3</v>
      </c>
      <c r="V15" s="228">
        <v>202.98</v>
      </c>
      <c r="W15" s="228">
        <v>205.34</v>
      </c>
      <c r="X15" s="228">
        <v>-2.36</v>
      </c>
      <c r="Y15" s="229">
        <v>-1.15E-2</v>
      </c>
      <c r="Z15" s="228">
        <v>-0.1</v>
      </c>
      <c r="AA15" s="228">
        <v>-1.26</v>
      </c>
      <c r="AB15" s="228">
        <v>1.1599999999999999</v>
      </c>
      <c r="AC15" s="229">
        <v>-5.0000000000000001E-4</v>
      </c>
      <c r="AD15" s="228">
        <v>-0.1</v>
      </c>
      <c r="AE15" s="228">
        <v>-1.26</v>
      </c>
      <c r="AF15" s="228">
        <v>1.1599999999999999</v>
      </c>
      <c r="AG15" s="229">
        <v>-5.0000000000000001E-4</v>
      </c>
      <c r="AH15" s="228">
        <v>-1.78</v>
      </c>
      <c r="AI15" s="228">
        <v>-3.15</v>
      </c>
      <c r="AJ15" s="228">
        <v>1.37</v>
      </c>
      <c r="AK15" s="229">
        <v>-8.6E-3</v>
      </c>
      <c r="AL15" s="228">
        <v>-3.37</v>
      </c>
      <c r="AM15" s="228">
        <v>-4.3899999999999997</v>
      </c>
      <c r="AN15" s="228">
        <v>1.02</v>
      </c>
      <c r="AO15" s="229">
        <v>-1.6299999999999999E-2</v>
      </c>
      <c r="AP15" s="228">
        <v>208.43</v>
      </c>
      <c r="AQ15" s="228">
        <v>207.5</v>
      </c>
      <c r="AR15" s="228">
        <v>0</v>
      </c>
      <c r="AS15" s="230">
        <v>2602</v>
      </c>
      <c r="AT15" s="228">
        <v>681</v>
      </c>
      <c r="AU15" s="230">
        <v>1921</v>
      </c>
      <c r="AV15" s="229">
        <v>2.8197000000000001</v>
      </c>
      <c r="AW15" s="230">
        <v>2179</v>
      </c>
      <c r="AX15" s="228">
        <v>547</v>
      </c>
      <c r="AY15" s="230">
        <v>1632</v>
      </c>
      <c r="AZ15" s="229">
        <v>2.9847000000000001</v>
      </c>
      <c r="BA15" s="228">
        <v>400</v>
      </c>
      <c r="BB15" s="228">
        <v>123</v>
      </c>
      <c r="BC15" s="228">
        <v>277</v>
      </c>
      <c r="BD15" s="229">
        <v>2.2547999999999999</v>
      </c>
      <c r="BE15" s="228">
        <v>22</v>
      </c>
      <c r="BF15" s="228">
        <v>11</v>
      </c>
      <c r="BG15" s="228">
        <v>11</v>
      </c>
      <c r="BH15" s="229">
        <v>0.97250000000000003</v>
      </c>
      <c r="BI15" s="230">
        <v>12646</v>
      </c>
      <c r="BJ15" s="230">
        <v>2477</v>
      </c>
      <c r="BK15" s="230">
        <v>10169</v>
      </c>
      <c r="BL15" s="229">
        <v>4.1050000000000004</v>
      </c>
      <c r="BM15" s="230">
        <v>6318</v>
      </c>
      <c r="BN15" s="228">
        <v>782</v>
      </c>
      <c r="BO15" s="230">
        <v>5536</v>
      </c>
      <c r="BP15" s="229">
        <v>7.077</v>
      </c>
      <c r="BQ15" s="230">
        <v>21566</v>
      </c>
      <c r="BR15" s="230">
        <v>3941</v>
      </c>
      <c r="BS15" s="230">
        <v>17625</v>
      </c>
      <c r="BT15" s="229">
        <v>4.4728000000000003</v>
      </c>
      <c r="BU15" s="230">
        <v>56212842</v>
      </c>
      <c r="BV15" s="230">
        <v>12986028</v>
      </c>
      <c r="BW15" s="230">
        <v>43226814</v>
      </c>
      <c r="BX15" s="229">
        <v>3.3287</v>
      </c>
      <c r="BY15" s="230">
        <v>3587</v>
      </c>
      <c r="BZ15" s="230">
        <v>3467</v>
      </c>
      <c r="CA15" s="228">
        <v>121</v>
      </c>
      <c r="CB15" s="229">
        <v>3.4799999999999998E-2</v>
      </c>
      <c r="CC15" s="230">
        <v>3262</v>
      </c>
      <c r="CD15" s="230">
        <v>3207</v>
      </c>
      <c r="CE15" s="228">
        <v>55</v>
      </c>
      <c r="CF15" s="229">
        <v>1.72E-2</v>
      </c>
      <c r="CG15" s="228">
        <v>311</v>
      </c>
      <c r="CH15" s="228">
        <v>249</v>
      </c>
      <c r="CI15" s="228">
        <v>62</v>
      </c>
      <c r="CJ15" s="229">
        <v>0.247</v>
      </c>
      <c r="CK15" s="228">
        <v>14</v>
      </c>
      <c r="CL15" s="228">
        <v>10</v>
      </c>
      <c r="CM15" s="228">
        <v>4</v>
      </c>
      <c r="CN15" s="229">
        <v>0.39</v>
      </c>
      <c r="CO15" s="230">
        <v>1920</v>
      </c>
      <c r="CP15" s="230">
        <v>1155</v>
      </c>
      <c r="CQ15" s="228">
        <v>766</v>
      </c>
      <c r="CR15" s="229">
        <v>0.66300000000000003</v>
      </c>
      <c r="CS15" s="230">
        <v>1210</v>
      </c>
      <c r="CT15" s="228">
        <v>818</v>
      </c>
      <c r="CU15" s="228">
        <v>393</v>
      </c>
      <c r="CV15" s="229">
        <v>0.48010000000000003</v>
      </c>
      <c r="CW15" s="230">
        <v>6718</v>
      </c>
      <c r="CX15" s="230">
        <v>5439</v>
      </c>
      <c r="CY15" s="230">
        <v>1279</v>
      </c>
      <c r="CZ15" s="229">
        <v>0.2351</v>
      </c>
      <c r="DA15" s="228">
        <v>38.35</v>
      </c>
      <c r="DB15" s="228">
        <v>39.42</v>
      </c>
      <c r="DC15" s="228">
        <v>-1.07</v>
      </c>
      <c r="DD15" s="228">
        <v>-1.07</v>
      </c>
      <c r="DE15" s="228">
        <v>35.29</v>
      </c>
      <c r="DF15" s="228">
        <v>35.31</v>
      </c>
      <c r="DG15" s="228">
        <v>3.06</v>
      </c>
      <c r="DH15" s="228">
        <v>-0.02</v>
      </c>
      <c r="DI15" s="228">
        <v>38.39</v>
      </c>
      <c r="DJ15" s="228">
        <v>39.25</v>
      </c>
      <c r="DK15" s="228">
        <v>-0.86</v>
      </c>
      <c r="DL15" s="228">
        <v>-0.86</v>
      </c>
      <c r="DM15" s="228">
        <v>38.28</v>
      </c>
      <c r="DN15" s="228">
        <v>39.96</v>
      </c>
      <c r="DO15" s="228">
        <v>-1.68</v>
      </c>
      <c r="DP15" s="228">
        <v>-1.68</v>
      </c>
      <c r="DQ15" s="228">
        <v>0.63</v>
      </c>
      <c r="DR15" s="228">
        <v>0.71</v>
      </c>
      <c r="DS15" s="228">
        <v>-0.08</v>
      </c>
      <c r="DT15" s="229">
        <v>-0.11269999999999999</v>
      </c>
      <c r="DU15" s="228">
        <v>220</v>
      </c>
      <c r="DV15" s="228">
        <v>200</v>
      </c>
      <c r="DW15" s="228">
        <v>0.5</v>
      </c>
      <c r="DX15" s="228">
        <v>0.32</v>
      </c>
      <c r="DY15" s="228">
        <v>0.18</v>
      </c>
      <c r="DZ15" s="229">
        <v>0.5625</v>
      </c>
      <c r="EA15" s="229">
        <v>9.06E-2</v>
      </c>
      <c r="EB15" s="230">
        <v>12585000</v>
      </c>
      <c r="EC15" s="229">
        <v>-8.0999999999999996E-3</v>
      </c>
      <c r="ED15" s="229">
        <v>9.06E-2</v>
      </c>
      <c r="EE15" s="228">
        <v>-0.93</v>
      </c>
      <c r="EF15" s="229">
        <v>-4.4999999999999997E-3</v>
      </c>
      <c r="EG15" s="230">
        <v>13988265</v>
      </c>
      <c r="EH15" s="230">
        <v>5880859</v>
      </c>
      <c r="EI15" s="229">
        <v>1.3786</v>
      </c>
      <c r="EJ15" s="229">
        <v>0.24879999999999999</v>
      </c>
      <c r="EK15" s="231">
        <v>13552.16</v>
      </c>
      <c r="EL15" s="231">
        <v>6255.04</v>
      </c>
      <c r="EM15" s="231">
        <v>2627.04</v>
      </c>
      <c r="EN15" s="228">
        <v>48.96</v>
      </c>
      <c r="EO15" s="231">
        <v>22434.240000000002</v>
      </c>
      <c r="EP15" s="231">
        <v>4054.17</v>
      </c>
      <c r="EQ15" s="231">
        <v>18380.07</v>
      </c>
      <c r="ER15" s="229">
        <v>4.5335999999999999</v>
      </c>
      <c r="ES15" s="231">
        <v>1995.71</v>
      </c>
      <c r="ET15" s="231">
        <v>1130.5999999999999</v>
      </c>
      <c r="EU15" s="231">
        <v>3584.44</v>
      </c>
      <c r="EV15" s="231">
        <v>423719104</v>
      </c>
      <c r="EW15" s="231">
        <v>6710.76</v>
      </c>
      <c r="EX15" s="231">
        <v>5419.51</v>
      </c>
      <c r="EY15" s="231">
        <v>1291.25</v>
      </c>
      <c r="EZ15" s="229">
        <v>0.23830000000000001</v>
      </c>
      <c r="FA15" s="229">
        <v>0.76870000000000005</v>
      </c>
      <c r="FB15" s="227" t="s">
        <v>567</v>
      </c>
      <c r="FC15">
        <f t="shared" si="0"/>
        <v>325</v>
      </c>
    </row>
    <row r="16" spans="1:159" ht="17.25" hidden="1" thickBot="1" x14ac:dyDescent="0.3">
      <c r="A16" s="226">
        <v>46064</v>
      </c>
      <c r="B16" s="227" t="s">
        <v>168</v>
      </c>
      <c r="C16" s="227" t="s">
        <v>169</v>
      </c>
      <c r="D16" s="228">
        <v>250</v>
      </c>
      <c r="E16" s="228">
        <v>13</v>
      </c>
      <c r="F16" s="231">
        <v>2401.5</v>
      </c>
      <c r="G16" s="231">
        <v>2401.8000000000002</v>
      </c>
      <c r="H16" s="228">
        <v>-0.3</v>
      </c>
      <c r="I16" s="229">
        <v>-1E-4</v>
      </c>
      <c r="J16" s="231">
        <v>2392.5</v>
      </c>
      <c r="K16" s="231">
        <v>2393.6</v>
      </c>
      <c r="L16" s="228">
        <v>-1.1000000000000001</v>
      </c>
      <c r="M16" s="229">
        <v>-5.0000000000000001E-4</v>
      </c>
      <c r="N16" s="231">
        <v>2401.5</v>
      </c>
      <c r="O16" s="231">
        <v>2401.8000000000002</v>
      </c>
      <c r="P16" s="228">
        <v>-0.3</v>
      </c>
      <c r="Q16" s="229">
        <v>-1E-4</v>
      </c>
      <c r="R16" s="231">
        <v>2414.9</v>
      </c>
      <c r="S16" s="231">
        <v>2415.6</v>
      </c>
      <c r="T16" s="228">
        <v>-0.7</v>
      </c>
      <c r="U16" s="229">
        <v>-2.9999999999999997E-4</v>
      </c>
      <c r="V16" s="231">
        <v>2431.6999999999998</v>
      </c>
      <c r="W16" s="231">
        <v>2429.6</v>
      </c>
      <c r="X16" s="228">
        <v>2.1</v>
      </c>
      <c r="Y16" s="229">
        <v>8.9999999999999998E-4</v>
      </c>
      <c r="Z16" s="228">
        <v>9</v>
      </c>
      <c r="AA16" s="228">
        <v>8.1999999999999993</v>
      </c>
      <c r="AB16" s="228">
        <v>0.8</v>
      </c>
      <c r="AC16" s="229">
        <v>3.8E-3</v>
      </c>
      <c r="AD16" s="228">
        <v>9</v>
      </c>
      <c r="AE16" s="228">
        <v>8.1999999999999993</v>
      </c>
      <c r="AF16" s="228">
        <v>0.8</v>
      </c>
      <c r="AG16" s="229">
        <v>3.8E-3</v>
      </c>
      <c r="AH16" s="228">
        <v>22.4</v>
      </c>
      <c r="AI16" s="228">
        <v>22</v>
      </c>
      <c r="AJ16" s="228">
        <v>0.4</v>
      </c>
      <c r="AK16" s="229">
        <v>9.4000000000000004E-3</v>
      </c>
      <c r="AL16" s="228">
        <v>39.200000000000003</v>
      </c>
      <c r="AM16" s="228">
        <v>36</v>
      </c>
      <c r="AN16" s="228">
        <v>3.2</v>
      </c>
      <c r="AO16" s="229">
        <v>1.6400000000000001E-2</v>
      </c>
      <c r="AP16" s="231">
        <v>2396.41</v>
      </c>
      <c r="AQ16" s="231">
        <v>2410.0500000000002</v>
      </c>
      <c r="AR16" s="228">
        <v>0</v>
      </c>
      <c r="AS16" s="228">
        <v>662</v>
      </c>
      <c r="AT16" s="228">
        <v>472</v>
      </c>
      <c r="AU16" s="228">
        <v>190</v>
      </c>
      <c r="AV16" s="229">
        <v>0.40179999999999999</v>
      </c>
      <c r="AW16" s="228">
        <v>582</v>
      </c>
      <c r="AX16" s="228">
        <v>411</v>
      </c>
      <c r="AY16" s="228">
        <v>171</v>
      </c>
      <c r="AZ16" s="229">
        <v>0.41449999999999998</v>
      </c>
      <c r="BA16" s="228">
        <v>74</v>
      </c>
      <c r="BB16" s="228">
        <v>56</v>
      </c>
      <c r="BC16" s="228">
        <v>18</v>
      </c>
      <c r="BD16" s="229">
        <v>0.31830000000000003</v>
      </c>
      <c r="BE16" s="228">
        <v>6</v>
      </c>
      <c r="BF16" s="228">
        <v>5</v>
      </c>
      <c r="BG16" s="228">
        <v>1</v>
      </c>
      <c r="BH16" s="229">
        <v>0.28570000000000001</v>
      </c>
      <c r="BI16" s="230">
        <v>2200</v>
      </c>
      <c r="BJ16" s="230">
        <v>2164</v>
      </c>
      <c r="BK16" s="228">
        <v>36</v>
      </c>
      <c r="BL16" s="229">
        <v>1.66E-2</v>
      </c>
      <c r="BM16" s="228">
        <v>903</v>
      </c>
      <c r="BN16" s="228">
        <v>913</v>
      </c>
      <c r="BO16" s="228">
        <v>-10</v>
      </c>
      <c r="BP16" s="229">
        <v>-1.09E-2</v>
      </c>
      <c r="BQ16" s="230">
        <v>3765</v>
      </c>
      <c r="BR16" s="230">
        <v>3550</v>
      </c>
      <c r="BS16" s="228">
        <v>216</v>
      </c>
      <c r="BT16" s="229">
        <v>6.08E-2</v>
      </c>
      <c r="BU16" s="230">
        <v>3238317</v>
      </c>
      <c r="BV16" s="230">
        <v>1817170</v>
      </c>
      <c r="BW16" s="230">
        <v>1421147</v>
      </c>
      <c r="BX16" s="229">
        <v>0.78210000000000002</v>
      </c>
      <c r="BY16" s="230">
        <v>3593</v>
      </c>
      <c r="BZ16" s="230">
        <v>3404</v>
      </c>
      <c r="CA16" s="228">
        <v>189</v>
      </c>
      <c r="CB16" s="229">
        <v>5.5599999999999997E-2</v>
      </c>
      <c r="CC16" s="230">
        <v>3410</v>
      </c>
      <c r="CD16" s="230">
        <v>3257</v>
      </c>
      <c r="CE16" s="228">
        <v>153</v>
      </c>
      <c r="CF16" s="229">
        <v>4.6899999999999997E-2</v>
      </c>
      <c r="CG16" s="228">
        <v>166</v>
      </c>
      <c r="CH16" s="228">
        <v>132</v>
      </c>
      <c r="CI16" s="228">
        <v>34</v>
      </c>
      <c r="CJ16" s="229">
        <v>0.2576</v>
      </c>
      <c r="CK16" s="228">
        <v>17</v>
      </c>
      <c r="CL16" s="228">
        <v>15</v>
      </c>
      <c r="CM16" s="228">
        <v>2</v>
      </c>
      <c r="CN16" s="229">
        <v>0.1653</v>
      </c>
      <c r="CO16" s="230">
        <v>2368</v>
      </c>
      <c r="CP16" s="230">
        <v>2304</v>
      </c>
      <c r="CQ16" s="228">
        <v>64</v>
      </c>
      <c r="CR16" s="229">
        <v>2.7900000000000001E-2</v>
      </c>
      <c r="CS16" s="230">
        <v>1151</v>
      </c>
      <c r="CT16" s="230">
        <v>1128</v>
      </c>
      <c r="CU16" s="228">
        <v>24</v>
      </c>
      <c r="CV16" s="229">
        <v>2.1000000000000001E-2</v>
      </c>
      <c r="CW16" s="230">
        <v>7113</v>
      </c>
      <c r="CX16" s="230">
        <v>6836</v>
      </c>
      <c r="CY16" s="228">
        <v>277</v>
      </c>
      <c r="CZ16" s="229">
        <v>4.0599999999999997E-2</v>
      </c>
      <c r="DA16" s="228">
        <v>23.83</v>
      </c>
      <c r="DB16" s="228">
        <v>24.49</v>
      </c>
      <c r="DC16" s="228">
        <v>-0.66</v>
      </c>
      <c r="DD16" s="228">
        <v>-0.66</v>
      </c>
      <c r="DE16" s="228">
        <v>26.54</v>
      </c>
      <c r="DF16" s="228">
        <v>26.6</v>
      </c>
      <c r="DG16" s="228">
        <v>-2.71</v>
      </c>
      <c r="DH16" s="228">
        <v>-0.06</v>
      </c>
      <c r="DI16" s="228">
        <v>24.24</v>
      </c>
      <c r="DJ16" s="228">
        <v>25.18</v>
      </c>
      <c r="DK16" s="228">
        <v>-0.94</v>
      </c>
      <c r="DL16" s="228">
        <v>-0.94</v>
      </c>
      <c r="DM16" s="228">
        <v>22.82</v>
      </c>
      <c r="DN16" s="228">
        <v>22.86</v>
      </c>
      <c r="DO16" s="228">
        <v>-0.04</v>
      </c>
      <c r="DP16" s="228">
        <v>-0.04</v>
      </c>
      <c r="DQ16" s="228">
        <v>0.49</v>
      </c>
      <c r="DR16" s="228">
        <v>0.49</v>
      </c>
      <c r="DS16" s="228">
        <v>0</v>
      </c>
      <c r="DT16" s="229">
        <v>0</v>
      </c>
      <c r="DU16" s="231">
        <v>2400</v>
      </c>
      <c r="DV16" s="231">
        <v>2400</v>
      </c>
      <c r="DW16" s="228">
        <v>0.41</v>
      </c>
      <c r="DX16" s="228">
        <v>0.42</v>
      </c>
      <c r="DY16" s="228">
        <v>-0.01</v>
      </c>
      <c r="DZ16" s="229">
        <v>-2.3800000000000002E-2</v>
      </c>
      <c r="EA16" s="229">
        <v>5.11E-2</v>
      </c>
      <c r="EB16" s="230">
        <v>612250</v>
      </c>
      <c r="EC16" s="229">
        <v>5.5999999999999999E-3</v>
      </c>
      <c r="ED16" s="229">
        <v>5.11E-2</v>
      </c>
      <c r="EE16" s="228">
        <v>13.64</v>
      </c>
      <c r="EF16" s="229">
        <v>5.7000000000000002E-3</v>
      </c>
      <c r="EG16" s="230">
        <v>2454897</v>
      </c>
      <c r="EH16" s="230">
        <v>1297277</v>
      </c>
      <c r="EI16" s="229">
        <v>0.89229999999999998</v>
      </c>
      <c r="EJ16" s="229">
        <v>0.7581</v>
      </c>
      <c r="EK16" s="231">
        <v>2297.88</v>
      </c>
      <c r="EL16" s="228">
        <v>897.73</v>
      </c>
      <c r="EM16" s="228">
        <v>661.01</v>
      </c>
      <c r="EN16" s="228">
        <v>52.89</v>
      </c>
      <c r="EO16" s="231">
        <v>3856.63</v>
      </c>
      <c r="EP16" s="231">
        <v>3672.61</v>
      </c>
      <c r="EQ16" s="228">
        <v>184.01</v>
      </c>
      <c r="ER16" s="229">
        <v>5.0099999999999999E-2</v>
      </c>
      <c r="ES16" s="231">
        <v>2581.46</v>
      </c>
      <c r="ET16" s="231">
        <v>1153</v>
      </c>
      <c r="EU16" s="231">
        <v>3594.63</v>
      </c>
      <c r="EV16" s="231">
        <v>49389162</v>
      </c>
      <c r="EW16" s="231">
        <v>7329.09</v>
      </c>
      <c r="EX16" s="231">
        <v>7053.47</v>
      </c>
      <c r="EY16" s="228">
        <v>275.62</v>
      </c>
      <c r="EZ16" s="229">
        <v>3.9100000000000003E-2</v>
      </c>
      <c r="FA16" s="229">
        <v>0.59970000000000001</v>
      </c>
      <c r="FB16" s="227" t="s">
        <v>567</v>
      </c>
      <c r="FC16">
        <f t="shared" si="0"/>
        <v>183</v>
      </c>
    </row>
    <row r="17" spans="1:159" ht="17.25" hidden="1" thickBot="1" x14ac:dyDescent="0.3">
      <c r="A17" s="226">
        <v>46064</v>
      </c>
      <c r="B17" s="227" t="s">
        <v>184</v>
      </c>
      <c r="C17" s="227" t="s">
        <v>503</v>
      </c>
      <c r="D17" s="228">
        <v>425</v>
      </c>
      <c r="E17" s="228">
        <v>13</v>
      </c>
      <c r="F17" s="231">
        <v>1591.2</v>
      </c>
      <c r="G17" s="231">
        <v>1537</v>
      </c>
      <c r="H17" s="228">
        <v>54.2</v>
      </c>
      <c r="I17" s="229">
        <v>3.5299999999999998E-2</v>
      </c>
      <c r="J17" s="231">
        <v>1592.1</v>
      </c>
      <c r="K17" s="231">
        <v>1532.2</v>
      </c>
      <c r="L17" s="228">
        <v>59.9</v>
      </c>
      <c r="M17" s="229">
        <v>3.9100000000000003E-2</v>
      </c>
      <c r="N17" s="231">
        <v>1591.2</v>
      </c>
      <c r="O17" s="231">
        <v>1537</v>
      </c>
      <c r="P17" s="228">
        <v>54.2</v>
      </c>
      <c r="Q17" s="229">
        <v>3.5299999999999998E-2</v>
      </c>
      <c r="R17" s="231">
        <v>1578.5</v>
      </c>
      <c r="S17" s="231">
        <v>1526</v>
      </c>
      <c r="T17" s="228">
        <v>52.5</v>
      </c>
      <c r="U17" s="229">
        <v>3.44E-2</v>
      </c>
      <c r="V17" s="231">
        <v>1573.7</v>
      </c>
      <c r="W17" s="231">
        <v>1522.5</v>
      </c>
      <c r="X17" s="228">
        <v>51.2</v>
      </c>
      <c r="Y17" s="229">
        <v>3.3599999999999998E-2</v>
      </c>
      <c r="Z17" s="228">
        <v>-0.9</v>
      </c>
      <c r="AA17" s="228">
        <v>4.8</v>
      </c>
      <c r="AB17" s="228">
        <v>-5.7</v>
      </c>
      <c r="AC17" s="229">
        <v>-5.9999999999999995E-4</v>
      </c>
      <c r="AD17" s="228">
        <v>-0.9</v>
      </c>
      <c r="AE17" s="228">
        <v>4.8</v>
      </c>
      <c r="AF17" s="228">
        <v>-5.7</v>
      </c>
      <c r="AG17" s="229">
        <v>-5.9999999999999995E-4</v>
      </c>
      <c r="AH17" s="228">
        <v>-13.6</v>
      </c>
      <c r="AI17" s="228">
        <v>-6.2</v>
      </c>
      <c r="AJ17" s="228">
        <v>-7.4</v>
      </c>
      <c r="AK17" s="229">
        <v>-8.5000000000000006E-3</v>
      </c>
      <c r="AL17" s="228">
        <v>-18.399999999999999</v>
      </c>
      <c r="AM17" s="228">
        <v>-9.6999999999999993</v>
      </c>
      <c r="AN17" s="228">
        <v>-8.6999999999999993</v>
      </c>
      <c r="AO17" s="229">
        <v>-1.1599999999999999E-2</v>
      </c>
      <c r="AP17" s="231">
        <v>1567.69</v>
      </c>
      <c r="AQ17" s="231">
        <v>1555.24</v>
      </c>
      <c r="AR17" s="228">
        <v>0</v>
      </c>
      <c r="AS17" s="228">
        <v>606</v>
      </c>
      <c r="AT17" s="228">
        <v>561</v>
      </c>
      <c r="AU17" s="228">
        <v>45</v>
      </c>
      <c r="AV17" s="229">
        <v>7.9699999999999993E-2</v>
      </c>
      <c r="AW17" s="228">
        <v>527</v>
      </c>
      <c r="AX17" s="228">
        <v>509</v>
      </c>
      <c r="AY17" s="228">
        <v>18</v>
      </c>
      <c r="AZ17" s="229">
        <v>3.49E-2</v>
      </c>
      <c r="BA17" s="228">
        <v>72</v>
      </c>
      <c r="BB17" s="228">
        <v>48</v>
      </c>
      <c r="BC17" s="228">
        <v>23</v>
      </c>
      <c r="BD17" s="229">
        <v>0.47770000000000001</v>
      </c>
      <c r="BE17" s="228">
        <v>7</v>
      </c>
      <c r="BF17" s="228">
        <v>3</v>
      </c>
      <c r="BG17" s="228">
        <v>4</v>
      </c>
      <c r="BH17" s="229">
        <v>1.1667000000000001</v>
      </c>
      <c r="BI17" s="230">
        <v>2857</v>
      </c>
      <c r="BJ17" s="230">
        <v>1963</v>
      </c>
      <c r="BK17" s="228">
        <v>894</v>
      </c>
      <c r="BL17" s="229">
        <v>0.45550000000000002</v>
      </c>
      <c r="BM17" s="228">
        <v>804</v>
      </c>
      <c r="BN17" s="228">
        <v>544</v>
      </c>
      <c r="BO17" s="228">
        <v>261</v>
      </c>
      <c r="BP17" s="229">
        <v>0.47949999999999998</v>
      </c>
      <c r="BQ17" s="230">
        <v>4267</v>
      </c>
      <c r="BR17" s="230">
        <v>3067</v>
      </c>
      <c r="BS17" s="230">
        <v>1199</v>
      </c>
      <c r="BT17" s="229">
        <v>0.39100000000000001</v>
      </c>
      <c r="BU17" s="230">
        <v>1623499</v>
      </c>
      <c r="BV17" s="230">
        <v>899849</v>
      </c>
      <c r="BW17" s="230">
        <v>723650</v>
      </c>
      <c r="BX17" s="229">
        <v>0.80420000000000003</v>
      </c>
      <c r="BY17" s="230">
        <v>1417</v>
      </c>
      <c r="BZ17" s="230">
        <v>1376</v>
      </c>
      <c r="CA17" s="228">
        <v>41</v>
      </c>
      <c r="CB17" s="229">
        <v>0.03</v>
      </c>
      <c r="CC17" s="230">
        <v>1305</v>
      </c>
      <c r="CD17" s="230">
        <v>1281</v>
      </c>
      <c r="CE17" s="228">
        <v>24</v>
      </c>
      <c r="CF17" s="229">
        <v>1.9E-2</v>
      </c>
      <c r="CG17" s="228">
        <v>104</v>
      </c>
      <c r="CH17" s="228">
        <v>89</v>
      </c>
      <c r="CI17" s="228">
        <v>14</v>
      </c>
      <c r="CJ17" s="229">
        <v>0.16220000000000001</v>
      </c>
      <c r="CK17" s="228">
        <v>8</v>
      </c>
      <c r="CL17" s="228">
        <v>6</v>
      </c>
      <c r="CM17" s="228">
        <v>3</v>
      </c>
      <c r="CN17" s="229">
        <v>0.42049999999999998</v>
      </c>
      <c r="CO17" s="228">
        <v>570</v>
      </c>
      <c r="CP17" s="228">
        <v>547</v>
      </c>
      <c r="CQ17" s="228">
        <v>23</v>
      </c>
      <c r="CR17" s="229">
        <v>4.1700000000000001E-2</v>
      </c>
      <c r="CS17" s="228">
        <v>324</v>
      </c>
      <c r="CT17" s="228">
        <v>282</v>
      </c>
      <c r="CU17" s="228">
        <v>41</v>
      </c>
      <c r="CV17" s="229">
        <v>0.14560000000000001</v>
      </c>
      <c r="CW17" s="230">
        <v>2310</v>
      </c>
      <c r="CX17" s="230">
        <v>2205</v>
      </c>
      <c r="CY17" s="228">
        <v>105</v>
      </c>
      <c r="CZ17" s="229">
        <v>4.7699999999999999E-2</v>
      </c>
      <c r="DA17" s="228">
        <v>33.81</v>
      </c>
      <c r="DB17" s="228">
        <v>32.369999999999997</v>
      </c>
      <c r="DC17" s="228">
        <v>1.44</v>
      </c>
      <c r="DD17" s="228">
        <v>1.44</v>
      </c>
      <c r="DE17" s="228">
        <v>34.909999999999997</v>
      </c>
      <c r="DF17" s="228">
        <v>34.68</v>
      </c>
      <c r="DG17" s="228">
        <v>-1.1000000000000001</v>
      </c>
      <c r="DH17" s="228">
        <v>0.23</v>
      </c>
      <c r="DI17" s="228">
        <v>33.21</v>
      </c>
      <c r="DJ17" s="228">
        <v>31.94</v>
      </c>
      <c r="DK17" s="228">
        <v>1.27</v>
      </c>
      <c r="DL17" s="228">
        <v>1.27</v>
      </c>
      <c r="DM17" s="228">
        <v>35.94</v>
      </c>
      <c r="DN17" s="228">
        <v>33.92</v>
      </c>
      <c r="DO17" s="228">
        <v>2.02</v>
      </c>
      <c r="DP17" s="228">
        <v>2.02</v>
      </c>
      <c r="DQ17" s="228">
        <v>0.56999999999999995</v>
      </c>
      <c r="DR17" s="228">
        <v>0.52</v>
      </c>
      <c r="DS17" s="228">
        <v>0.05</v>
      </c>
      <c r="DT17" s="229">
        <v>9.6199999999999994E-2</v>
      </c>
      <c r="DU17" s="231">
        <v>1600</v>
      </c>
      <c r="DV17" s="231">
        <v>1580</v>
      </c>
      <c r="DW17" s="228">
        <v>0.28000000000000003</v>
      </c>
      <c r="DX17" s="228">
        <v>0.28000000000000003</v>
      </c>
      <c r="DY17" s="228">
        <v>0</v>
      </c>
      <c r="DZ17" s="229">
        <v>0</v>
      </c>
      <c r="EA17" s="229">
        <v>7.9100000000000004E-2</v>
      </c>
      <c r="EB17" s="230">
        <v>597975</v>
      </c>
      <c r="EC17" s="229">
        <v>-8.0000000000000002E-3</v>
      </c>
      <c r="ED17" s="229">
        <v>7.9100000000000004E-2</v>
      </c>
      <c r="EE17" s="228">
        <v>-12.45</v>
      </c>
      <c r="EF17" s="229">
        <v>-7.9000000000000008E-3</v>
      </c>
      <c r="EG17" s="230">
        <v>629540</v>
      </c>
      <c r="EH17" s="230">
        <v>339140</v>
      </c>
      <c r="EI17" s="229">
        <v>0.85629999999999995</v>
      </c>
      <c r="EJ17" s="229">
        <v>0.38779999999999998</v>
      </c>
      <c r="EK17" s="231">
        <v>2922.52</v>
      </c>
      <c r="EL17" s="228">
        <v>762.26</v>
      </c>
      <c r="EM17" s="228">
        <v>596.02</v>
      </c>
      <c r="EN17" s="228">
        <v>55.72</v>
      </c>
      <c r="EO17" s="231">
        <v>4280.8</v>
      </c>
      <c r="EP17" s="231">
        <v>2994</v>
      </c>
      <c r="EQ17" s="231">
        <v>1286.8</v>
      </c>
      <c r="ER17" s="229">
        <v>0.42980000000000002</v>
      </c>
      <c r="ES17" s="228">
        <v>568.52</v>
      </c>
      <c r="ET17" s="228">
        <v>294.14999999999998</v>
      </c>
      <c r="EU17" s="231">
        <v>1416.32</v>
      </c>
      <c r="EV17" s="231">
        <v>18450534</v>
      </c>
      <c r="EW17" s="231">
        <v>2278.9899999999998</v>
      </c>
      <c r="EX17" s="231">
        <v>2115.09</v>
      </c>
      <c r="EY17" s="228">
        <v>163.9</v>
      </c>
      <c r="EZ17" s="229">
        <v>7.7499999999999999E-2</v>
      </c>
      <c r="FA17" s="229">
        <v>0.78690000000000004</v>
      </c>
      <c r="FB17" s="227" t="s">
        <v>555</v>
      </c>
      <c r="FC17">
        <f t="shared" si="0"/>
        <v>112</v>
      </c>
    </row>
    <row r="18" spans="1:159" ht="17.25" hidden="1" thickBot="1" x14ac:dyDescent="0.3">
      <c r="A18" s="226">
        <v>46064</v>
      </c>
      <c r="B18" s="227" t="s">
        <v>172</v>
      </c>
      <c r="C18" s="227" t="s">
        <v>495</v>
      </c>
      <c r="D18" s="228">
        <v>1000</v>
      </c>
      <c r="E18" s="228">
        <v>13</v>
      </c>
      <c r="F18" s="228">
        <v>990.95</v>
      </c>
      <c r="G18" s="231">
        <v>1001.9</v>
      </c>
      <c r="H18" s="228">
        <v>-10.95</v>
      </c>
      <c r="I18" s="229">
        <v>-1.09E-2</v>
      </c>
      <c r="J18" s="228">
        <v>990.25</v>
      </c>
      <c r="K18" s="231">
        <v>1001.15</v>
      </c>
      <c r="L18" s="228">
        <v>-10.9</v>
      </c>
      <c r="M18" s="229">
        <v>-1.09E-2</v>
      </c>
      <c r="N18" s="228">
        <v>990.95</v>
      </c>
      <c r="O18" s="231">
        <v>1001.9</v>
      </c>
      <c r="P18" s="228">
        <v>-10.95</v>
      </c>
      <c r="Q18" s="229">
        <v>-1.09E-2</v>
      </c>
      <c r="R18" s="228">
        <v>994.1</v>
      </c>
      <c r="S18" s="231">
        <v>1004.95</v>
      </c>
      <c r="T18" s="228">
        <v>-10.85</v>
      </c>
      <c r="U18" s="229">
        <v>-1.0800000000000001E-2</v>
      </c>
      <c r="V18" s="228">
        <v>998.2</v>
      </c>
      <c r="W18" s="231">
        <v>1009</v>
      </c>
      <c r="X18" s="228">
        <v>-10.8</v>
      </c>
      <c r="Y18" s="229">
        <v>-1.0699999999999999E-2</v>
      </c>
      <c r="Z18" s="228">
        <v>0.7</v>
      </c>
      <c r="AA18" s="228">
        <v>0.75</v>
      </c>
      <c r="AB18" s="228">
        <v>-0.05</v>
      </c>
      <c r="AC18" s="229">
        <v>6.9999999999999999E-4</v>
      </c>
      <c r="AD18" s="228">
        <v>0.7</v>
      </c>
      <c r="AE18" s="228">
        <v>0.75</v>
      </c>
      <c r="AF18" s="228">
        <v>-0.05</v>
      </c>
      <c r="AG18" s="229">
        <v>6.9999999999999999E-4</v>
      </c>
      <c r="AH18" s="228">
        <v>3.85</v>
      </c>
      <c r="AI18" s="228">
        <v>3.8</v>
      </c>
      <c r="AJ18" s="228">
        <v>0.05</v>
      </c>
      <c r="AK18" s="229">
        <v>3.8999999999999998E-3</v>
      </c>
      <c r="AL18" s="228">
        <v>7.95</v>
      </c>
      <c r="AM18" s="228">
        <v>7.85</v>
      </c>
      <c r="AN18" s="228">
        <v>0.1</v>
      </c>
      <c r="AO18" s="229">
        <v>8.0000000000000002E-3</v>
      </c>
      <c r="AP18" s="228">
        <v>998.89</v>
      </c>
      <c r="AQ18" s="231">
        <v>1003.13</v>
      </c>
      <c r="AR18" s="228">
        <v>0</v>
      </c>
      <c r="AS18" s="228">
        <v>377</v>
      </c>
      <c r="AT18" s="228">
        <v>309</v>
      </c>
      <c r="AU18" s="228">
        <v>67</v>
      </c>
      <c r="AV18" s="229">
        <v>0.21790000000000001</v>
      </c>
      <c r="AW18" s="228">
        <v>333</v>
      </c>
      <c r="AX18" s="228">
        <v>274</v>
      </c>
      <c r="AY18" s="228">
        <v>59</v>
      </c>
      <c r="AZ18" s="229">
        <v>0.21540000000000001</v>
      </c>
      <c r="BA18" s="228">
        <v>41</v>
      </c>
      <c r="BB18" s="228">
        <v>34</v>
      </c>
      <c r="BC18" s="228">
        <v>7</v>
      </c>
      <c r="BD18" s="229">
        <v>0.21279999999999999</v>
      </c>
      <c r="BE18" s="228">
        <v>2</v>
      </c>
      <c r="BF18" s="228">
        <v>1</v>
      </c>
      <c r="BG18" s="228">
        <v>1</v>
      </c>
      <c r="BH18" s="229">
        <v>1</v>
      </c>
      <c r="BI18" s="228">
        <v>653</v>
      </c>
      <c r="BJ18" s="228">
        <v>672</v>
      </c>
      <c r="BK18" s="228">
        <v>-19</v>
      </c>
      <c r="BL18" s="229">
        <v>-2.8500000000000001E-2</v>
      </c>
      <c r="BM18" s="228">
        <v>333</v>
      </c>
      <c r="BN18" s="228">
        <v>381</v>
      </c>
      <c r="BO18" s="228">
        <v>-48</v>
      </c>
      <c r="BP18" s="229">
        <v>-0.1265</v>
      </c>
      <c r="BQ18" s="230">
        <v>1362</v>
      </c>
      <c r="BR18" s="230">
        <v>1362</v>
      </c>
      <c r="BS18" s="228">
        <v>0</v>
      </c>
      <c r="BT18" s="229">
        <v>1E-4</v>
      </c>
      <c r="BU18" s="230">
        <v>1612730</v>
      </c>
      <c r="BV18" s="230">
        <v>1929204</v>
      </c>
      <c r="BW18" s="230">
        <v>-316474</v>
      </c>
      <c r="BX18" s="229">
        <v>-0.16400000000000001</v>
      </c>
      <c r="BY18" s="230">
        <v>1915</v>
      </c>
      <c r="BZ18" s="230">
        <v>1929</v>
      </c>
      <c r="CA18" s="228">
        <v>-14</v>
      </c>
      <c r="CB18" s="229">
        <v>-7.4999999999999997E-3</v>
      </c>
      <c r="CC18" s="230">
        <v>1846</v>
      </c>
      <c r="CD18" s="230">
        <v>1869</v>
      </c>
      <c r="CE18" s="228">
        <v>-23</v>
      </c>
      <c r="CF18" s="229">
        <v>-1.2200000000000001E-2</v>
      </c>
      <c r="CG18" s="228">
        <v>65</v>
      </c>
      <c r="CH18" s="228">
        <v>57</v>
      </c>
      <c r="CI18" s="228">
        <v>8</v>
      </c>
      <c r="CJ18" s="229">
        <v>0.1419</v>
      </c>
      <c r="CK18" s="228">
        <v>3</v>
      </c>
      <c r="CL18" s="228">
        <v>3</v>
      </c>
      <c r="CM18" s="228">
        <v>0</v>
      </c>
      <c r="CN18" s="229">
        <v>0.1</v>
      </c>
      <c r="CO18" s="228">
        <v>656</v>
      </c>
      <c r="CP18" s="228">
        <v>611</v>
      </c>
      <c r="CQ18" s="228">
        <v>45</v>
      </c>
      <c r="CR18" s="229">
        <v>7.3300000000000004E-2</v>
      </c>
      <c r="CS18" s="228">
        <v>489</v>
      </c>
      <c r="CT18" s="228">
        <v>488</v>
      </c>
      <c r="CU18" s="228">
        <v>1</v>
      </c>
      <c r="CV18" s="229">
        <v>1.6000000000000001E-3</v>
      </c>
      <c r="CW18" s="230">
        <v>3059</v>
      </c>
      <c r="CX18" s="230">
        <v>3028</v>
      </c>
      <c r="CY18" s="228">
        <v>31</v>
      </c>
      <c r="CZ18" s="229">
        <v>1.03E-2</v>
      </c>
      <c r="DA18" s="228">
        <v>27.03</v>
      </c>
      <c r="DB18" s="228">
        <v>26.65</v>
      </c>
      <c r="DC18" s="228">
        <v>0.38</v>
      </c>
      <c r="DD18" s="228">
        <v>0.38</v>
      </c>
      <c r="DE18" s="228">
        <v>34.47</v>
      </c>
      <c r="DF18" s="228">
        <v>34.520000000000003</v>
      </c>
      <c r="DG18" s="228">
        <v>-7.44</v>
      </c>
      <c r="DH18" s="228">
        <v>-0.05</v>
      </c>
      <c r="DI18" s="228">
        <v>26.87</v>
      </c>
      <c r="DJ18" s="228">
        <v>26.39</v>
      </c>
      <c r="DK18" s="228">
        <v>0.48</v>
      </c>
      <c r="DL18" s="228">
        <v>0.48</v>
      </c>
      <c r="DM18" s="228">
        <v>27.32</v>
      </c>
      <c r="DN18" s="228">
        <v>27.11</v>
      </c>
      <c r="DO18" s="228">
        <v>0.21</v>
      </c>
      <c r="DP18" s="228">
        <v>0.21</v>
      </c>
      <c r="DQ18" s="228">
        <v>0.75</v>
      </c>
      <c r="DR18" s="228">
        <v>0.8</v>
      </c>
      <c r="DS18" s="228">
        <v>-0.05</v>
      </c>
      <c r="DT18" s="229">
        <v>-6.25E-2</v>
      </c>
      <c r="DU18" s="231">
        <v>1000</v>
      </c>
      <c r="DV18" s="228">
        <v>950</v>
      </c>
      <c r="DW18" s="228">
        <v>0.51</v>
      </c>
      <c r="DX18" s="228">
        <v>0.56999999999999995</v>
      </c>
      <c r="DY18" s="228">
        <v>-0.06</v>
      </c>
      <c r="DZ18" s="229">
        <v>-0.1053</v>
      </c>
      <c r="EA18" s="229">
        <v>3.5900000000000001E-2</v>
      </c>
      <c r="EB18" s="230">
        <v>608000</v>
      </c>
      <c r="EC18" s="229">
        <v>3.2000000000000002E-3</v>
      </c>
      <c r="ED18" s="229">
        <v>3.5900000000000001E-2</v>
      </c>
      <c r="EE18" s="228">
        <v>4.24</v>
      </c>
      <c r="EF18" s="229">
        <v>4.1999999999999997E-3</v>
      </c>
      <c r="EG18" s="230">
        <v>985951</v>
      </c>
      <c r="EH18" s="230">
        <v>1268498</v>
      </c>
      <c r="EI18" s="229">
        <v>-0.22270000000000001</v>
      </c>
      <c r="EJ18" s="229">
        <v>0.61140000000000005</v>
      </c>
      <c r="EK18" s="228">
        <v>680.7</v>
      </c>
      <c r="EL18" s="228">
        <v>329.71</v>
      </c>
      <c r="EM18" s="228">
        <v>379.86</v>
      </c>
      <c r="EN18" s="228">
        <v>30.03</v>
      </c>
      <c r="EO18" s="231">
        <v>1390.27</v>
      </c>
      <c r="EP18" s="231">
        <v>1394.12</v>
      </c>
      <c r="EQ18" s="228">
        <v>-3.85</v>
      </c>
      <c r="ER18" s="229">
        <v>-2.8E-3</v>
      </c>
      <c r="ES18" s="228">
        <v>683.47</v>
      </c>
      <c r="ET18" s="228">
        <v>470.46</v>
      </c>
      <c r="EU18" s="231">
        <v>1914.95</v>
      </c>
      <c r="EV18" s="231">
        <v>86371921</v>
      </c>
      <c r="EW18" s="231">
        <v>3068.88</v>
      </c>
      <c r="EX18" s="231">
        <v>3057.35</v>
      </c>
      <c r="EY18" s="228">
        <v>11.53</v>
      </c>
      <c r="EZ18" s="229">
        <v>3.8E-3</v>
      </c>
      <c r="FA18" s="229">
        <v>0.35749999999999998</v>
      </c>
      <c r="FB18" s="227" t="s">
        <v>568</v>
      </c>
      <c r="FC18">
        <f t="shared" si="0"/>
        <v>69</v>
      </c>
    </row>
    <row r="19" spans="1:159" ht="17.25" hidden="1" thickBot="1" x14ac:dyDescent="0.3">
      <c r="A19" s="226">
        <v>46064</v>
      </c>
      <c r="B19" s="227" t="s">
        <v>170</v>
      </c>
      <c r="C19" s="227" t="s">
        <v>171</v>
      </c>
      <c r="D19" s="228">
        <v>550</v>
      </c>
      <c r="E19" s="228">
        <v>13</v>
      </c>
      <c r="F19" s="231">
        <v>1149.7</v>
      </c>
      <c r="G19" s="231">
        <v>1126.5999999999999</v>
      </c>
      <c r="H19" s="228">
        <v>23.1</v>
      </c>
      <c r="I19" s="229">
        <v>2.0500000000000001E-2</v>
      </c>
      <c r="J19" s="231">
        <v>1146.5999999999999</v>
      </c>
      <c r="K19" s="231">
        <v>1124.0999999999999</v>
      </c>
      <c r="L19" s="228">
        <v>22.5</v>
      </c>
      <c r="M19" s="229">
        <v>0.02</v>
      </c>
      <c r="N19" s="231">
        <v>1149.7</v>
      </c>
      <c r="O19" s="231">
        <v>1126.5999999999999</v>
      </c>
      <c r="P19" s="228">
        <v>23.1</v>
      </c>
      <c r="Q19" s="229">
        <v>2.0500000000000001E-2</v>
      </c>
      <c r="R19" s="231">
        <v>1156.4000000000001</v>
      </c>
      <c r="S19" s="231">
        <v>1131</v>
      </c>
      <c r="T19" s="228">
        <v>25.4</v>
      </c>
      <c r="U19" s="229">
        <v>2.2499999999999999E-2</v>
      </c>
      <c r="V19" s="231">
        <v>1160.7</v>
      </c>
      <c r="W19" s="231">
        <v>1145</v>
      </c>
      <c r="X19" s="228">
        <v>15.7</v>
      </c>
      <c r="Y19" s="229">
        <v>1.37E-2</v>
      </c>
      <c r="Z19" s="228">
        <v>3.1</v>
      </c>
      <c r="AA19" s="228">
        <v>2.5</v>
      </c>
      <c r="AB19" s="228">
        <v>0.6</v>
      </c>
      <c r="AC19" s="229">
        <v>2.7000000000000001E-3</v>
      </c>
      <c r="AD19" s="228">
        <v>3.1</v>
      </c>
      <c r="AE19" s="228">
        <v>2.5</v>
      </c>
      <c r="AF19" s="228">
        <v>0.6</v>
      </c>
      <c r="AG19" s="229">
        <v>2.7000000000000001E-3</v>
      </c>
      <c r="AH19" s="228">
        <v>9.8000000000000007</v>
      </c>
      <c r="AI19" s="228">
        <v>6.9</v>
      </c>
      <c r="AJ19" s="228">
        <v>2.9</v>
      </c>
      <c r="AK19" s="229">
        <v>8.5000000000000006E-3</v>
      </c>
      <c r="AL19" s="228">
        <v>14.1</v>
      </c>
      <c r="AM19" s="228">
        <v>20.9</v>
      </c>
      <c r="AN19" s="228">
        <v>-6.8</v>
      </c>
      <c r="AO19" s="229">
        <v>1.23E-2</v>
      </c>
      <c r="AP19" s="231">
        <v>1149.27</v>
      </c>
      <c r="AQ19" s="231">
        <v>1156.79</v>
      </c>
      <c r="AR19" s="228">
        <v>0</v>
      </c>
      <c r="AS19" s="228">
        <v>841</v>
      </c>
      <c r="AT19" s="230">
        <v>1693</v>
      </c>
      <c r="AU19" s="228">
        <v>-853</v>
      </c>
      <c r="AV19" s="229">
        <v>-0.50360000000000005</v>
      </c>
      <c r="AW19" s="228">
        <v>774</v>
      </c>
      <c r="AX19" s="230">
        <v>1562</v>
      </c>
      <c r="AY19" s="228">
        <v>-787</v>
      </c>
      <c r="AZ19" s="229">
        <v>-0.50419999999999998</v>
      </c>
      <c r="BA19" s="228">
        <v>64</v>
      </c>
      <c r="BB19" s="228">
        <v>127</v>
      </c>
      <c r="BC19" s="228">
        <v>-63</v>
      </c>
      <c r="BD19" s="229">
        <v>-0.498</v>
      </c>
      <c r="BE19" s="228">
        <v>3</v>
      </c>
      <c r="BF19" s="228">
        <v>5</v>
      </c>
      <c r="BG19" s="228">
        <v>-2</v>
      </c>
      <c r="BH19" s="229">
        <v>-0.43419999999999997</v>
      </c>
      <c r="BI19" s="230">
        <v>4308</v>
      </c>
      <c r="BJ19" s="230">
        <v>6612</v>
      </c>
      <c r="BK19" s="230">
        <v>-2304</v>
      </c>
      <c r="BL19" s="229">
        <v>-0.34849999999999998</v>
      </c>
      <c r="BM19" s="230">
        <v>2110</v>
      </c>
      <c r="BN19" s="230">
        <v>4972</v>
      </c>
      <c r="BO19" s="230">
        <v>-2862</v>
      </c>
      <c r="BP19" s="229">
        <v>-0.5756</v>
      </c>
      <c r="BQ19" s="230">
        <v>7258</v>
      </c>
      <c r="BR19" s="230">
        <v>13277</v>
      </c>
      <c r="BS19" s="230">
        <v>-6019</v>
      </c>
      <c r="BT19" s="229">
        <v>-0.45329999999999998</v>
      </c>
      <c r="BU19" s="230">
        <v>4221581</v>
      </c>
      <c r="BV19" s="230">
        <v>8855038</v>
      </c>
      <c r="BW19" s="230">
        <v>-4633457</v>
      </c>
      <c r="BX19" s="229">
        <v>-0.52329999999999999</v>
      </c>
      <c r="BY19" s="230">
        <v>2485</v>
      </c>
      <c r="BZ19" s="230">
        <v>2461</v>
      </c>
      <c r="CA19" s="228">
        <v>24</v>
      </c>
      <c r="CB19" s="229">
        <v>9.7000000000000003E-3</v>
      </c>
      <c r="CC19" s="230">
        <v>2381</v>
      </c>
      <c r="CD19" s="230">
        <v>2358</v>
      </c>
      <c r="CE19" s="228">
        <v>22</v>
      </c>
      <c r="CF19" s="229">
        <v>9.4999999999999998E-3</v>
      </c>
      <c r="CG19" s="228">
        <v>101</v>
      </c>
      <c r="CH19" s="228">
        <v>99</v>
      </c>
      <c r="CI19" s="228">
        <v>2</v>
      </c>
      <c r="CJ19" s="229">
        <v>1.72E-2</v>
      </c>
      <c r="CK19" s="228">
        <v>4</v>
      </c>
      <c r="CL19" s="228">
        <v>4</v>
      </c>
      <c r="CM19" s="228">
        <v>0</v>
      </c>
      <c r="CN19" s="229">
        <v>-6.1499999999999999E-2</v>
      </c>
      <c r="CO19" s="230">
        <v>1221</v>
      </c>
      <c r="CP19" s="230">
        <v>1328</v>
      </c>
      <c r="CQ19" s="228">
        <v>-106</v>
      </c>
      <c r="CR19" s="229">
        <v>-8.0100000000000005E-2</v>
      </c>
      <c r="CS19" s="228">
        <v>777</v>
      </c>
      <c r="CT19" s="228">
        <v>729</v>
      </c>
      <c r="CU19" s="228">
        <v>48</v>
      </c>
      <c r="CV19" s="229">
        <v>6.54E-2</v>
      </c>
      <c r="CW19" s="230">
        <v>4483</v>
      </c>
      <c r="CX19" s="230">
        <v>4518</v>
      </c>
      <c r="CY19" s="228">
        <v>-35</v>
      </c>
      <c r="CZ19" s="229">
        <v>-7.7000000000000002E-3</v>
      </c>
      <c r="DA19" s="228">
        <v>35.49</v>
      </c>
      <c r="DB19" s="228">
        <v>41.2</v>
      </c>
      <c r="DC19" s="228">
        <v>-5.71</v>
      </c>
      <c r="DD19" s="228">
        <v>-5.71</v>
      </c>
      <c r="DE19" s="228">
        <v>34.119999999999997</v>
      </c>
      <c r="DF19" s="228">
        <v>34.090000000000003</v>
      </c>
      <c r="DG19" s="228">
        <v>1.37</v>
      </c>
      <c r="DH19" s="228">
        <v>0.03</v>
      </c>
      <c r="DI19" s="228">
        <v>34.799999999999997</v>
      </c>
      <c r="DJ19" s="228">
        <v>41.36</v>
      </c>
      <c r="DK19" s="228">
        <v>-6.56</v>
      </c>
      <c r="DL19" s="228">
        <v>-6.56</v>
      </c>
      <c r="DM19" s="228">
        <v>36.89</v>
      </c>
      <c r="DN19" s="228">
        <v>40.98</v>
      </c>
      <c r="DO19" s="228">
        <v>-4.09</v>
      </c>
      <c r="DP19" s="228">
        <v>-4.09</v>
      </c>
      <c r="DQ19" s="228">
        <v>0.64</v>
      </c>
      <c r="DR19" s="228">
        <v>0.55000000000000004</v>
      </c>
      <c r="DS19" s="228">
        <v>0.09</v>
      </c>
      <c r="DT19" s="229">
        <v>0.1636</v>
      </c>
      <c r="DU19" s="231">
        <v>1200</v>
      </c>
      <c r="DV19" s="231">
        <v>1100</v>
      </c>
      <c r="DW19" s="228">
        <v>0.49</v>
      </c>
      <c r="DX19" s="228">
        <v>0.75</v>
      </c>
      <c r="DY19" s="228">
        <v>-0.26</v>
      </c>
      <c r="DZ19" s="229">
        <v>-0.34670000000000001</v>
      </c>
      <c r="EA19" s="229">
        <v>4.2099999999999999E-2</v>
      </c>
      <c r="EB19" s="230">
        <v>897600</v>
      </c>
      <c r="EC19" s="229">
        <v>5.7999999999999996E-3</v>
      </c>
      <c r="ED19" s="229">
        <v>4.2099999999999999E-2</v>
      </c>
      <c r="EE19" s="228">
        <v>7.52</v>
      </c>
      <c r="EF19" s="229">
        <v>6.4999999999999997E-3</v>
      </c>
      <c r="EG19" s="230">
        <v>1616155</v>
      </c>
      <c r="EH19" s="230">
        <v>3505880</v>
      </c>
      <c r="EI19" s="229">
        <v>-0.53900000000000003</v>
      </c>
      <c r="EJ19" s="229">
        <v>0.38279999999999997</v>
      </c>
      <c r="EK19" s="231">
        <v>4522.5600000000004</v>
      </c>
      <c r="EL19" s="231">
        <v>2072.29</v>
      </c>
      <c r="EM19" s="228">
        <v>840.7</v>
      </c>
      <c r="EN19" s="228">
        <v>109.28</v>
      </c>
      <c r="EO19" s="231">
        <v>7435.54</v>
      </c>
      <c r="EP19" s="231">
        <v>13713.86</v>
      </c>
      <c r="EQ19" s="231">
        <v>-6278.32</v>
      </c>
      <c r="ER19" s="229">
        <v>-0.45779999999999998</v>
      </c>
      <c r="ES19" s="231">
        <v>1295.22</v>
      </c>
      <c r="ET19" s="228">
        <v>750.68</v>
      </c>
      <c r="EU19" s="231">
        <v>2485.89</v>
      </c>
      <c r="EV19" s="231">
        <v>41977935</v>
      </c>
      <c r="EW19" s="231">
        <v>4531.78</v>
      </c>
      <c r="EX19" s="231">
        <v>4527.95</v>
      </c>
      <c r="EY19" s="228">
        <v>3.83</v>
      </c>
      <c r="EZ19" s="229">
        <v>8.0000000000000004E-4</v>
      </c>
      <c r="FA19" s="229">
        <v>0.92889999999999995</v>
      </c>
      <c r="FB19" s="227" t="s">
        <v>555</v>
      </c>
      <c r="FC19">
        <f t="shared" si="0"/>
        <v>104</v>
      </c>
    </row>
    <row r="20" spans="1:159" ht="17.25" hidden="1" thickBot="1" x14ac:dyDescent="0.3">
      <c r="A20" s="226">
        <v>46064</v>
      </c>
      <c r="B20" s="227" t="s">
        <v>172</v>
      </c>
      <c r="C20" s="227" t="s">
        <v>173</v>
      </c>
      <c r="D20" s="228">
        <v>625</v>
      </c>
      <c r="E20" s="228">
        <v>13</v>
      </c>
      <c r="F20" s="231">
        <v>1348</v>
      </c>
      <c r="G20" s="231">
        <v>1357.2</v>
      </c>
      <c r="H20" s="228">
        <v>-9.1999999999999993</v>
      </c>
      <c r="I20" s="229">
        <v>-6.7999999999999996E-3</v>
      </c>
      <c r="J20" s="231">
        <v>1347.3</v>
      </c>
      <c r="K20" s="231">
        <v>1356.7</v>
      </c>
      <c r="L20" s="228">
        <v>-9.4</v>
      </c>
      <c r="M20" s="229">
        <v>-6.8999999999999999E-3</v>
      </c>
      <c r="N20" s="231">
        <v>1348</v>
      </c>
      <c r="O20" s="231">
        <v>1357.2</v>
      </c>
      <c r="P20" s="228">
        <v>-9.1999999999999993</v>
      </c>
      <c r="Q20" s="229">
        <v>-6.7999999999999996E-3</v>
      </c>
      <c r="R20" s="231">
        <v>1357.4</v>
      </c>
      <c r="S20" s="231">
        <v>1365.2</v>
      </c>
      <c r="T20" s="228">
        <v>-7.8</v>
      </c>
      <c r="U20" s="229">
        <v>-5.7000000000000002E-3</v>
      </c>
      <c r="V20" s="231">
        <v>1365.9</v>
      </c>
      <c r="W20" s="231">
        <v>1373</v>
      </c>
      <c r="X20" s="228">
        <v>-7.1</v>
      </c>
      <c r="Y20" s="229">
        <v>-5.1999999999999998E-3</v>
      </c>
      <c r="Z20" s="228">
        <v>0.7</v>
      </c>
      <c r="AA20" s="228">
        <v>0.5</v>
      </c>
      <c r="AB20" s="228">
        <v>0.2</v>
      </c>
      <c r="AC20" s="229">
        <v>5.0000000000000001E-4</v>
      </c>
      <c r="AD20" s="228">
        <v>0.7</v>
      </c>
      <c r="AE20" s="228">
        <v>0.5</v>
      </c>
      <c r="AF20" s="228">
        <v>0.2</v>
      </c>
      <c r="AG20" s="229">
        <v>5.0000000000000001E-4</v>
      </c>
      <c r="AH20" s="228">
        <v>10.1</v>
      </c>
      <c r="AI20" s="228">
        <v>8.5</v>
      </c>
      <c r="AJ20" s="228">
        <v>1.6</v>
      </c>
      <c r="AK20" s="229">
        <v>7.4999999999999997E-3</v>
      </c>
      <c r="AL20" s="228">
        <v>18.600000000000001</v>
      </c>
      <c r="AM20" s="228">
        <v>16.3</v>
      </c>
      <c r="AN20" s="228">
        <v>2.2999999999999998</v>
      </c>
      <c r="AO20" s="229">
        <v>1.38E-2</v>
      </c>
      <c r="AP20" s="231">
        <v>1350.88</v>
      </c>
      <c r="AQ20" s="231">
        <v>1359.77</v>
      </c>
      <c r="AR20" s="228">
        <v>0</v>
      </c>
      <c r="AS20" s="228">
        <v>479</v>
      </c>
      <c r="AT20" s="228">
        <v>699</v>
      </c>
      <c r="AU20" s="228">
        <v>-220</v>
      </c>
      <c r="AV20" s="229">
        <v>-0.31509999999999999</v>
      </c>
      <c r="AW20" s="228">
        <v>450</v>
      </c>
      <c r="AX20" s="228">
        <v>661</v>
      </c>
      <c r="AY20" s="228">
        <v>-210</v>
      </c>
      <c r="AZ20" s="229">
        <v>-0.31819999999999998</v>
      </c>
      <c r="BA20" s="228">
        <v>28</v>
      </c>
      <c r="BB20" s="228">
        <v>36</v>
      </c>
      <c r="BC20" s="228">
        <v>-8</v>
      </c>
      <c r="BD20" s="229">
        <v>-0.2306</v>
      </c>
      <c r="BE20" s="228">
        <v>1</v>
      </c>
      <c r="BF20" s="228">
        <v>3</v>
      </c>
      <c r="BG20" s="228">
        <v>-2</v>
      </c>
      <c r="BH20" s="229">
        <v>-0.66669999999999996</v>
      </c>
      <c r="BI20" s="230">
        <v>2467</v>
      </c>
      <c r="BJ20" s="230">
        <v>4736</v>
      </c>
      <c r="BK20" s="230">
        <v>-2269</v>
      </c>
      <c r="BL20" s="229">
        <v>-0.47910000000000003</v>
      </c>
      <c r="BM20" s="230">
        <v>1810</v>
      </c>
      <c r="BN20" s="230">
        <v>2501</v>
      </c>
      <c r="BO20" s="228">
        <v>-690</v>
      </c>
      <c r="BP20" s="229">
        <v>-0.27600000000000002</v>
      </c>
      <c r="BQ20" s="230">
        <v>4756</v>
      </c>
      <c r="BR20" s="230">
        <v>7936</v>
      </c>
      <c r="BS20" s="230">
        <v>-3180</v>
      </c>
      <c r="BT20" s="229">
        <v>-0.4007</v>
      </c>
      <c r="BU20" s="230">
        <v>3961979</v>
      </c>
      <c r="BV20" s="230">
        <v>5547012</v>
      </c>
      <c r="BW20" s="230">
        <v>-1585033</v>
      </c>
      <c r="BX20" s="229">
        <v>-0.28570000000000001</v>
      </c>
      <c r="BY20" s="230">
        <v>9148</v>
      </c>
      <c r="BZ20" s="230">
        <v>9236</v>
      </c>
      <c r="CA20" s="228">
        <v>-88</v>
      </c>
      <c r="CB20" s="229">
        <v>-9.5999999999999992E-3</v>
      </c>
      <c r="CC20" s="230">
        <v>8612</v>
      </c>
      <c r="CD20" s="230">
        <v>8703</v>
      </c>
      <c r="CE20" s="228">
        <v>-91</v>
      </c>
      <c r="CF20" s="229">
        <v>-1.04E-2</v>
      </c>
      <c r="CG20" s="228">
        <v>496</v>
      </c>
      <c r="CH20" s="228">
        <v>494</v>
      </c>
      <c r="CI20" s="228">
        <v>2</v>
      </c>
      <c r="CJ20" s="229">
        <v>4.7999999999999996E-3</v>
      </c>
      <c r="CK20" s="228">
        <v>40</v>
      </c>
      <c r="CL20" s="228">
        <v>39</v>
      </c>
      <c r="CM20" s="228">
        <v>0</v>
      </c>
      <c r="CN20" s="229">
        <v>4.3E-3</v>
      </c>
      <c r="CO20" s="230">
        <v>3785</v>
      </c>
      <c r="CP20" s="230">
        <v>3670</v>
      </c>
      <c r="CQ20" s="228">
        <v>115</v>
      </c>
      <c r="CR20" s="229">
        <v>3.1199999999999999E-2</v>
      </c>
      <c r="CS20" s="230">
        <v>1910</v>
      </c>
      <c r="CT20" s="230">
        <v>1952</v>
      </c>
      <c r="CU20" s="228">
        <v>-42</v>
      </c>
      <c r="CV20" s="229">
        <v>-2.1399999999999999E-2</v>
      </c>
      <c r="CW20" s="230">
        <v>14843</v>
      </c>
      <c r="CX20" s="230">
        <v>14858</v>
      </c>
      <c r="CY20" s="228">
        <v>-15</v>
      </c>
      <c r="CZ20" s="229">
        <v>-1E-3</v>
      </c>
      <c r="DA20" s="228">
        <v>21.6</v>
      </c>
      <c r="DB20" s="228">
        <v>19.98</v>
      </c>
      <c r="DC20" s="228">
        <v>1.62</v>
      </c>
      <c r="DD20" s="228">
        <v>1.62</v>
      </c>
      <c r="DE20" s="228">
        <v>26.78</v>
      </c>
      <c r="DF20" s="228">
        <v>26.84</v>
      </c>
      <c r="DG20" s="228">
        <v>-5.18</v>
      </c>
      <c r="DH20" s="228">
        <v>-0.06</v>
      </c>
      <c r="DI20" s="228">
        <v>19.45</v>
      </c>
      <c r="DJ20" s="228">
        <v>18.36</v>
      </c>
      <c r="DK20" s="228">
        <v>1.0900000000000001</v>
      </c>
      <c r="DL20" s="228">
        <v>1.0900000000000001</v>
      </c>
      <c r="DM20" s="228">
        <v>24.53</v>
      </c>
      <c r="DN20" s="228">
        <v>23.07</v>
      </c>
      <c r="DO20" s="228">
        <v>1.46</v>
      </c>
      <c r="DP20" s="228">
        <v>1.46</v>
      </c>
      <c r="DQ20" s="228">
        <v>0.5</v>
      </c>
      <c r="DR20" s="228">
        <v>0.53</v>
      </c>
      <c r="DS20" s="228">
        <v>-0.03</v>
      </c>
      <c r="DT20" s="229">
        <v>-5.6599999999999998E-2</v>
      </c>
      <c r="DU20" s="231">
        <v>1380</v>
      </c>
      <c r="DV20" s="231">
        <v>1320</v>
      </c>
      <c r="DW20" s="228">
        <v>0.73</v>
      </c>
      <c r="DX20" s="228">
        <v>0.53</v>
      </c>
      <c r="DY20" s="228">
        <v>0.2</v>
      </c>
      <c r="DZ20" s="229">
        <v>0.37740000000000001</v>
      </c>
      <c r="EA20" s="229">
        <v>5.8599999999999999E-2</v>
      </c>
      <c r="EB20" s="230">
        <v>3956250</v>
      </c>
      <c r="EC20" s="229">
        <v>7.0000000000000001E-3</v>
      </c>
      <c r="ED20" s="229">
        <v>5.8599999999999999E-2</v>
      </c>
      <c r="EE20" s="228">
        <v>8.89</v>
      </c>
      <c r="EF20" s="229">
        <v>6.6E-3</v>
      </c>
      <c r="EG20" s="230">
        <v>2558486</v>
      </c>
      <c r="EH20" s="230">
        <v>3593215</v>
      </c>
      <c r="EI20" s="229">
        <v>-0.28799999999999998</v>
      </c>
      <c r="EJ20" s="229">
        <v>0.64580000000000004</v>
      </c>
      <c r="EK20" s="231">
        <v>2562.2399999999998</v>
      </c>
      <c r="EL20" s="231">
        <v>1737.32</v>
      </c>
      <c r="EM20" s="228">
        <v>480.18</v>
      </c>
      <c r="EN20" s="228">
        <v>117.96</v>
      </c>
      <c r="EO20" s="231">
        <v>4779.74</v>
      </c>
      <c r="EP20" s="231">
        <v>8028.18</v>
      </c>
      <c r="EQ20" s="231">
        <v>-3248.43</v>
      </c>
      <c r="ER20" s="229">
        <v>-0.40460000000000002</v>
      </c>
      <c r="ES20" s="231">
        <v>3883.68</v>
      </c>
      <c r="ET20" s="231">
        <v>1828.77</v>
      </c>
      <c r="EU20" s="231">
        <v>9151.77</v>
      </c>
      <c r="EV20" s="231">
        <v>296371456</v>
      </c>
      <c r="EW20" s="231">
        <v>14864.22</v>
      </c>
      <c r="EX20" s="231">
        <v>14937.59</v>
      </c>
      <c r="EY20" s="228">
        <v>-73.37</v>
      </c>
      <c r="EZ20" s="229">
        <v>-4.8999999999999998E-3</v>
      </c>
      <c r="FA20" s="229">
        <v>0.3715</v>
      </c>
      <c r="FB20" s="227" t="s">
        <v>568</v>
      </c>
      <c r="FC20">
        <f t="shared" si="0"/>
        <v>536</v>
      </c>
    </row>
    <row r="21" spans="1:159" ht="17.25" hidden="1" thickBot="1" x14ac:dyDescent="0.3">
      <c r="A21" s="226">
        <v>46064</v>
      </c>
      <c r="B21" s="227" t="s">
        <v>162</v>
      </c>
      <c r="C21" s="227" t="s">
        <v>174</v>
      </c>
      <c r="D21" s="228">
        <v>75</v>
      </c>
      <c r="E21" s="228">
        <v>13</v>
      </c>
      <c r="F21" s="231">
        <v>9869.5</v>
      </c>
      <c r="G21" s="231">
        <v>9805</v>
      </c>
      <c r="H21" s="228">
        <v>64.5</v>
      </c>
      <c r="I21" s="229">
        <v>6.6E-3</v>
      </c>
      <c r="J21" s="231">
        <v>9869.5</v>
      </c>
      <c r="K21" s="231">
        <v>9774</v>
      </c>
      <c r="L21" s="228">
        <v>95.5</v>
      </c>
      <c r="M21" s="229">
        <v>9.7999999999999997E-3</v>
      </c>
      <c r="N21" s="231">
        <v>9869.5</v>
      </c>
      <c r="O21" s="231">
        <v>9805</v>
      </c>
      <c r="P21" s="228">
        <v>64.5</v>
      </c>
      <c r="Q21" s="229">
        <v>6.6E-3</v>
      </c>
      <c r="R21" s="231">
        <v>9900</v>
      </c>
      <c r="S21" s="231">
        <v>9835.5</v>
      </c>
      <c r="T21" s="228">
        <v>64.5</v>
      </c>
      <c r="U21" s="229">
        <v>6.6E-3</v>
      </c>
      <c r="V21" s="231">
        <v>9936</v>
      </c>
      <c r="W21" s="231">
        <v>9869</v>
      </c>
      <c r="X21" s="228">
        <v>67</v>
      </c>
      <c r="Y21" s="229">
        <v>6.7999999999999996E-3</v>
      </c>
      <c r="Z21" s="228">
        <v>0</v>
      </c>
      <c r="AA21" s="228">
        <v>31</v>
      </c>
      <c r="AB21" s="228">
        <v>-31</v>
      </c>
      <c r="AC21" s="229">
        <v>0</v>
      </c>
      <c r="AD21" s="228">
        <v>0</v>
      </c>
      <c r="AE21" s="228">
        <v>31</v>
      </c>
      <c r="AF21" s="228">
        <v>-31</v>
      </c>
      <c r="AG21" s="229">
        <v>0</v>
      </c>
      <c r="AH21" s="228">
        <v>30.5</v>
      </c>
      <c r="AI21" s="228">
        <v>61.5</v>
      </c>
      <c r="AJ21" s="228">
        <v>-31</v>
      </c>
      <c r="AK21" s="229">
        <v>3.0999999999999999E-3</v>
      </c>
      <c r="AL21" s="228">
        <v>66.5</v>
      </c>
      <c r="AM21" s="228">
        <v>95</v>
      </c>
      <c r="AN21" s="228">
        <v>-28.5</v>
      </c>
      <c r="AO21" s="229">
        <v>6.7000000000000002E-3</v>
      </c>
      <c r="AP21" s="231">
        <v>9869.32</v>
      </c>
      <c r="AQ21" s="231">
        <v>9895.93</v>
      </c>
      <c r="AR21" s="228">
        <v>0</v>
      </c>
      <c r="AS21" s="228">
        <v>394</v>
      </c>
      <c r="AT21" s="228">
        <v>585</v>
      </c>
      <c r="AU21" s="228">
        <v>-191</v>
      </c>
      <c r="AV21" s="229">
        <v>-0.3266</v>
      </c>
      <c r="AW21" s="228">
        <v>345</v>
      </c>
      <c r="AX21" s="228">
        <v>535</v>
      </c>
      <c r="AY21" s="228">
        <v>-190</v>
      </c>
      <c r="AZ21" s="229">
        <v>-0.35570000000000002</v>
      </c>
      <c r="BA21" s="228">
        <v>46</v>
      </c>
      <c r="BB21" s="228">
        <v>47</v>
      </c>
      <c r="BC21" s="228">
        <v>-1</v>
      </c>
      <c r="BD21" s="229">
        <v>-2.5100000000000001E-2</v>
      </c>
      <c r="BE21" s="228">
        <v>3</v>
      </c>
      <c r="BF21" s="228">
        <v>2</v>
      </c>
      <c r="BG21" s="228">
        <v>1</v>
      </c>
      <c r="BH21" s="229">
        <v>0.32140000000000002</v>
      </c>
      <c r="BI21" s="230">
        <v>3367</v>
      </c>
      <c r="BJ21" s="230">
        <v>6089</v>
      </c>
      <c r="BK21" s="230">
        <v>-2722</v>
      </c>
      <c r="BL21" s="229">
        <v>-0.44700000000000001</v>
      </c>
      <c r="BM21" s="230">
        <v>1357</v>
      </c>
      <c r="BN21" s="230">
        <v>2111</v>
      </c>
      <c r="BO21" s="228">
        <v>-754</v>
      </c>
      <c r="BP21" s="229">
        <v>-0.35730000000000001</v>
      </c>
      <c r="BQ21" s="230">
        <v>5117</v>
      </c>
      <c r="BR21" s="230">
        <v>8785</v>
      </c>
      <c r="BS21" s="230">
        <v>-3667</v>
      </c>
      <c r="BT21" s="229">
        <v>-0.41749999999999998</v>
      </c>
      <c r="BU21" s="230">
        <v>332727</v>
      </c>
      <c r="BV21" s="230">
        <v>353874</v>
      </c>
      <c r="BW21" s="230">
        <v>-21147</v>
      </c>
      <c r="BX21" s="229">
        <v>-5.9799999999999999E-2</v>
      </c>
      <c r="BY21" s="230">
        <v>3041</v>
      </c>
      <c r="BZ21" s="230">
        <v>3036</v>
      </c>
      <c r="CA21" s="228">
        <v>5</v>
      </c>
      <c r="CB21" s="229">
        <v>1.6000000000000001E-3</v>
      </c>
      <c r="CC21" s="230">
        <v>2923</v>
      </c>
      <c r="CD21" s="230">
        <v>2939</v>
      </c>
      <c r="CE21" s="228">
        <v>-16</v>
      </c>
      <c r="CF21" s="229">
        <v>-5.4999999999999997E-3</v>
      </c>
      <c r="CG21" s="228">
        <v>113</v>
      </c>
      <c r="CH21" s="228">
        <v>93</v>
      </c>
      <c r="CI21" s="228">
        <v>20</v>
      </c>
      <c r="CJ21" s="229">
        <v>0.21959999999999999</v>
      </c>
      <c r="CK21" s="228">
        <v>6</v>
      </c>
      <c r="CL21" s="228">
        <v>5</v>
      </c>
      <c r="CM21" s="228">
        <v>1</v>
      </c>
      <c r="CN21" s="229">
        <v>0.16919999999999999</v>
      </c>
      <c r="CO21" s="230">
        <v>1417</v>
      </c>
      <c r="CP21" s="230">
        <v>1352</v>
      </c>
      <c r="CQ21" s="228">
        <v>65</v>
      </c>
      <c r="CR21" s="229">
        <v>4.8099999999999997E-2</v>
      </c>
      <c r="CS21" s="228">
        <v>989</v>
      </c>
      <c r="CT21" s="228">
        <v>922</v>
      </c>
      <c r="CU21" s="228">
        <v>67</v>
      </c>
      <c r="CV21" s="229">
        <v>7.2300000000000003E-2</v>
      </c>
      <c r="CW21" s="230">
        <v>5447</v>
      </c>
      <c r="CX21" s="230">
        <v>5310</v>
      </c>
      <c r="CY21" s="228">
        <v>137</v>
      </c>
      <c r="CZ21" s="229">
        <v>2.5700000000000001E-2</v>
      </c>
      <c r="DA21" s="228">
        <v>22.99</v>
      </c>
      <c r="DB21" s="228">
        <v>23.2</v>
      </c>
      <c r="DC21" s="228">
        <v>-0.21</v>
      </c>
      <c r="DD21" s="228">
        <v>-0.21</v>
      </c>
      <c r="DE21" s="228">
        <v>27.4</v>
      </c>
      <c r="DF21" s="228">
        <v>27.43</v>
      </c>
      <c r="DG21" s="228">
        <v>-4.41</v>
      </c>
      <c r="DH21" s="228">
        <v>-0.03</v>
      </c>
      <c r="DI21" s="228">
        <v>22.15</v>
      </c>
      <c r="DJ21" s="228">
        <v>22.63</v>
      </c>
      <c r="DK21" s="228">
        <v>-0.48</v>
      </c>
      <c r="DL21" s="228">
        <v>-0.48</v>
      </c>
      <c r="DM21" s="228">
        <v>25.07</v>
      </c>
      <c r="DN21" s="228">
        <v>24.87</v>
      </c>
      <c r="DO21" s="228">
        <v>0.2</v>
      </c>
      <c r="DP21" s="228">
        <v>0.2</v>
      </c>
      <c r="DQ21" s="228">
        <v>0.7</v>
      </c>
      <c r="DR21" s="228">
        <v>0.68</v>
      </c>
      <c r="DS21" s="228">
        <v>0.02</v>
      </c>
      <c r="DT21" s="229">
        <v>2.9399999999999999E-2</v>
      </c>
      <c r="DU21" s="231">
        <v>9800</v>
      </c>
      <c r="DV21" s="231">
        <v>9700</v>
      </c>
      <c r="DW21" s="228">
        <v>0.4</v>
      </c>
      <c r="DX21" s="228">
        <v>0.35</v>
      </c>
      <c r="DY21" s="228">
        <v>0.05</v>
      </c>
      <c r="DZ21" s="229">
        <v>0.1429</v>
      </c>
      <c r="EA21" s="229">
        <v>3.9E-2</v>
      </c>
      <c r="EB21" s="230">
        <v>98775</v>
      </c>
      <c r="EC21" s="229">
        <v>3.0999999999999999E-3</v>
      </c>
      <c r="ED21" s="229">
        <v>3.9E-2</v>
      </c>
      <c r="EE21" s="228">
        <v>26.61</v>
      </c>
      <c r="EF21" s="229">
        <v>2.7000000000000001E-3</v>
      </c>
      <c r="EG21" s="230">
        <v>152062</v>
      </c>
      <c r="EH21" s="230">
        <v>146459</v>
      </c>
      <c r="EI21" s="229">
        <v>3.8300000000000001E-2</v>
      </c>
      <c r="EJ21" s="229">
        <v>0.45700000000000002</v>
      </c>
      <c r="EK21" s="231">
        <v>3466.94</v>
      </c>
      <c r="EL21" s="231">
        <v>1321.95</v>
      </c>
      <c r="EM21" s="228">
        <v>393.86</v>
      </c>
      <c r="EN21" s="228">
        <v>51.95</v>
      </c>
      <c r="EO21" s="231">
        <v>5182.75</v>
      </c>
      <c r="EP21" s="231">
        <v>8875.15</v>
      </c>
      <c r="EQ21" s="231">
        <v>-3692.41</v>
      </c>
      <c r="ER21" s="229">
        <v>-0.41599999999999998</v>
      </c>
      <c r="ES21" s="231">
        <v>1448.86</v>
      </c>
      <c r="ET21" s="228">
        <v>924.83</v>
      </c>
      <c r="EU21" s="231">
        <v>3041.85</v>
      </c>
      <c r="EV21" s="231">
        <v>15906526</v>
      </c>
      <c r="EW21" s="231">
        <v>5415.53</v>
      </c>
      <c r="EX21" s="231">
        <v>5252.85</v>
      </c>
      <c r="EY21" s="228">
        <v>162.68</v>
      </c>
      <c r="EZ21" s="229">
        <v>3.1E-2</v>
      </c>
      <c r="FA21" s="229">
        <v>0.34699999999999998</v>
      </c>
      <c r="FB21" s="227" t="s">
        <v>555</v>
      </c>
      <c r="FC21">
        <f t="shared" si="0"/>
        <v>118</v>
      </c>
    </row>
    <row r="22" spans="1:159" ht="17.25" hidden="1" thickBot="1" x14ac:dyDescent="0.3">
      <c r="A22" s="226">
        <v>46064</v>
      </c>
      <c r="B22" s="227" t="s">
        <v>175</v>
      </c>
      <c r="C22" s="227" t="s">
        <v>176</v>
      </c>
      <c r="D22" s="228">
        <v>250</v>
      </c>
      <c r="E22" s="228">
        <v>13</v>
      </c>
      <c r="F22" s="231">
        <v>2028.5</v>
      </c>
      <c r="G22" s="231">
        <v>2029.4</v>
      </c>
      <c r="H22" s="228">
        <v>-0.9</v>
      </c>
      <c r="I22" s="229">
        <v>-4.0000000000000002E-4</v>
      </c>
      <c r="J22" s="231">
        <v>2027</v>
      </c>
      <c r="K22" s="231">
        <v>2027.9</v>
      </c>
      <c r="L22" s="228">
        <v>-0.9</v>
      </c>
      <c r="M22" s="229">
        <v>-4.0000000000000002E-4</v>
      </c>
      <c r="N22" s="231">
        <v>2028.5</v>
      </c>
      <c r="O22" s="231">
        <v>2029.4</v>
      </c>
      <c r="P22" s="228">
        <v>-0.9</v>
      </c>
      <c r="Q22" s="229">
        <v>-4.0000000000000002E-4</v>
      </c>
      <c r="R22" s="231">
        <v>2041.4</v>
      </c>
      <c r="S22" s="231">
        <v>2041.6</v>
      </c>
      <c r="T22" s="228">
        <v>-0.2</v>
      </c>
      <c r="U22" s="229">
        <v>-1E-4</v>
      </c>
      <c r="V22" s="231">
        <v>2055</v>
      </c>
      <c r="W22" s="231">
        <v>2056.1</v>
      </c>
      <c r="X22" s="228">
        <v>-1.1000000000000001</v>
      </c>
      <c r="Y22" s="229">
        <v>-5.0000000000000001E-4</v>
      </c>
      <c r="Z22" s="228">
        <v>1.5</v>
      </c>
      <c r="AA22" s="228">
        <v>1.5</v>
      </c>
      <c r="AB22" s="228">
        <v>0</v>
      </c>
      <c r="AC22" s="229">
        <v>6.9999999999999999E-4</v>
      </c>
      <c r="AD22" s="228">
        <v>1.5</v>
      </c>
      <c r="AE22" s="228">
        <v>1.5</v>
      </c>
      <c r="AF22" s="228">
        <v>0</v>
      </c>
      <c r="AG22" s="229">
        <v>6.9999999999999999E-4</v>
      </c>
      <c r="AH22" s="228">
        <v>14.4</v>
      </c>
      <c r="AI22" s="228">
        <v>13.7</v>
      </c>
      <c r="AJ22" s="228">
        <v>0.7</v>
      </c>
      <c r="AK22" s="229">
        <v>7.1000000000000004E-3</v>
      </c>
      <c r="AL22" s="228">
        <v>28</v>
      </c>
      <c r="AM22" s="228">
        <v>28.2</v>
      </c>
      <c r="AN22" s="228">
        <v>-0.2</v>
      </c>
      <c r="AO22" s="229">
        <v>1.38E-2</v>
      </c>
      <c r="AP22" s="231">
        <v>2035.95</v>
      </c>
      <c r="AQ22" s="231">
        <v>2049.13</v>
      </c>
      <c r="AR22" s="228">
        <v>0</v>
      </c>
      <c r="AS22" s="228">
        <v>152</v>
      </c>
      <c r="AT22" s="228">
        <v>189</v>
      </c>
      <c r="AU22" s="228">
        <v>-37</v>
      </c>
      <c r="AV22" s="229">
        <v>-0.19689999999999999</v>
      </c>
      <c r="AW22" s="228">
        <v>139</v>
      </c>
      <c r="AX22" s="228">
        <v>182</v>
      </c>
      <c r="AY22" s="228">
        <v>-43</v>
      </c>
      <c r="AZ22" s="229">
        <v>-0.23719999999999999</v>
      </c>
      <c r="BA22" s="228">
        <v>12</v>
      </c>
      <c r="BB22" s="228">
        <v>7</v>
      </c>
      <c r="BC22" s="228">
        <v>5</v>
      </c>
      <c r="BD22" s="229">
        <v>0.83720000000000006</v>
      </c>
      <c r="BE22" s="228">
        <v>1</v>
      </c>
      <c r="BF22" s="228">
        <v>0</v>
      </c>
      <c r="BG22" s="228">
        <v>0</v>
      </c>
      <c r="BH22" s="229">
        <v>1</v>
      </c>
      <c r="BI22" s="230">
        <v>1527</v>
      </c>
      <c r="BJ22" s="228">
        <v>785</v>
      </c>
      <c r="BK22" s="228">
        <v>742</v>
      </c>
      <c r="BL22" s="229">
        <v>0.94440000000000002</v>
      </c>
      <c r="BM22" s="228">
        <v>585</v>
      </c>
      <c r="BN22" s="228">
        <v>473</v>
      </c>
      <c r="BO22" s="228">
        <v>112</v>
      </c>
      <c r="BP22" s="229">
        <v>0.23619999999999999</v>
      </c>
      <c r="BQ22" s="230">
        <v>2263</v>
      </c>
      <c r="BR22" s="230">
        <v>1447</v>
      </c>
      <c r="BS22" s="228">
        <v>816</v>
      </c>
      <c r="BT22" s="229">
        <v>0.56399999999999995</v>
      </c>
      <c r="BU22" s="230">
        <v>554419</v>
      </c>
      <c r="BV22" s="230">
        <v>748492</v>
      </c>
      <c r="BW22" s="230">
        <v>-194073</v>
      </c>
      <c r="BX22" s="229">
        <v>-0.25929999999999997</v>
      </c>
      <c r="BY22" s="230">
        <v>2595</v>
      </c>
      <c r="BZ22" s="230">
        <v>2610</v>
      </c>
      <c r="CA22" s="228">
        <v>-16</v>
      </c>
      <c r="CB22" s="229">
        <v>-5.8999999999999999E-3</v>
      </c>
      <c r="CC22" s="230">
        <v>2520</v>
      </c>
      <c r="CD22" s="230">
        <v>2540</v>
      </c>
      <c r="CE22" s="228">
        <v>-20</v>
      </c>
      <c r="CF22" s="229">
        <v>-7.7000000000000002E-3</v>
      </c>
      <c r="CG22" s="228">
        <v>69</v>
      </c>
      <c r="CH22" s="228">
        <v>65</v>
      </c>
      <c r="CI22" s="228">
        <v>4</v>
      </c>
      <c r="CJ22" s="229">
        <v>5.6099999999999997E-2</v>
      </c>
      <c r="CK22" s="228">
        <v>6</v>
      </c>
      <c r="CL22" s="228">
        <v>5</v>
      </c>
      <c r="CM22" s="228">
        <v>0</v>
      </c>
      <c r="CN22" s="229">
        <v>7.6899999999999996E-2</v>
      </c>
      <c r="CO22" s="230">
        <v>1192</v>
      </c>
      <c r="CP22" s="230">
        <v>1180</v>
      </c>
      <c r="CQ22" s="228">
        <v>12</v>
      </c>
      <c r="CR22" s="229">
        <v>1.0200000000000001E-2</v>
      </c>
      <c r="CS22" s="228">
        <v>788</v>
      </c>
      <c r="CT22" s="228">
        <v>793</v>
      </c>
      <c r="CU22" s="228">
        <v>-5</v>
      </c>
      <c r="CV22" s="229">
        <v>-6.7000000000000002E-3</v>
      </c>
      <c r="CW22" s="230">
        <v>4574</v>
      </c>
      <c r="CX22" s="230">
        <v>4583</v>
      </c>
      <c r="CY22" s="228">
        <v>-9</v>
      </c>
      <c r="CZ22" s="229">
        <v>-1.9E-3</v>
      </c>
      <c r="DA22" s="228">
        <v>19.989999999999998</v>
      </c>
      <c r="DB22" s="228">
        <v>20.02</v>
      </c>
      <c r="DC22" s="228">
        <v>-0.03</v>
      </c>
      <c r="DD22" s="228">
        <v>-0.03</v>
      </c>
      <c r="DE22" s="228">
        <v>27.97</v>
      </c>
      <c r="DF22" s="228">
        <v>28.04</v>
      </c>
      <c r="DG22" s="228">
        <v>-7.98</v>
      </c>
      <c r="DH22" s="228">
        <v>-7.0000000000000007E-2</v>
      </c>
      <c r="DI22" s="228">
        <v>19.72</v>
      </c>
      <c r="DJ22" s="228">
        <v>19.36</v>
      </c>
      <c r="DK22" s="228">
        <v>0.36</v>
      </c>
      <c r="DL22" s="228">
        <v>0.36</v>
      </c>
      <c r="DM22" s="228">
        <v>20.68</v>
      </c>
      <c r="DN22" s="228">
        <v>21.11</v>
      </c>
      <c r="DO22" s="228">
        <v>-0.43</v>
      </c>
      <c r="DP22" s="228">
        <v>-0.43</v>
      </c>
      <c r="DQ22" s="228">
        <v>0.66</v>
      </c>
      <c r="DR22" s="228">
        <v>0.67</v>
      </c>
      <c r="DS22" s="228">
        <v>-0.01</v>
      </c>
      <c r="DT22" s="229">
        <v>-1.49E-2</v>
      </c>
      <c r="DU22" s="231">
        <v>2040</v>
      </c>
      <c r="DV22" s="231">
        <v>1680</v>
      </c>
      <c r="DW22" s="228">
        <v>0.38</v>
      </c>
      <c r="DX22" s="228">
        <v>0.6</v>
      </c>
      <c r="DY22" s="228">
        <v>-0.22</v>
      </c>
      <c r="DZ22" s="229">
        <v>-0.36670000000000003</v>
      </c>
      <c r="EA22" s="229">
        <v>2.87E-2</v>
      </c>
      <c r="EB22" s="230">
        <v>346750</v>
      </c>
      <c r="EC22" s="229">
        <v>6.4000000000000003E-3</v>
      </c>
      <c r="ED22" s="229">
        <v>2.87E-2</v>
      </c>
      <c r="EE22" s="228">
        <v>13.18</v>
      </c>
      <c r="EF22" s="229">
        <v>6.4999999999999997E-3</v>
      </c>
      <c r="EG22" s="230">
        <v>263282</v>
      </c>
      <c r="EH22" s="230">
        <v>476429</v>
      </c>
      <c r="EI22" s="229">
        <v>-0.44740000000000002</v>
      </c>
      <c r="EJ22" s="229">
        <v>0.47489999999999999</v>
      </c>
      <c r="EK22" s="231">
        <v>1568.2</v>
      </c>
      <c r="EL22" s="228">
        <v>577.84</v>
      </c>
      <c r="EM22" s="228">
        <v>152.22999999999999</v>
      </c>
      <c r="EN22" s="228">
        <v>52.38</v>
      </c>
      <c r="EO22" s="231">
        <v>2298.27</v>
      </c>
      <c r="EP22" s="231">
        <v>1458.82</v>
      </c>
      <c r="EQ22" s="228">
        <v>839.45</v>
      </c>
      <c r="ER22" s="229">
        <v>0.57540000000000002</v>
      </c>
      <c r="ES22" s="231">
        <v>1223.51</v>
      </c>
      <c r="ET22" s="228">
        <v>728.45</v>
      </c>
      <c r="EU22" s="231">
        <v>2595.06</v>
      </c>
      <c r="EV22" s="231">
        <v>65701623</v>
      </c>
      <c r="EW22" s="231">
        <v>4547.0200000000004</v>
      </c>
      <c r="EX22" s="231">
        <v>4555.88</v>
      </c>
      <c r="EY22" s="228">
        <v>-8.86</v>
      </c>
      <c r="EZ22" s="229">
        <v>-1.9E-3</v>
      </c>
      <c r="FA22" s="229">
        <v>0.34320000000000001</v>
      </c>
      <c r="FB22" s="227" t="s">
        <v>568</v>
      </c>
      <c r="FC22">
        <f t="shared" si="0"/>
        <v>75</v>
      </c>
    </row>
    <row r="23" spans="1:159" ht="17.25" hidden="1" thickBot="1" x14ac:dyDescent="0.3">
      <c r="A23" s="226">
        <v>46064</v>
      </c>
      <c r="B23" s="227" t="s">
        <v>175</v>
      </c>
      <c r="C23" s="227" t="s">
        <v>690</v>
      </c>
      <c r="D23" s="228">
        <v>50</v>
      </c>
      <c r="E23" s="228">
        <v>13</v>
      </c>
      <c r="F23" s="231">
        <v>11120</v>
      </c>
      <c r="G23" s="231">
        <v>11118</v>
      </c>
      <c r="H23" s="228">
        <v>2</v>
      </c>
      <c r="I23" s="229">
        <v>2.0000000000000001E-4</v>
      </c>
      <c r="J23" s="231">
        <v>11111</v>
      </c>
      <c r="K23" s="231">
        <v>11081</v>
      </c>
      <c r="L23" s="228">
        <v>30</v>
      </c>
      <c r="M23" s="229">
        <v>2.7000000000000001E-3</v>
      </c>
      <c r="N23" s="231">
        <v>11120</v>
      </c>
      <c r="O23" s="231">
        <v>11118</v>
      </c>
      <c r="P23" s="228">
        <v>2</v>
      </c>
      <c r="Q23" s="229">
        <v>2.0000000000000001E-4</v>
      </c>
      <c r="R23" s="231">
        <v>11186</v>
      </c>
      <c r="S23" s="231">
        <v>11175</v>
      </c>
      <c r="T23" s="228">
        <v>11</v>
      </c>
      <c r="U23" s="229">
        <v>1E-3</v>
      </c>
      <c r="V23" s="231">
        <v>11261</v>
      </c>
      <c r="W23" s="231">
        <v>11200</v>
      </c>
      <c r="X23" s="228">
        <v>61</v>
      </c>
      <c r="Y23" s="229">
        <v>5.4000000000000003E-3</v>
      </c>
      <c r="Z23" s="228">
        <v>9</v>
      </c>
      <c r="AA23" s="228">
        <v>37</v>
      </c>
      <c r="AB23" s="228">
        <v>-28</v>
      </c>
      <c r="AC23" s="229">
        <v>8.0000000000000004E-4</v>
      </c>
      <c r="AD23" s="228">
        <v>9</v>
      </c>
      <c r="AE23" s="228">
        <v>37</v>
      </c>
      <c r="AF23" s="228">
        <v>-28</v>
      </c>
      <c r="AG23" s="229">
        <v>8.0000000000000004E-4</v>
      </c>
      <c r="AH23" s="228">
        <v>75</v>
      </c>
      <c r="AI23" s="228">
        <v>94</v>
      </c>
      <c r="AJ23" s="228">
        <v>-19</v>
      </c>
      <c r="AK23" s="229">
        <v>6.7999999999999996E-3</v>
      </c>
      <c r="AL23" s="228">
        <v>150</v>
      </c>
      <c r="AM23" s="228">
        <v>119</v>
      </c>
      <c r="AN23" s="228">
        <v>31</v>
      </c>
      <c r="AO23" s="229">
        <v>1.35E-2</v>
      </c>
      <c r="AP23" s="231">
        <v>11141.23</v>
      </c>
      <c r="AQ23" s="231">
        <v>11223.13</v>
      </c>
      <c r="AR23" s="228">
        <v>0</v>
      </c>
      <c r="AS23" s="228">
        <v>29</v>
      </c>
      <c r="AT23" s="228">
        <v>33</v>
      </c>
      <c r="AU23" s="228">
        <v>-4</v>
      </c>
      <c r="AV23" s="229">
        <v>-0.1246</v>
      </c>
      <c r="AW23" s="228">
        <v>27</v>
      </c>
      <c r="AX23" s="228">
        <v>26</v>
      </c>
      <c r="AY23" s="228">
        <v>1</v>
      </c>
      <c r="AZ23" s="229">
        <v>4.4999999999999998E-2</v>
      </c>
      <c r="BA23" s="228">
        <v>2</v>
      </c>
      <c r="BB23" s="228">
        <v>7</v>
      </c>
      <c r="BC23" s="228">
        <v>-6</v>
      </c>
      <c r="BD23" s="229">
        <v>-0.75570000000000004</v>
      </c>
      <c r="BE23" s="228">
        <v>0</v>
      </c>
      <c r="BF23" s="228">
        <v>0</v>
      </c>
      <c r="BG23" s="228">
        <v>0</v>
      </c>
      <c r="BH23" s="229">
        <v>0.75</v>
      </c>
      <c r="BI23" s="228">
        <v>134</v>
      </c>
      <c r="BJ23" s="228">
        <v>137</v>
      </c>
      <c r="BK23" s="228">
        <v>-2</v>
      </c>
      <c r="BL23" s="229">
        <v>-1.7899999999999999E-2</v>
      </c>
      <c r="BM23" s="228">
        <v>10</v>
      </c>
      <c r="BN23" s="228">
        <v>12</v>
      </c>
      <c r="BO23" s="228">
        <v>-2</v>
      </c>
      <c r="BP23" s="229">
        <v>-0.1925</v>
      </c>
      <c r="BQ23" s="228">
        <v>173</v>
      </c>
      <c r="BR23" s="228">
        <v>182</v>
      </c>
      <c r="BS23" s="228">
        <v>-9</v>
      </c>
      <c r="BT23" s="229">
        <v>-4.8899999999999999E-2</v>
      </c>
      <c r="BU23" s="230">
        <v>29731</v>
      </c>
      <c r="BV23" s="230">
        <v>34390</v>
      </c>
      <c r="BW23" s="230">
        <v>-4659</v>
      </c>
      <c r="BX23" s="229">
        <v>-0.13550000000000001</v>
      </c>
      <c r="BY23" s="228">
        <v>237</v>
      </c>
      <c r="BZ23" s="228">
        <v>237</v>
      </c>
      <c r="CA23" s="228">
        <v>-1</v>
      </c>
      <c r="CB23" s="229">
        <v>-2.0999999999999999E-3</v>
      </c>
      <c r="CC23" s="228">
        <v>227</v>
      </c>
      <c r="CD23" s="228">
        <v>228</v>
      </c>
      <c r="CE23" s="228">
        <v>-1</v>
      </c>
      <c r="CF23" s="229">
        <v>-4.4000000000000003E-3</v>
      </c>
      <c r="CG23" s="228">
        <v>9</v>
      </c>
      <c r="CH23" s="228">
        <v>9</v>
      </c>
      <c r="CI23" s="228">
        <v>0</v>
      </c>
      <c r="CJ23" s="229">
        <v>1.2699999999999999E-2</v>
      </c>
      <c r="CK23" s="228">
        <v>1</v>
      </c>
      <c r="CL23" s="228">
        <v>1</v>
      </c>
      <c r="CM23" s="228">
        <v>0</v>
      </c>
      <c r="CN23" s="229">
        <v>0.63639999999999997</v>
      </c>
      <c r="CO23" s="228">
        <v>180</v>
      </c>
      <c r="CP23" s="228">
        <v>180</v>
      </c>
      <c r="CQ23" s="228">
        <v>0</v>
      </c>
      <c r="CR23" s="229">
        <v>1.1999999999999999E-3</v>
      </c>
      <c r="CS23" s="228">
        <v>71</v>
      </c>
      <c r="CT23" s="228">
        <v>71</v>
      </c>
      <c r="CU23" s="228">
        <v>0</v>
      </c>
      <c r="CV23" s="229">
        <v>-2.3999999999999998E-3</v>
      </c>
      <c r="CW23" s="228">
        <v>487</v>
      </c>
      <c r="CX23" s="228">
        <v>488</v>
      </c>
      <c r="CY23" s="228">
        <v>0</v>
      </c>
      <c r="CZ23" s="229">
        <v>-8.9999999999999998E-4</v>
      </c>
      <c r="DA23" s="228">
        <v>29.3</v>
      </c>
      <c r="DB23" s="228">
        <v>29.09</v>
      </c>
      <c r="DC23" s="228">
        <v>0.21</v>
      </c>
      <c r="DD23" s="228">
        <v>0.21</v>
      </c>
      <c r="DE23" s="228">
        <v>37.520000000000003</v>
      </c>
      <c r="DF23" s="228">
        <v>37.61</v>
      </c>
      <c r="DG23" s="228">
        <v>-8.2200000000000006</v>
      </c>
      <c r="DH23" s="228">
        <v>-0.09</v>
      </c>
      <c r="DI23" s="228">
        <v>29.32</v>
      </c>
      <c r="DJ23" s="228">
        <v>28.89</v>
      </c>
      <c r="DK23" s="228">
        <v>0.43</v>
      </c>
      <c r="DL23" s="228">
        <v>0.43</v>
      </c>
      <c r="DM23" s="228">
        <v>29.09</v>
      </c>
      <c r="DN23" s="228">
        <v>31.34</v>
      </c>
      <c r="DO23" s="228">
        <v>-2.25</v>
      </c>
      <c r="DP23" s="228">
        <v>-2.25</v>
      </c>
      <c r="DQ23" s="228">
        <v>0.39</v>
      </c>
      <c r="DR23" s="228">
        <v>0.39</v>
      </c>
      <c r="DS23" s="228">
        <v>0</v>
      </c>
      <c r="DT23" s="229">
        <v>0</v>
      </c>
      <c r="DU23" s="231">
        <v>12000</v>
      </c>
      <c r="DV23" s="231">
        <v>10500</v>
      </c>
      <c r="DW23" s="228">
        <v>7.0000000000000007E-2</v>
      </c>
      <c r="DX23" s="228">
        <v>0.09</v>
      </c>
      <c r="DY23" s="228">
        <v>-0.02</v>
      </c>
      <c r="DZ23" s="229">
        <v>-0.22220000000000001</v>
      </c>
      <c r="EA23" s="229">
        <v>4.1599999999999998E-2</v>
      </c>
      <c r="EB23" s="230">
        <v>8400</v>
      </c>
      <c r="EC23" s="229">
        <v>5.8999999999999999E-3</v>
      </c>
      <c r="ED23" s="229">
        <v>4.1599999999999998E-2</v>
      </c>
      <c r="EE23" s="228">
        <v>81.900000000000006</v>
      </c>
      <c r="EF23" s="229">
        <v>7.4000000000000003E-3</v>
      </c>
      <c r="EG23" s="230">
        <v>15123</v>
      </c>
      <c r="EH23" s="230">
        <v>17859</v>
      </c>
      <c r="EI23" s="229">
        <v>-0.1532</v>
      </c>
      <c r="EJ23" s="229">
        <v>0.50870000000000004</v>
      </c>
      <c r="EK23" s="228">
        <v>141.53</v>
      </c>
      <c r="EL23" s="228">
        <v>9.2799999999999994</v>
      </c>
      <c r="EM23" s="228">
        <v>29.37</v>
      </c>
      <c r="EN23" s="228">
        <v>10.37</v>
      </c>
      <c r="EO23" s="228">
        <v>180.19</v>
      </c>
      <c r="EP23" s="228">
        <v>189.65</v>
      </c>
      <c r="EQ23" s="228">
        <v>-9.4700000000000006</v>
      </c>
      <c r="ER23" s="229">
        <v>-4.99E-2</v>
      </c>
      <c r="ES23" s="228">
        <v>185.75</v>
      </c>
      <c r="ET23" s="228">
        <v>67.2</v>
      </c>
      <c r="EU23" s="228">
        <v>236.87</v>
      </c>
      <c r="EV23" s="231">
        <v>5401993</v>
      </c>
      <c r="EW23" s="228">
        <v>489.82</v>
      </c>
      <c r="EX23" s="228">
        <v>490.11</v>
      </c>
      <c r="EY23" s="228">
        <v>-0.28999999999999998</v>
      </c>
      <c r="EZ23" s="229">
        <v>-5.9999999999999995E-4</v>
      </c>
      <c r="FA23" s="229">
        <v>8.1100000000000005E-2</v>
      </c>
      <c r="FB23" s="227" t="s">
        <v>556</v>
      </c>
      <c r="FC23">
        <f t="shared" si="0"/>
        <v>10</v>
      </c>
    </row>
    <row r="24" spans="1:159" ht="17.25" hidden="1" thickBot="1" x14ac:dyDescent="0.3">
      <c r="A24" s="226">
        <v>46064</v>
      </c>
      <c r="B24" s="227" t="s">
        <v>175</v>
      </c>
      <c r="C24" s="227" t="s">
        <v>177</v>
      </c>
      <c r="D24" s="228">
        <v>750</v>
      </c>
      <c r="E24" s="228">
        <v>13</v>
      </c>
      <c r="F24" s="228">
        <v>969.35</v>
      </c>
      <c r="G24" s="228">
        <v>968.5</v>
      </c>
      <c r="H24" s="228">
        <v>0.85</v>
      </c>
      <c r="I24" s="229">
        <v>8.9999999999999998E-4</v>
      </c>
      <c r="J24" s="228">
        <v>968.95</v>
      </c>
      <c r="K24" s="228">
        <v>965.6</v>
      </c>
      <c r="L24" s="228">
        <v>3.35</v>
      </c>
      <c r="M24" s="229">
        <v>3.5000000000000001E-3</v>
      </c>
      <c r="N24" s="228">
        <v>969.35</v>
      </c>
      <c r="O24" s="228">
        <v>968.5</v>
      </c>
      <c r="P24" s="228">
        <v>0.85</v>
      </c>
      <c r="Q24" s="229">
        <v>8.9999999999999998E-4</v>
      </c>
      <c r="R24" s="228">
        <v>975.8</v>
      </c>
      <c r="S24" s="228">
        <v>974.4</v>
      </c>
      <c r="T24" s="228">
        <v>1.4</v>
      </c>
      <c r="U24" s="229">
        <v>1.4E-3</v>
      </c>
      <c r="V24" s="228">
        <v>981.25</v>
      </c>
      <c r="W24" s="228">
        <v>980.3</v>
      </c>
      <c r="X24" s="228">
        <v>0.95</v>
      </c>
      <c r="Y24" s="229">
        <v>1E-3</v>
      </c>
      <c r="Z24" s="228">
        <v>0.4</v>
      </c>
      <c r="AA24" s="228">
        <v>2.9</v>
      </c>
      <c r="AB24" s="228">
        <v>-2.5</v>
      </c>
      <c r="AC24" s="229">
        <v>4.0000000000000002E-4</v>
      </c>
      <c r="AD24" s="228">
        <v>0.4</v>
      </c>
      <c r="AE24" s="228">
        <v>2.9</v>
      </c>
      <c r="AF24" s="228">
        <v>-2.5</v>
      </c>
      <c r="AG24" s="229">
        <v>4.0000000000000002E-4</v>
      </c>
      <c r="AH24" s="228">
        <v>6.85</v>
      </c>
      <c r="AI24" s="228">
        <v>8.8000000000000007</v>
      </c>
      <c r="AJ24" s="228">
        <v>-1.95</v>
      </c>
      <c r="AK24" s="229">
        <v>7.1000000000000004E-3</v>
      </c>
      <c r="AL24" s="228">
        <v>12.3</v>
      </c>
      <c r="AM24" s="228">
        <v>14.7</v>
      </c>
      <c r="AN24" s="228">
        <v>-2.4</v>
      </c>
      <c r="AO24" s="229">
        <v>1.2699999999999999E-2</v>
      </c>
      <c r="AP24" s="228">
        <v>969.67</v>
      </c>
      <c r="AQ24" s="228">
        <v>975.96</v>
      </c>
      <c r="AR24" s="228">
        <v>0</v>
      </c>
      <c r="AS24" s="228">
        <v>513</v>
      </c>
      <c r="AT24" s="228">
        <v>618</v>
      </c>
      <c r="AU24" s="228">
        <v>-105</v>
      </c>
      <c r="AV24" s="229">
        <v>-0.1696</v>
      </c>
      <c r="AW24" s="228">
        <v>456</v>
      </c>
      <c r="AX24" s="228">
        <v>527</v>
      </c>
      <c r="AY24" s="228">
        <v>-71</v>
      </c>
      <c r="AZ24" s="229">
        <v>-0.13450000000000001</v>
      </c>
      <c r="BA24" s="228">
        <v>53</v>
      </c>
      <c r="BB24" s="228">
        <v>77</v>
      </c>
      <c r="BC24" s="228">
        <v>-25</v>
      </c>
      <c r="BD24" s="229">
        <v>-0.31919999999999998</v>
      </c>
      <c r="BE24" s="228">
        <v>4</v>
      </c>
      <c r="BF24" s="228">
        <v>14</v>
      </c>
      <c r="BG24" s="228">
        <v>-9</v>
      </c>
      <c r="BH24" s="229">
        <v>-0.68279999999999996</v>
      </c>
      <c r="BI24" s="230">
        <v>1940</v>
      </c>
      <c r="BJ24" s="230">
        <v>2158</v>
      </c>
      <c r="BK24" s="228">
        <v>-219</v>
      </c>
      <c r="BL24" s="229">
        <v>-0.1013</v>
      </c>
      <c r="BM24" s="230">
        <v>1143</v>
      </c>
      <c r="BN24" s="230">
        <v>1488</v>
      </c>
      <c r="BO24" s="228">
        <v>-345</v>
      </c>
      <c r="BP24" s="229">
        <v>-0.23200000000000001</v>
      </c>
      <c r="BQ24" s="230">
        <v>3595</v>
      </c>
      <c r="BR24" s="230">
        <v>4264</v>
      </c>
      <c r="BS24" s="228">
        <v>-669</v>
      </c>
      <c r="BT24" s="229">
        <v>-0.15679999999999999</v>
      </c>
      <c r="BU24" s="230">
        <v>3722456</v>
      </c>
      <c r="BV24" s="230">
        <v>6470494</v>
      </c>
      <c r="BW24" s="230">
        <v>-2748038</v>
      </c>
      <c r="BX24" s="229">
        <v>-0.42470000000000002</v>
      </c>
      <c r="BY24" s="230">
        <v>8440</v>
      </c>
      <c r="BZ24" s="230">
        <v>8461</v>
      </c>
      <c r="CA24" s="228">
        <v>-21</v>
      </c>
      <c r="CB24" s="229">
        <v>-2.3999999999999998E-3</v>
      </c>
      <c r="CC24" s="230">
        <v>7937</v>
      </c>
      <c r="CD24" s="230">
        <v>7974</v>
      </c>
      <c r="CE24" s="228">
        <v>-37</v>
      </c>
      <c r="CF24" s="229">
        <v>-4.5999999999999999E-3</v>
      </c>
      <c r="CG24" s="228">
        <v>470</v>
      </c>
      <c r="CH24" s="228">
        <v>455</v>
      </c>
      <c r="CI24" s="228">
        <v>15</v>
      </c>
      <c r="CJ24" s="229">
        <v>3.2300000000000002E-2</v>
      </c>
      <c r="CK24" s="228">
        <v>34</v>
      </c>
      <c r="CL24" s="228">
        <v>32</v>
      </c>
      <c r="CM24" s="228">
        <v>1</v>
      </c>
      <c r="CN24" s="229">
        <v>4.0599999999999997E-2</v>
      </c>
      <c r="CO24" s="230">
        <v>1823</v>
      </c>
      <c r="CP24" s="230">
        <v>1864</v>
      </c>
      <c r="CQ24" s="228">
        <v>-41</v>
      </c>
      <c r="CR24" s="229">
        <v>-2.1999999999999999E-2</v>
      </c>
      <c r="CS24" s="230">
        <v>1734</v>
      </c>
      <c r="CT24" s="230">
        <v>1803</v>
      </c>
      <c r="CU24" s="228">
        <v>-69</v>
      </c>
      <c r="CV24" s="229">
        <v>-3.8300000000000001E-2</v>
      </c>
      <c r="CW24" s="230">
        <v>11997</v>
      </c>
      <c r="CX24" s="230">
        <v>12128</v>
      </c>
      <c r="CY24" s="228">
        <v>-131</v>
      </c>
      <c r="CZ24" s="229">
        <v>-1.0800000000000001E-2</v>
      </c>
      <c r="DA24" s="228">
        <v>25.19</v>
      </c>
      <c r="DB24" s="228">
        <v>25.18</v>
      </c>
      <c r="DC24" s="228">
        <v>0.01</v>
      </c>
      <c r="DD24" s="228">
        <v>0.01</v>
      </c>
      <c r="DE24" s="228">
        <v>31.59</v>
      </c>
      <c r="DF24" s="228">
        <v>31.66</v>
      </c>
      <c r="DG24" s="228">
        <v>-6.4</v>
      </c>
      <c r="DH24" s="228">
        <v>-7.0000000000000007E-2</v>
      </c>
      <c r="DI24" s="228">
        <v>24.81</v>
      </c>
      <c r="DJ24" s="228">
        <v>24.71</v>
      </c>
      <c r="DK24" s="228">
        <v>0.1</v>
      </c>
      <c r="DL24" s="228">
        <v>0.1</v>
      </c>
      <c r="DM24" s="228">
        <v>25.83</v>
      </c>
      <c r="DN24" s="228">
        <v>25.87</v>
      </c>
      <c r="DO24" s="228">
        <v>-0.04</v>
      </c>
      <c r="DP24" s="228">
        <v>-0.04</v>
      </c>
      <c r="DQ24" s="228">
        <v>0.95</v>
      </c>
      <c r="DR24" s="228">
        <v>0.97</v>
      </c>
      <c r="DS24" s="228">
        <v>-0.02</v>
      </c>
      <c r="DT24" s="229">
        <v>-2.06E-2</v>
      </c>
      <c r="DU24" s="231">
        <v>1000</v>
      </c>
      <c r="DV24" s="228">
        <v>950</v>
      </c>
      <c r="DW24" s="228">
        <v>0.59</v>
      </c>
      <c r="DX24" s="228">
        <v>0.69</v>
      </c>
      <c r="DY24" s="228">
        <v>-0.1</v>
      </c>
      <c r="DZ24" s="229">
        <v>-0.1449</v>
      </c>
      <c r="EA24" s="229">
        <v>5.9700000000000003E-2</v>
      </c>
      <c r="EB24" s="230">
        <v>5029500</v>
      </c>
      <c r="EC24" s="229">
        <v>6.7000000000000002E-3</v>
      </c>
      <c r="ED24" s="229">
        <v>5.9700000000000003E-2</v>
      </c>
      <c r="EE24" s="228">
        <v>6.29</v>
      </c>
      <c r="EF24" s="229">
        <v>6.4999999999999997E-3</v>
      </c>
      <c r="EG24" s="230">
        <v>2050181</v>
      </c>
      <c r="EH24" s="230">
        <v>3988080</v>
      </c>
      <c r="EI24" s="229">
        <v>-0.4859</v>
      </c>
      <c r="EJ24" s="229">
        <v>0.55079999999999996</v>
      </c>
      <c r="EK24" s="231">
        <v>2024.48</v>
      </c>
      <c r="EL24" s="231">
        <v>1121.33</v>
      </c>
      <c r="EM24" s="228">
        <v>513.33000000000004</v>
      </c>
      <c r="EN24" s="228">
        <v>139.75</v>
      </c>
      <c r="EO24" s="231">
        <v>3659.14</v>
      </c>
      <c r="EP24" s="231">
        <v>4342.6400000000003</v>
      </c>
      <c r="EQ24" s="228">
        <v>-683.5</v>
      </c>
      <c r="ER24" s="229">
        <v>-0.15740000000000001</v>
      </c>
      <c r="ES24" s="231">
        <v>1883.74</v>
      </c>
      <c r="ET24" s="231">
        <v>1662.4</v>
      </c>
      <c r="EU24" s="231">
        <v>8444.01</v>
      </c>
      <c r="EV24" s="231">
        <v>317526833</v>
      </c>
      <c r="EW24" s="231">
        <v>11990.15</v>
      </c>
      <c r="EX24" s="231">
        <v>12111.61</v>
      </c>
      <c r="EY24" s="228">
        <v>-121.46</v>
      </c>
      <c r="EZ24" s="229">
        <v>-0.01</v>
      </c>
      <c r="FA24" s="229">
        <v>0.38979999999999998</v>
      </c>
      <c r="FB24" s="227" t="s">
        <v>556</v>
      </c>
      <c r="FC24">
        <f t="shared" si="0"/>
        <v>503</v>
      </c>
    </row>
    <row r="25" spans="1:159" ht="17.25" hidden="1" thickBot="1" x14ac:dyDescent="0.3">
      <c r="A25" s="226">
        <v>46064</v>
      </c>
      <c r="B25" s="227" t="s">
        <v>172</v>
      </c>
      <c r="C25" s="227" t="s">
        <v>179</v>
      </c>
      <c r="D25" s="228">
        <v>3600</v>
      </c>
      <c r="E25" s="228">
        <v>13</v>
      </c>
      <c r="F25" s="228">
        <v>168.28</v>
      </c>
      <c r="G25" s="228">
        <v>166.67</v>
      </c>
      <c r="H25" s="228">
        <v>1.61</v>
      </c>
      <c r="I25" s="229">
        <v>9.7000000000000003E-3</v>
      </c>
      <c r="J25" s="228">
        <v>168.26</v>
      </c>
      <c r="K25" s="228">
        <v>166.69</v>
      </c>
      <c r="L25" s="228">
        <v>1.57</v>
      </c>
      <c r="M25" s="229">
        <v>9.4000000000000004E-3</v>
      </c>
      <c r="N25" s="228">
        <v>168.28</v>
      </c>
      <c r="O25" s="228">
        <v>166.67</v>
      </c>
      <c r="P25" s="228">
        <v>1.61</v>
      </c>
      <c r="Q25" s="229">
        <v>9.7000000000000003E-3</v>
      </c>
      <c r="R25" s="228">
        <v>169.05</v>
      </c>
      <c r="S25" s="228">
        <v>167.57</v>
      </c>
      <c r="T25" s="228">
        <v>1.48</v>
      </c>
      <c r="U25" s="229">
        <v>8.8000000000000005E-3</v>
      </c>
      <c r="V25" s="228">
        <v>170.18</v>
      </c>
      <c r="W25" s="228">
        <v>168.46</v>
      </c>
      <c r="X25" s="228">
        <v>1.72</v>
      </c>
      <c r="Y25" s="229">
        <v>1.0200000000000001E-2</v>
      </c>
      <c r="Z25" s="228">
        <v>0.02</v>
      </c>
      <c r="AA25" s="228">
        <v>-0.02</v>
      </c>
      <c r="AB25" s="228">
        <v>0.04</v>
      </c>
      <c r="AC25" s="229">
        <v>1E-4</v>
      </c>
      <c r="AD25" s="228">
        <v>0.02</v>
      </c>
      <c r="AE25" s="228">
        <v>-0.02</v>
      </c>
      <c r="AF25" s="228">
        <v>0.04</v>
      </c>
      <c r="AG25" s="229">
        <v>1E-4</v>
      </c>
      <c r="AH25" s="228">
        <v>0.79</v>
      </c>
      <c r="AI25" s="228">
        <v>0.88</v>
      </c>
      <c r="AJ25" s="228">
        <v>-0.09</v>
      </c>
      <c r="AK25" s="229">
        <v>4.7000000000000002E-3</v>
      </c>
      <c r="AL25" s="228">
        <v>1.92</v>
      </c>
      <c r="AM25" s="228">
        <v>1.77</v>
      </c>
      <c r="AN25" s="228">
        <v>0.15</v>
      </c>
      <c r="AO25" s="229">
        <v>1.14E-2</v>
      </c>
      <c r="AP25" s="228">
        <v>168.26</v>
      </c>
      <c r="AQ25" s="228">
        <v>168.67</v>
      </c>
      <c r="AR25" s="228">
        <v>0</v>
      </c>
      <c r="AS25" s="228">
        <v>328</v>
      </c>
      <c r="AT25" s="228">
        <v>370</v>
      </c>
      <c r="AU25" s="228">
        <v>-42</v>
      </c>
      <c r="AV25" s="229">
        <v>-0.1142</v>
      </c>
      <c r="AW25" s="228">
        <v>292</v>
      </c>
      <c r="AX25" s="228">
        <v>332</v>
      </c>
      <c r="AY25" s="228">
        <v>-40</v>
      </c>
      <c r="AZ25" s="229">
        <v>-0.1203</v>
      </c>
      <c r="BA25" s="228">
        <v>32</v>
      </c>
      <c r="BB25" s="228">
        <v>30</v>
      </c>
      <c r="BC25" s="228">
        <v>2</v>
      </c>
      <c r="BD25" s="229">
        <v>7.4300000000000005E-2</v>
      </c>
      <c r="BE25" s="228">
        <v>3</v>
      </c>
      <c r="BF25" s="228">
        <v>7</v>
      </c>
      <c r="BG25" s="228">
        <v>-4</v>
      </c>
      <c r="BH25" s="229">
        <v>-0.60660000000000003</v>
      </c>
      <c r="BI25" s="228">
        <v>545</v>
      </c>
      <c r="BJ25" s="228">
        <v>935</v>
      </c>
      <c r="BK25" s="228">
        <v>-390</v>
      </c>
      <c r="BL25" s="229">
        <v>-0.41699999999999998</v>
      </c>
      <c r="BM25" s="228">
        <v>342</v>
      </c>
      <c r="BN25" s="228">
        <v>382</v>
      </c>
      <c r="BO25" s="228">
        <v>-40</v>
      </c>
      <c r="BP25" s="229">
        <v>-0.1048</v>
      </c>
      <c r="BQ25" s="230">
        <v>1215</v>
      </c>
      <c r="BR25" s="230">
        <v>1687</v>
      </c>
      <c r="BS25" s="228">
        <v>-472</v>
      </c>
      <c r="BT25" s="229">
        <v>-0.27989999999999998</v>
      </c>
      <c r="BU25" s="230">
        <v>20924138</v>
      </c>
      <c r="BV25" s="230">
        <v>21859132</v>
      </c>
      <c r="BW25" s="230">
        <v>-934994</v>
      </c>
      <c r="BX25" s="229">
        <v>-4.2799999999999998E-2</v>
      </c>
      <c r="BY25" s="230">
        <v>1660</v>
      </c>
      <c r="BZ25" s="230">
        <v>1713</v>
      </c>
      <c r="CA25" s="228">
        <v>-53</v>
      </c>
      <c r="CB25" s="229">
        <v>-3.0800000000000001E-2</v>
      </c>
      <c r="CC25" s="230">
        <v>1552</v>
      </c>
      <c r="CD25" s="230">
        <v>1613</v>
      </c>
      <c r="CE25" s="228">
        <v>-61</v>
      </c>
      <c r="CF25" s="229">
        <v>-3.78E-2</v>
      </c>
      <c r="CG25" s="228">
        <v>94</v>
      </c>
      <c r="CH25" s="228">
        <v>87</v>
      </c>
      <c r="CI25" s="228">
        <v>7</v>
      </c>
      <c r="CJ25" s="229">
        <v>8.4400000000000003E-2</v>
      </c>
      <c r="CK25" s="228">
        <v>14</v>
      </c>
      <c r="CL25" s="228">
        <v>13</v>
      </c>
      <c r="CM25" s="228">
        <v>1</v>
      </c>
      <c r="CN25" s="229">
        <v>7.2099999999999997E-2</v>
      </c>
      <c r="CO25" s="228">
        <v>434</v>
      </c>
      <c r="CP25" s="228">
        <v>431</v>
      </c>
      <c r="CQ25" s="228">
        <v>3</v>
      </c>
      <c r="CR25" s="229">
        <v>6.3E-3</v>
      </c>
      <c r="CS25" s="228">
        <v>389</v>
      </c>
      <c r="CT25" s="228">
        <v>371</v>
      </c>
      <c r="CU25" s="228">
        <v>17</v>
      </c>
      <c r="CV25" s="229">
        <v>4.6199999999999998E-2</v>
      </c>
      <c r="CW25" s="230">
        <v>2482</v>
      </c>
      <c r="CX25" s="230">
        <v>2515</v>
      </c>
      <c r="CY25" s="228">
        <v>-33</v>
      </c>
      <c r="CZ25" s="229">
        <v>-1.3100000000000001E-2</v>
      </c>
      <c r="DA25" s="228">
        <v>34.64</v>
      </c>
      <c r="DB25" s="228">
        <v>34.32</v>
      </c>
      <c r="DC25" s="228">
        <v>0.32</v>
      </c>
      <c r="DD25" s="228">
        <v>0.32</v>
      </c>
      <c r="DE25" s="228">
        <v>41.22</v>
      </c>
      <c r="DF25" s="228">
        <v>41.31</v>
      </c>
      <c r="DG25" s="228">
        <v>-6.58</v>
      </c>
      <c r="DH25" s="228">
        <v>-0.09</v>
      </c>
      <c r="DI25" s="228">
        <v>33.97</v>
      </c>
      <c r="DJ25" s="228">
        <v>34.03</v>
      </c>
      <c r="DK25" s="228">
        <v>-0.06</v>
      </c>
      <c r="DL25" s="228">
        <v>-0.06</v>
      </c>
      <c r="DM25" s="228">
        <v>35.700000000000003</v>
      </c>
      <c r="DN25" s="228">
        <v>35.03</v>
      </c>
      <c r="DO25" s="228">
        <v>0.67</v>
      </c>
      <c r="DP25" s="228">
        <v>0.67</v>
      </c>
      <c r="DQ25" s="228">
        <v>0.9</v>
      </c>
      <c r="DR25" s="228">
        <v>0.86</v>
      </c>
      <c r="DS25" s="228">
        <v>0.04</v>
      </c>
      <c r="DT25" s="229">
        <v>4.65E-2</v>
      </c>
      <c r="DU25" s="228">
        <v>170</v>
      </c>
      <c r="DV25" s="228">
        <v>150</v>
      </c>
      <c r="DW25" s="228">
        <v>0.63</v>
      </c>
      <c r="DX25" s="228">
        <v>0.41</v>
      </c>
      <c r="DY25" s="228">
        <v>0.22</v>
      </c>
      <c r="DZ25" s="229">
        <v>0.53659999999999997</v>
      </c>
      <c r="EA25" s="229">
        <v>6.4899999999999999E-2</v>
      </c>
      <c r="EB25" s="230">
        <v>5911200</v>
      </c>
      <c r="EC25" s="229">
        <v>4.5999999999999999E-3</v>
      </c>
      <c r="ED25" s="229">
        <v>6.4899999999999999E-2</v>
      </c>
      <c r="EE25" s="228">
        <v>0.41</v>
      </c>
      <c r="EF25" s="229">
        <v>2.3999999999999998E-3</v>
      </c>
      <c r="EG25" s="230">
        <v>13040109</v>
      </c>
      <c r="EH25" s="230">
        <v>14074257</v>
      </c>
      <c r="EI25" s="229">
        <v>-7.3499999999999996E-2</v>
      </c>
      <c r="EJ25" s="229">
        <v>0.62319999999999998</v>
      </c>
      <c r="EK25" s="228">
        <v>565.9</v>
      </c>
      <c r="EL25" s="228">
        <v>336.19</v>
      </c>
      <c r="EM25" s="228">
        <v>327.69</v>
      </c>
      <c r="EN25" s="228">
        <v>39.46</v>
      </c>
      <c r="EO25" s="231">
        <v>1229.79</v>
      </c>
      <c r="EP25" s="231">
        <v>1690.85</v>
      </c>
      <c r="EQ25" s="228">
        <v>-461.07</v>
      </c>
      <c r="ER25" s="229">
        <v>-0.2727</v>
      </c>
      <c r="ES25" s="228">
        <v>425.9</v>
      </c>
      <c r="ET25" s="228">
        <v>356.23</v>
      </c>
      <c r="EU25" s="231">
        <v>1660.44</v>
      </c>
      <c r="EV25" s="231">
        <v>144289555</v>
      </c>
      <c r="EW25" s="231">
        <v>2442.5700000000002</v>
      </c>
      <c r="EX25" s="231">
        <v>2454.58</v>
      </c>
      <c r="EY25" s="228">
        <v>-12.01</v>
      </c>
      <c r="EZ25" s="229">
        <v>-4.8999999999999998E-3</v>
      </c>
      <c r="FA25" s="229">
        <v>1.0224</v>
      </c>
      <c r="FB25" s="227" t="s">
        <v>556</v>
      </c>
      <c r="FC25">
        <f t="shared" si="0"/>
        <v>108</v>
      </c>
    </row>
    <row r="26" spans="1:159" ht="17.25" hidden="1" thickBot="1" x14ac:dyDescent="0.3">
      <c r="A26" s="226">
        <v>46064</v>
      </c>
      <c r="B26" s="227" t="s">
        <v>172</v>
      </c>
      <c r="C26" s="227" t="s">
        <v>180</v>
      </c>
      <c r="D26" s="228">
        <v>2925</v>
      </c>
      <c r="E26" s="228">
        <v>13</v>
      </c>
      <c r="F26" s="228">
        <v>291.39999999999998</v>
      </c>
      <c r="G26" s="228">
        <v>291.3</v>
      </c>
      <c r="H26" s="228">
        <v>0.1</v>
      </c>
      <c r="I26" s="229">
        <v>2.9999999999999997E-4</v>
      </c>
      <c r="J26" s="228">
        <v>291.2</v>
      </c>
      <c r="K26" s="228">
        <v>290.35000000000002</v>
      </c>
      <c r="L26" s="228">
        <v>0.85</v>
      </c>
      <c r="M26" s="229">
        <v>2.8999999999999998E-3</v>
      </c>
      <c r="N26" s="228">
        <v>291.39999999999998</v>
      </c>
      <c r="O26" s="228">
        <v>291.3</v>
      </c>
      <c r="P26" s="228">
        <v>0.1</v>
      </c>
      <c r="Q26" s="229">
        <v>2.9999999999999997E-4</v>
      </c>
      <c r="R26" s="228">
        <v>293.35000000000002</v>
      </c>
      <c r="S26" s="228">
        <v>293.10000000000002</v>
      </c>
      <c r="T26" s="228">
        <v>0.25</v>
      </c>
      <c r="U26" s="229">
        <v>8.9999999999999998E-4</v>
      </c>
      <c r="V26" s="228">
        <v>295.14999999999998</v>
      </c>
      <c r="W26" s="228">
        <v>295.35000000000002</v>
      </c>
      <c r="X26" s="228">
        <v>-0.2</v>
      </c>
      <c r="Y26" s="229">
        <v>-6.9999999999999999E-4</v>
      </c>
      <c r="Z26" s="228">
        <v>0.2</v>
      </c>
      <c r="AA26" s="228">
        <v>0.95</v>
      </c>
      <c r="AB26" s="228">
        <v>-0.75</v>
      </c>
      <c r="AC26" s="229">
        <v>6.9999999999999999E-4</v>
      </c>
      <c r="AD26" s="228">
        <v>0.2</v>
      </c>
      <c r="AE26" s="228">
        <v>0.95</v>
      </c>
      <c r="AF26" s="228">
        <v>-0.75</v>
      </c>
      <c r="AG26" s="229">
        <v>6.9999999999999999E-4</v>
      </c>
      <c r="AH26" s="228">
        <v>2.15</v>
      </c>
      <c r="AI26" s="228">
        <v>2.75</v>
      </c>
      <c r="AJ26" s="228">
        <v>-0.6</v>
      </c>
      <c r="AK26" s="229">
        <v>7.4000000000000003E-3</v>
      </c>
      <c r="AL26" s="228">
        <v>3.95</v>
      </c>
      <c r="AM26" s="228">
        <v>5</v>
      </c>
      <c r="AN26" s="228">
        <v>-1.05</v>
      </c>
      <c r="AO26" s="229">
        <v>1.3599999999999999E-2</v>
      </c>
      <c r="AP26" s="228">
        <v>290.37</v>
      </c>
      <c r="AQ26" s="228">
        <v>291.98</v>
      </c>
      <c r="AR26" s="228">
        <v>0</v>
      </c>
      <c r="AS26" s="228">
        <v>475</v>
      </c>
      <c r="AT26" s="228">
        <v>341</v>
      </c>
      <c r="AU26" s="228">
        <v>135</v>
      </c>
      <c r="AV26" s="229">
        <v>0.39550000000000002</v>
      </c>
      <c r="AW26" s="228">
        <v>436</v>
      </c>
      <c r="AX26" s="228">
        <v>309</v>
      </c>
      <c r="AY26" s="228">
        <v>127</v>
      </c>
      <c r="AZ26" s="229">
        <v>0.41210000000000002</v>
      </c>
      <c r="BA26" s="228">
        <v>35</v>
      </c>
      <c r="BB26" s="228">
        <v>31</v>
      </c>
      <c r="BC26" s="228">
        <v>5</v>
      </c>
      <c r="BD26" s="229">
        <v>0.14680000000000001</v>
      </c>
      <c r="BE26" s="228">
        <v>4</v>
      </c>
      <c r="BF26" s="228">
        <v>1</v>
      </c>
      <c r="BG26" s="228">
        <v>3</v>
      </c>
      <c r="BH26" s="229">
        <v>2.6922999999999999</v>
      </c>
      <c r="BI26" s="230">
        <v>1800</v>
      </c>
      <c r="BJ26" s="228">
        <v>739</v>
      </c>
      <c r="BK26" s="230">
        <v>1062</v>
      </c>
      <c r="BL26" s="229">
        <v>1.4372</v>
      </c>
      <c r="BM26" s="228">
        <v>667</v>
      </c>
      <c r="BN26" s="228">
        <v>360</v>
      </c>
      <c r="BO26" s="228">
        <v>307</v>
      </c>
      <c r="BP26" s="229">
        <v>0.85370000000000001</v>
      </c>
      <c r="BQ26" s="230">
        <v>2943</v>
      </c>
      <c r="BR26" s="230">
        <v>1439</v>
      </c>
      <c r="BS26" s="230">
        <v>1504</v>
      </c>
      <c r="BT26" s="229">
        <v>1.0447</v>
      </c>
      <c r="BU26" s="230">
        <v>7455658</v>
      </c>
      <c r="BV26" s="230">
        <v>7684122</v>
      </c>
      <c r="BW26" s="230">
        <v>-228464</v>
      </c>
      <c r="BX26" s="229">
        <v>-2.9700000000000001E-2</v>
      </c>
      <c r="BY26" s="230">
        <v>2647</v>
      </c>
      <c r="BZ26" s="230">
        <v>2622</v>
      </c>
      <c r="CA26" s="228">
        <v>25</v>
      </c>
      <c r="CB26" s="229">
        <v>9.4000000000000004E-3</v>
      </c>
      <c r="CC26" s="230">
        <v>2519</v>
      </c>
      <c r="CD26" s="230">
        <v>2498</v>
      </c>
      <c r="CE26" s="228">
        <v>20</v>
      </c>
      <c r="CF26" s="229">
        <v>8.0999999999999996E-3</v>
      </c>
      <c r="CG26" s="228">
        <v>106</v>
      </c>
      <c r="CH26" s="228">
        <v>102</v>
      </c>
      <c r="CI26" s="228">
        <v>4</v>
      </c>
      <c r="CJ26" s="229">
        <v>4.2599999999999999E-2</v>
      </c>
      <c r="CK26" s="228">
        <v>22</v>
      </c>
      <c r="CL26" s="228">
        <v>22</v>
      </c>
      <c r="CM26" s="228">
        <v>0</v>
      </c>
      <c r="CN26" s="229">
        <v>3.8999999999999998E-3</v>
      </c>
      <c r="CO26" s="230">
        <v>1668</v>
      </c>
      <c r="CP26" s="230">
        <v>1623</v>
      </c>
      <c r="CQ26" s="228">
        <v>45</v>
      </c>
      <c r="CR26" s="229">
        <v>2.7799999999999998E-2</v>
      </c>
      <c r="CS26" s="230">
        <v>1053</v>
      </c>
      <c r="CT26" s="230">
        <v>1044</v>
      </c>
      <c r="CU26" s="228">
        <v>9</v>
      </c>
      <c r="CV26" s="229">
        <v>8.6E-3</v>
      </c>
      <c r="CW26" s="230">
        <v>5367</v>
      </c>
      <c r="CX26" s="230">
        <v>5288</v>
      </c>
      <c r="CY26" s="228">
        <v>79</v>
      </c>
      <c r="CZ26" s="229">
        <v>1.49E-2</v>
      </c>
      <c r="DA26" s="228">
        <v>30.38</v>
      </c>
      <c r="DB26" s="228">
        <v>29.44</v>
      </c>
      <c r="DC26" s="228">
        <v>0.94</v>
      </c>
      <c r="DD26" s="228">
        <v>0.94</v>
      </c>
      <c r="DE26" s="228">
        <v>34</v>
      </c>
      <c r="DF26" s="228">
        <v>34.08</v>
      </c>
      <c r="DG26" s="228">
        <v>-3.62</v>
      </c>
      <c r="DH26" s="228">
        <v>-0.08</v>
      </c>
      <c r="DI26" s="228">
        <v>30.69</v>
      </c>
      <c r="DJ26" s="228">
        <v>29.88</v>
      </c>
      <c r="DK26" s="228">
        <v>0.81</v>
      </c>
      <c r="DL26" s="228">
        <v>0.81</v>
      </c>
      <c r="DM26" s="228">
        <v>29.54</v>
      </c>
      <c r="DN26" s="228">
        <v>28.52</v>
      </c>
      <c r="DO26" s="228">
        <v>1.02</v>
      </c>
      <c r="DP26" s="228">
        <v>1.02</v>
      </c>
      <c r="DQ26" s="228">
        <v>0.63</v>
      </c>
      <c r="DR26" s="228">
        <v>0.64</v>
      </c>
      <c r="DS26" s="228">
        <v>-0.01</v>
      </c>
      <c r="DT26" s="229">
        <v>-1.5599999999999999E-2</v>
      </c>
      <c r="DU26" s="228">
        <v>310</v>
      </c>
      <c r="DV26" s="228">
        <v>290</v>
      </c>
      <c r="DW26" s="228">
        <v>0.37</v>
      </c>
      <c r="DX26" s="228">
        <v>0.49</v>
      </c>
      <c r="DY26" s="228">
        <v>-0.12</v>
      </c>
      <c r="DZ26" s="229">
        <v>-0.24490000000000001</v>
      </c>
      <c r="EA26" s="229">
        <v>4.8500000000000001E-2</v>
      </c>
      <c r="EB26" s="230">
        <v>4250025</v>
      </c>
      <c r="EC26" s="229">
        <v>6.7000000000000002E-3</v>
      </c>
      <c r="ED26" s="229">
        <v>4.8500000000000001E-2</v>
      </c>
      <c r="EE26" s="228">
        <v>1.61</v>
      </c>
      <c r="EF26" s="229">
        <v>5.4999999999999997E-3</v>
      </c>
      <c r="EG26" s="230">
        <v>3452381</v>
      </c>
      <c r="EH26" s="230">
        <v>4548011</v>
      </c>
      <c r="EI26" s="229">
        <v>-0.2409</v>
      </c>
      <c r="EJ26" s="229">
        <v>0.46310000000000001</v>
      </c>
      <c r="EK26" s="231">
        <v>1890.28</v>
      </c>
      <c r="EL26" s="228">
        <v>652.96</v>
      </c>
      <c r="EM26" s="228">
        <v>474.01</v>
      </c>
      <c r="EN26" s="228">
        <v>57.53</v>
      </c>
      <c r="EO26" s="231">
        <v>3017.24</v>
      </c>
      <c r="EP26" s="231">
        <v>1472.24</v>
      </c>
      <c r="EQ26" s="231">
        <v>1545</v>
      </c>
      <c r="ER26" s="229">
        <v>1.0494000000000001</v>
      </c>
      <c r="ES26" s="231">
        <v>1751.6</v>
      </c>
      <c r="ET26" s="231">
        <v>1030.57</v>
      </c>
      <c r="EU26" s="231">
        <v>2647.78</v>
      </c>
      <c r="EV26" s="231">
        <v>279476623</v>
      </c>
      <c r="EW26" s="231">
        <v>5429.95</v>
      </c>
      <c r="EX26" s="231">
        <v>5345.43</v>
      </c>
      <c r="EY26" s="228">
        <v>84.52</v>
      </c>
      <c r="EZ26" s="229">
        <v>1.5800000000000002E-2</v>
      </c>
      <c r="FA26" s="229">
        <v>0.65900000000000003</v>
      </c>
      <c r="FB26" s="227" t="s">
        <v>555</v>
      </c>
      <c r="FC26">
        <f t="shared" si="0"/>
        <v>128</v>
      </c>
    </row>
    <row r="27" spans="1:159" ht="17.25" hidden="1" thickBot="1" x14ac:dyDescent="0.3">
      <c r="A27" s="226">
        <v>46064</v>
      </c>
      <c r="B27" s="227" t="s">
        <v>172</v>
      </c>
      <c r="C27" s="227" t="s">
        <v>602</v>
      </c>
      <c r="D27" s="228">
        <v>5200</v>
      </c>
      <c r="E27" s="228">
        <v>13</v>
      </c>
      <c r="F27" s="228">
        <v>167.57</v>
      </c>
      <c r="G27" s="228">
        <v>167.72</v>
      </c>
      <c r="H27" s="228">
        <v>-0.15</v>
      </c>
      <c r="I27" s="229">
        <v>-8.9999999999999998E-4</v>
      </c>
      <c r="J27" s="228">
        <v>167.13</v>
      </c>
      <c r="K27" s="228">
        <v>167.57</v>
      </c>
      <c r="L27" s="228">
        <v>-0.44</v>
      </c>
      <c r="M27" s="229">
        <v>-2.5999999999999999E-3</v>
      </c>
      <c r="N27" s="228">
        <v>167.57</v>
      </c>
      <c r="O27" s="228">
        <v>167.72</v>
      </c>
      <c r="P27" s="228">
        <v>-0.15</v>
      </c>
      <c r="Q27" s="229">
        <v>-8.9999999999999998E-4</v>
      </c>
      <c r="R27" s="228">
        <v>168.52</v>
      </c>
      <c r="S27" s="228">
        <v>168.79</v>
      </c>
      <c r="T27" s="228">
        <v>-0.27</v>
      </c>
      <c r="U27" s="229">
        <v>-1.6000000000000001E-3</v>
      </c>
      <c r="V27" s="228">
        <v>169.46</v>
      </c>
      <c r="W27" s="228">
        <v>169.39</v>
      </c>
      <c r="X27" s="228">
        <v>7.0000000000000007E-2</v>
      </c>
      <c r="Y27" s="229">
        <v>4.0000000000000002E-4</v>
      </c>
      <c r="Z27" s="228">
        <v>0.44</v>
      </c>
      <c r="AA27" s="228">
        <v>0.15</v>
      </c>
      <c r="AB27" s="228">
        <v>0.28999999999999998</v>
      </c>
      <c r="AC27" s="229">
        <v>2.5999999999999999E-3</v>
      </c>
      <c r="AD27" s="228">
        <v>0.44</v>
      </c>
      <c r="AE27" s="228">
        <v>0.15</v>
      </c>
      <c r="AF27" s="228">
        <v>0.28999999999999998</v>
      </c>
      <c r="AG27" s="229">
        <v>2.5999999999999999E-3</v>
      </c>
      <c r="AH27" s="228">
        <v>1.39</v>
      </c>
      <c r="AI27" s="228">
        <v>1.22</v>
      </c>
      <c r="AJ27" s="228">
        <v>0.17</v>
      </c>
      <c r="AK27" s="229">
        <v>8.3000000000000001E-3</v>
      </c>
      <c r="AL27" s="228">
        <v>2.33</v>
      </c>
      <c r="AM27" s="228">
        <v>1.82</v>
      </c>
      <c r="AN27" s="228">
        <v>0.51</v>
      </c>
      <c r="AO27" s="229">
        <v>1.3899999999999999E-2</v>
      </c>
      <c r="AP27" s="228">
        <v>166.08</v>
      </c>
      <c r="AQ27" s="228">
        <v>166.94</v>
      </c>
      <c r="AR27" s="228">
        <v>0</v>
      </c>
      <c r="AS27" s="228">
        <v>235</v>
      </c>
      <c r="AT27" s="228">
        <v>179</v>
      </c>
      <c r="AU27" s="228">
        <v>56</v>
      </c>
      <c r="AV27" s="229">
        <v>0.315</v>
      </c>
      <c r="AW27" s="228">
        <v>209</v>
      </c>
      <c r="AX27" s="228">
        <v>161</v>
      </c>
      <c r="AY27" s="228">
        <v>48</v>
      </c>
      <c r="AZ27" s="229">
        <v>0.29970000000000002</v>
      </c>
      <c r="BA27" s="228">
        <v>21</v>
      </c>
      <c r="BB27" s="228">
        <v>16</v>
      </c>
      <c r="BC27" s="228">
        <v>5</v>
      </c>
      <c r="BD27" s="229">
        <v>0.35</v>
      </c>
      <c r="BE27" s="228">
        <v>5</v>
      </c>
      <c r="BF27" s="228">
        <v>3</v>
      </c>
      <c r="BG27" s="228">
        <v>3</v>
      </c>
      <c r="BH27" s="229">
        <v>1.069</v>
      </c>
      <c r="BI27" s="228">
        <v>406</v>
      </c>
      <c r="BJ27" s="228">
        <v>253</v>
      </c>
      <c r="BK27" s="228">
        <v>153</v>
      </c>
      <c r="BL27" s="229">
        <v>0.60550000000000004</v>
      </c>
      <c r="BM27" s="228">
        <v>220</v>
      </c>
      <c r="BN27" s="228">
        <v>149</v>
      </c>
      <c r="BO27" s="228">
        <v>71</v>
      </c>
      <c r="BP27" s="229">
        <v>0.47410000000000002</v>
      </c>
      <c r="BQ27" s="228">
        <v>862</v>
      </c>
      <c r="BR27" s="228">
        <v>582</v>
      </c>
      <c r="BS27" s="228">
        <v>280</v>
      </c>
      <c r="BT27" s="229">
        <v>0.48230000000000001</v>
      </c>
      <c r="BU27" s="230">
        <v>8636886</v>
      </c>
      <c r="BV27" s="230">
        <v>6746365</v>
      </c>
      <c r="BW27" s="230">
        <v>1890521</v>
      </c>
      <c r="BX27" s="229">
        <v>0.2802</v>
      </c>
      <c r="BY27" s="228">
        <v>847</v>
      </c>
      <c r="BZ27" s="228">
        <v>862</v>
      </c>
      <c r="CA27" s="228">
        <v>-15</v>
      </c>
      <c r="CB27" s="229">
        <v>-1.78E-2</v>
      </c>
      <c r="CC27" s="228">
        <v>808</v>
      </c>
      <c r="CD27" s="228">
        <v>825</v>
      </c>
      <c r="CE27" s="228">
        <v>-17</v>
      </c>
      <c r="CF27" s="229">
        <v>-2.01E-2</v>
      </c>
      <c r="CG27" s="228">
        <v>32</v>
      </c>
      <c r="CH27" s="228">
        <v>30</v>
      </c>
      <c r="CI27" s="228">
        <v>3</v>
      </c>
      <c r="CJ27" s="229">
        <v>8.8200000000000001E-2</v>
      </c>
      <c r="CK27" s="228">
        <v>6</v>
      </c>
      <c r="CL27" s="228">
        <v>8</v>
      </c>
      <c r="CM27" s="228">
        <v>-1</v>
      </c>
      <c r="CN27" s="229">
        <v>-0.17979999999999999</v>
      </c>
      <c r="CO27" s="228">
        <v>408</v>
      </c>
      <c r="CP27" s="228">
        <v>409</v>
      </c>
      <c r="CQ27" s="228">
        <v>-1</v>
      </c>
      <c r="CR27" s="229">
        <v>-2.3E-3</v>
      </c>
      <c r="CS27" s="228">
        <v>300</v>
      </c>
      <c r="CT27" s="228">
        <v>294</v>
      </c>
      <c r="CU27" s="228">
        <v>6</v>
      </c>
      <c r="CV27" s="229">
        <v>1.9599999999999999E-2</v>
      </c>
      <c r="CW27" s="230">
        <v>1554</v>
      </c>
      <c r="CX27" s="230">
        <v>1565</v>
      </c>
      <c r="CY27" s="228">
        <v>-11</v>
      </c>
      <c r="CZ27" s="229">
        <v>-6.7000000000000002E-3</v>
      </c>
      <c r="DA27" s="228">
        <v>36.26</v>
      </c>
      <c r="DB27" s="228">
        <v>35</v>
      </c>
      <c r="DC27" s="228">
        <v>1.26</v>
      </c>
      <c r="DD27" s="228">
        <v>1.26</v>
      </c>
      <c r="DE27" s="228">
        <v>40.5</v>
      </c>
      <c r="DF27" s="228">
        <v>40.6</v>
      </c>
      <c r="DG27" s="228">
        <v>-4.24</v>
      </c>
      <c r="DH27" s="228">
        <v>-0.1</v>
      </c>
      <c r="DI27" s="228">
        <v>35.880000000000003</v>
      </c>
      <c r="DJ27" s="228">
        <v>34.69</v>
      </c>
      <c r="DK27" s="228">
        <v>1.19</v>
      </c>
      <c r="DL27" s="228">
        <v>1.19</v>
      </c>
      <c r="DM27" s="228">
        <v>36.979999999999997</v>
      </c>
      <c r="DN27" s="228">
        <v>35.53</v>
      </c>
      <c r="DO27" s="228">
        <v>1.45</v>
      </c>
      <c r="DP27" s="228">
        <v>1.45</v>
      </c>
      <c r="DQ27" s="228">
        <v>0.73</v>
      </c>
      <c r="DR27" s="228">
        <v>0.72</v>
      </c>
      <c r="DS27" s="228">
        <v>0.01</v>
      </c>
      <c r="DT27" s="229">
        <v>1.3899999999999999E-2</v>
      </c>
      <c r="DU27" s="228">
        <v>170</v>
      </c>
      <c r="DV27" s="228">
        <v>150</v>
      </c>
      <c r="DW27" s="228">
        <v>0.54</v>
      </c>
      <c r="DX27" s="228">
        <v>0.59</v>
      </c>
      <c r="DY27" s="228">
        <v>-0.05</v>
      </c>
      <c r="DZ27" s="229">
        <v>-8.4699999999999998E-2</v>
      </c>
      <c r="EA27" s="229">
        <v>4.5600000000000002E-2</v>
      </c>
      <c r="EB27" s="230">
        <v>2230800</v>
      </c>
      <c r="EC27" s="229">
        <v>5.7000000000000002E-3</v>
      </c>
      <c r="ED27" s="229">
        <v>4.5600000000000002E-2</v>
      </c>
      <c r="EE27" s="228">
        <v>0.86</v>
      </c>
      <c r="EF27" s="229">
        <v>5.1999999999999998E-3</v>
      </c>
      <c r="EG27" s="230">
        <v>3011134</v>
      </c>
      <c r="EH27" s="230">
        <v>2678227</v>
      </c>
      <c r="EI27" s="229">
        <v>0.12429999999999999</v>
      </c>
      <c r="EJ27" s="229">
        <v>0.34860000000000002</v>
      </c>
      <c r="EK27" s="228">
        <v>422.89</v>
      </c>
      <c r="EL27" s="228">
        <v>212.55</v>
      </c>
      <c r="EM27" s="228">
        <v>233.39</v>
      </c>
      <c r="EN27" s="228">
        <v>31.41</v>
      </c>
      <c r="EO27" s="228">
        <v>868.83</v>
      </c>
      <c r="EP27" s="228">
        <v>589.55999999999995</v>
      </c>
      <c r="EQ27" s="228">
        <v>279.27999999999997</v>
      </c>
      <c r="ER27" s="229">
        <v>0.47370000000000001</v>
      </c>
      <c r="ES27" s="228">
        <v>414.87</v>
      </c>
      <c r="ET27" s="228">
        <v>279.23</v>
      </c>
      <c r="EU27" s="228">
        <v>847.22</v>
      </c>
      <c r="EV27" s="231">
        <v>181770921</v>
      </c>
      <c r="EW27" s="231">
        <v>1541.32</v>
      </c>
      <c r="EX27" s="231">
        <v>1553.03</v>
      </c>
      <c r="EY27" s="228">
        <v>-11.71</v>
      </c>
      <c r="EZ27" s="229">
        <v>-7.4999999999999997E-3</v>
      </c>
      <c r="FA27" s="229">
        <v>0.51029999999999998</v>
      </c>
      <c r="FB27" s="227" t="s">
        <v>568</v>
      </c>
      <c r="FC27">
        <f t="shared" si="0"/>
        <v>39</v>
      </c>
    </row>
    <row r="28" spans="1:159" ht="17.25" hidden="1" thickBot="1" x14ac:dyDescent="0.3">
      <c r="A28" s="226">
        <v>46064</v>
      </c>
      <c r="B28" s="227" t="s">
        <v>181</v>
      </c>
      <c r="C28" s="227" t="s">
        <v>182</v>
      </c>
      <c r="D28" s="228">
        <v>30</v>
      </c>
      <c r="E28" s="228">
        <v>13</v>
      </c>
      <c r="F28" s="231">
        <v>60809</v>
      </c>
      <c r="G28" s="231">
        <v>60704</v>
      </c>
      <c r="H28" s="228">
        <v>105</v>
      </c>
      <c r="I28" s="229">
        <v>1.6999999999999999E-3</v>
      </c>
      <c r="J28" s="231">
        <v>60745.35</v>
      </c>
      <c r="K28" s="231">
        <v>60626.400000000001</v>
      </c>
      <c r="L28" s="228">
        <v>118.95</v>
      </c>
      <c r="M28" s="229">
        <v>2E-3</v>
      </c>
      <c r="N28" s="231">
        <v>60809</v>
      </c>
      <c r="O28" s="231">
        <v>60704</v>
      </c>
      <c r="P28" s="228">
        <v>105</v>
      </c>
      <c r="Q28" s="229">
        <v>1.6999999999999999E-3</v>
      </c>
      <c r="R28" s="231">
        <v>61152</v>
      </c>
      <c r="S28" s="231">
        <v>61044.2</v>
      </c>
      <c r="T28" s="228">
        <v>107.8</v>
      </c>
      <c r="U28" s="229">
        <v>1.8E-3</v>
      </c>
      <c r="V28" s="231">
        <v>61494</v>
      </c>
      <c r="W28" s="231">
        <v>61400.6</v>
      </c>
      <c r="X28" s="228">
        <v>93.4</v>
      </c>
      <c r="Y28" s="229">
        <v>1.5E-3</v>
      </c>
      <c r="Z28" s="228">
        <v>63.65</v>
      </c>
      <c r="AA28" s="228">
        <v>77.599999999999994</v>
      </c>
      <c r="AB28" s="228">
        <v>-13.95</v>
      </c>
      <c r="AC28" s="229">
        <v>1E-3</v>
      </c>
      <c r="AD28" s="228">
        <v>63.65</v>
      </c>
      <c r="AE28" s="228">
        <v>77.599999999999994</v>
      </c>
      <c r="AF28" s="228">
        <v>-13.95</v>
      </c>
      <c r="AG28" s="229">
        <v>1E-3</v>
      </c>
      <c r="AH28" s="228">
        <v>406.65</v>
      </c>
      <c r="AI28" s="228">
        <v>417.8</v>
      </c>
      <c r="AJ28" s="228">
        <v>-11.15</v>
      </c>
      <c r="AK28" s="229">
        <v>6.7000000000000002E-3</v>
      </c>
      <c r="AL28" s="228">
        <v>748.65</v>
      </c>
      <c r="AM28" s="228">
        <v>774.2</v>
      </c>
      <c r="AN28" s="228">
        <v>-25.55</v>
      </c>
      <c r="AO28" s="229">
        <v>1.23E-2</v>
      </c>
      <c r="AP28" s="231">
        <v>60744.55</v>
      </c>
      <c r="AQ28" s="231">
        <v>61082.080000000002</v>
      </c>
      <c r="AR28" s="228">
        <v>0</v>
      </c>
      <c r="AS28" s="230">
        <v>3192</v>
      </c>
      <c r="AT28" s="230">
        <v>3298</v>
      </c>
      <c r="AU28" s="228">
        <v>-105</v>
      </c>
      <c r="AV28" s="229">
        <v>-3.1899999999999998E-2</v>
      </c>
      <c r="AW28" s="230">
        <v>2876</v>
      </c>
      <c r="AX28" s="230">
        <v>3018</v>
      </c>
      <c r="AY28" s="228">
        <v>-142</v>
      </c>
      <c r="AZ28" s="229">
        <v>-4.7100000000000003E-2</v>
      </c>
      <c r="BA28" s="228">
        <v>248</v>
      </c>
      <c r="BB28" s="228">
        <v>216</v>
      </c>
      <c r="BC28" s="228">
        <v>32</v>
      </c>
      <c r="BD28" s="229">
        <v>0.1467</v>
      </c>
      <c r="BE28" s="228">
        <v>68</v>
      </c>
      <c r="BF28" s="228">
        <v>63</v>
      </c>
      <c r="BG28" s="228">
        <v>5</v>
      </c>
      <c r="BH28" s="229">
        <v>8.09E-2</v>
      </c>
      <c r="BI28" s="230">
        <v>198395</v>
      </c>
      <c r="BJ28" s="230">
        <v>168979</v>
      </c>
      <c r="BK28" s="230">
        <v>29416</v>
      </c>
      <c r="BL28" s="229">
        <v>0.1741</v>
      </c>
      <c r="BM28" s="230">
        <v>219224</v>
      </c>
      <c r="BN28" s="230">
        <v>165962</v>
      </c>
      <c r="BO28" s="230">
        <v>53262</v>
      </c>
      <c r="BP28" s="229">
        <v>0.32090000000000002</v>
      </c>
      <c r="BQ28" s="230">
        <v>420812</v>
      </c>
      <c r="BR28" s="230">
        <v>338239</v>
      </c>
      <c r="BS28" s="230">
        <v>82573</v>
      </c>
      <c r="BT28" s="229">
        <v>0.24410000000000001</v>
      </c>
      <c r="BU28" s="228">
        <v>0</v>
      </c>
      <c r="BV28" s="228">
        <v>0</v>
      </c>
      <c r="BW28" s="228">
        <v>0</v>
      </c>
      <c r="BX28" s="229">
        <v>0</v>
      </c>
      <c r="BY28" s="230">
        <v>10890</v>
      </c>
      <c r="BZ28" s="230">
        <v>10911</v>
      </c>
      <c r="CA28" s="228">
        <v>-21</v>
      </c>
      <c r="CB28" s="229">
        <v>-1.9E-3</v>
      </c>
      <c r="CC28" s="230">
        <v>9673</v>
      </c>
      <c r="CD28" s="230">
        <v>9713</v>
      </c>
      <c r="CE28" s="228">
        <v>-40</v>
      </c>
      <c r="CF28" s="229">
        <v>-4.1000000000000003E-3</v>
      </c>
      <c r="CG28" s="228">
        <v>922</v>
      </c>
      <c r="CH28" s="228">
        <v>911</v>
      </c>
      <c r="CI28" s="228">
        <v>11</v>
      </c>
      <c r="CJ28" s="229">
        <v>1.18E-2</v>
      </c>
      <c r="CK28" s="228">
        <v>296</v>
      </c>
      <c r="CL28" s="228">
        <v>287</v>
      </c>
      <c r="CM28" s="228">
        <v>8</v>
      </c>
      <c r="CN28" s="229">
        <v>2.92E-2</v>
      </c>
      <c r="CO28" s="230">
        <v>89482</v>
      </c>
      <c r="CP28" s="230">
        <v>88355</v>
      </c>
      <c r="CQ28" s="230">
        <v>1127</v>
      </c>
      <c r="CR28" s="229">
        <v>1.2800000000000001E-2</v>
      </c>
      <c r="CS28" s="230">
        <v>104639</v>
      </c>
      <c r="CT28" s="230">
        <v>92814</v>
      </c>
      <c r="CU28" s="230">
        <v>11825</v>
      </c>
      <c r="CV28" s="229">
        <v>0.12740000000000001</v>
      </c>
      <c r="CW28" s="230">
        <v>205011</v>
      </c>
      <c r="CX28" s="230">
        <v>192080</v>
      </c>
      <c r="CY28" s="230">
        <v>12930</v>
      </c>
      <c r="CZ28" s="229">
        <v>6.7299999999999999E-2</v>
      </c>
      <c r="DA28" s="228">
        <v>11.49</v>
      </c>
      <c r="DB28" s="228">
        <v>11.58</v>
      </c>
      <c r="DC28" s="228">
        <v>-0.09</v>
      </c>
      <c r="DD28" s="228">
        <v>-0.09</v>
      </c>
      <c r="DE28" s="228">
        <v>15.76</v>
      </c>
      <c r="DF28" s="228">
        <v>15.79</v>
      </c>
      <c r="DG28" s="228">
        <v>-4.2699999999999996</v>
      </c>
      <c r="DH28" s="228">
        <v>-0.03</v>
      </c>
      <c r="DI28" s="228">
        <v>10.51</v>
      </c>
      <c r="DJ28" s="228">
        <v>10.87</v>
      </c>
      <c r="DK28" s="228">
        <v>-0.36</v>
      </c>
      <c r="DL28" s="228">
        <v>-0.36</v>
      </c>
      <c r="DM28" s="228">
        <v>12.37</v>
      </c>
      <c r="DN28" s="228">
        <v>12.31</v>
      </c>
      <c r="DO28" s="228">
        <v>0.06</v>
      </c>
      <c r="DP28" s="228">
        <v>0.06</v>
      </c>
      <c r="DQ28" s="228">
        <v>1.17</v>
      </c>
      <c r="DR28" s="228">
        <v>1.05</v>
      </c>
      <c r="DS28" s="228">
        <v>0.12</v>
      </c>
      <c r="DT28" s="229">
        <v>0.1143</v>
      </c>
      <c r="DU28" s="231">
        <v>60000</v>
      </c>
      <c r="DV28" s="231">
        <v>60000</v>
      </c>
      <c r="DW28" s="228">
        <v>1.1000000000000001</v>
      </c>
      <c r="DX28" s="228">
        <v>0.98</v>
      </c>
      <c r="DY28" s="228">
        <v>0.12</v>
      </c>
      <c r="DZ28" s="229">
        <v>0.12239999999999999</v>
      </c>
      <c r="EA28" s="229">
        <v>0.1118</v>
      </c>
      <c r="EB28" s="230">
        <v>197070</v>
      </c>
      <c r="EC28" s="229">
        <v>5.5999999999999999E-3</v>
      </c>
      <c r="ED28" s="229">
        <v>0.1118</v>
      </c>
      <c r="EE28" s="228">
        <v>337.53</v>
      </c>
      <c r="EF28" s="229">
        <v>5.5999999999999999E-3</v>
      </c>
      <c r="EG28" s="228">
        <v>0</v>
      </c>
      <c r="EH28" s="228">
        <v>0</v>
      </c>
      <c r="EI28" s="229">
        <v>0</v>
      </c>
      <c r="EJ28" s="229">
        <v>0</v>
      </c>
      <c r="EK28" s="231">
        <v>201445.95</v>
      </c>
      <c r="EL28" s="231">
        <v>215954.53</v>
      </c>
      <c r="EM28" s="231">
        <v>3191.24</v>
      </c>
      <c r="EN28" s="228">
        <v>0</v>
      </c>
      <c r="EO28" s="231">
        <v>420591.72</v>
      </c>
      <c r="EP28" s="231">
        <v>338600.26</v>
      </c>
      <c r="EQ28" s="231">
        <v>81991.45</v>
      </c>
      <c r="ER28" s="229">
        <v>0.24210000000000001</v>
      </c>
      <c r="ES28" s="231">
        <v>90413.16</v>
      </c>
      <c r="ET28" s="231">
        <v>100745.46</v>
      </c>
      <c r="EU28" s="231">
        <v>10898.69</v>
      </c>
      <c r="EV28" s="228">
        <v>0</v>
      </c>
      <c r="EW28" s="231">
        <v>202057.31</v>
      </c>
      <c r="EX28" s="231">
        <v>189478.06</v>
      </c>
      <c r="EY28" s="231">
        <v>12579.25</v>
      </c>
      <c r="EZ28" s="229">
        <v>6.6400000000000001E-2</v>
      </c>
      <c r="FA28" s="229">
        <v>0</v>
      </c>
      <c r="FB28" s="227" t="s">
        <v>556</v>
      </c>
      <c r="FC28">
        <f t="shared" si="0"/>
        <v>1217</v>
      </c>
    </row>
    <row r="29" spans="1:159" s="195" customFormat="1" ht="17.25" hidden="1" thickBot="1" x14ac:dyDescent="0.3">
      <c r="A29" s="226">
        <v>46064</v>
      </c>
      <c r="B29" s="227" t="s">
        <v>184</v>
      </c>
      <c r="C29" s="227" t="s">
        <v>670</v>
      </c>
      <c r="D29" s="228">
        <v>350</v>
      </c>
      <c r="E29" s="228">
        <v>13</v>
      </c>
      <c r="F29" s="231">
        <v>1285.7</v>
      </c>
      <c r="G29" s="231">
        <v>1291.5</v>
      </c>
      <c r="H29" s="228">
        <v>-5.8</v>
      </c>
      <c r="I29" s="229">
        <v>-4.4999999999999997E-3</v>
      </c>
      <c r="J29" s="231">
        <v>1282.5999999999999</v>
      </c>
      <c r="K29" s="231">
        <v>1300</v>
      </c>
      <c r="L29" s="228">
        <v>-17.399999999999999</v>
      </c>
      <c r="M29" s="229">
        <v>-1.34E-2</v>
      </c>
      <c r="N29" s="231">
        <v>1285.7</v>
      </c>
      <c r="O29" s="231">
        <v>1291.5</v>
      </c>
      <c r="P29" s="228">
        <v>-5.8</v>
      </c>
      <c r="Q29" s="229">
        <v>-4.4999999999999997E-3</v>
      </c>
      <c r="R29" s="231">
        <v>1276.4000000000001</v>
      </c>
      <c r="S29" s="231">
        <v>1282.9000000000001</v>
      </c>
      <c r="T29" s="228">
        <v>-6.5</v>
      </c>
      <c r="U29" s="229">
        <v>-5.1000000000000004E-3</v>
      </c>
      <c r="V29" s="231">
        <v>1271.0999999999999</v>
      </c>
      <c r="W29" s="231">
        <v>1277.5</v>
      </c>
      <c r="X29" s="228">
        <v>-6.4</v>
      </c>
      <c r="Y29" s="229">
        <v>-5.0000000000000001E-3</v>
      </c>
      <c r="Z29" s="228">
        <v>3.1</v>
      </c>
      <c r="AA29" s="228">
        <v>-8.5</v>
      </c>
      <c r="AB29" s="228">
        <v>11.6</v>
      </c>
      <c r="AC29" s="229">
        <v>2.3999999999999998E-3</v>
      </c>
      <c r="AD29" s="228">
        <v>3.1</v>
      </c>
      <c r="AE29" s="228">
        <v>-8.5</v>
      </c>
      <c r="AF29" s="228">
        <v>11.6</v>
      </c>
      <c r="AG29" s="229">
        <v>2.3999999999999998E-3</v>
      </c>
      <c r="AH29" s="228">
        <v>-6.2</v>
      </c>
      <c r="AI29" s="228">
        <v>-17.100000000000001</v>
      </c>
      <c r="AJ29" s="228">
        <v>10.9</v>
      </c>
      <c r="AK29" s="229">
        <v>-4.7999999999999996E-3</v>
      </c>
      <c r="AL29" s="228">
        <v>-11.5</v>
      </c>
      <c r="AM29" s="228">
        <v>-22.5</v>
      </c>
      <c r="AN29" s="228">
        <v>11</v>
      </c>
      <c r="AO29" s="229">
        <v>-8.9999999999999993E-3</v>
      </c>
      <c r="AP29" s="231">
        <v>1276.33</v>
      </c>
      <c r="AQ29" s="231">
        <v>1263.5899999999999</v>
      </c>
      <c r="AR29" s="228">
        <v>0</v>
      </c>
      <c r="AS29" s="228">
        <v>152</v>
      </c>
      <c r="AT29" s="228">
        <v>216</v>
      </c>
      <c r="AU29" s="228">
        <v>-65</v>
      </c>
      <c r="AV29" s="229">
        <v>-0.29809999999999998</v>
      </c>
      <c r="AW29" s="228">
        <v>122</v>
      </c>
      <c r="AX29" s="228">
        <v>151</v>
      </c>
      <c r="AY29" s="228">
        <v>-29</v>
      </c>
      <c r="AZ29" s="229">
        <v>-0.19089999999999999</v>
      </c>
      <c r="BA29" s="228">
        <v>27</v>
      </c>
      <c r="BB29" s="228">
        <v>61</v>
      </c>
      <c r="BC29" s="228">
        <v>-34</v>
      </c>
      <c r="BD29" s="229">
        <v>-0.5544</v>
      </c>
      <c r="BE29" s="228">
        <v>3</v>
      </c>
      <c r="BF29" s="228">
        <v>5</v>
      </c>
      <c r="BG29" s="228">
        <v>-2</v>
      </c>
      <c r="BH29" s="229">
        <v>-0.39810000000000001</v>
      </c>
      <c r="BI29" s="228">
        <v>956</v>
      </c>
      <c r="BJ29" s="228">
        <v>948</v>
      </c>
      <c r="BK29" s="228">
        <v>8</v>
      </c>
      <c r="BL29" s="229">
        <v>8.2000000000000007E-3</v>
      </c>
      <c r="BM29" s="228">
        <v>214</v>
      </c>
      <c r="BN29" s="228">
        <v>249</v>
      </c>
      <c r="BO29" s="228">
        <v>-35</v>
      </c>
      <c r="BP29" s="229">
        <v>-0.1414</v>
      </c>
      <c r="BQ29" s="230">
        <v>1322</v>
      </c>
      <c r="BR29" s="230">
        <v>1414</v>
      </c>
      <c r="BS29" s="228">
        <v>-92</v>
      </c>
      <c r="BT29" s="229">
        <v>-6.5100000000000005E-2</v>
      </c>
      <c r="BU29" s="230">
        <v>1196705</v>
      </c>
      <c r="BV29" s="230">
        <v>1416087</v>
      </c>
      <c r="BW29" s="230">
        <v>-219382</v>
      </c>
      <c r="BX29" s="229">
        <v>-0.15490000000000001</v>
      </c>
      <c r="BY29" s="228">
        <v>943</v>
      </c>
      <c r="BZ29" s="228">
        <v>939</v>
      </c>
      <c r="CA29" s="228">
        <v>4</v>
      </c>
      <c r="CB29" s="229">
        <v>4.5999999999999999E-3</v>
      </c>
      <c r="CC29" s="228">
        <v>765</v>
      </c>
      <c r="CD29" s="228">
        <v>770</v>
      </c>
      <c r="CE29" s="228">
        <v>-5</v>
      </c>
      <c r="CF29" s="229">
        <v>-7.0000000000000001E-3</v>
      </c>
      <c r="CG29" s="228">
        <v>149</v>
      </c>
      <c r="CH29" s="228">
        <v>141</v>
      </c>
      <c r="CI29" s="228">
        <v>8</v>
      </c>
      <c r="CJ29" s="229">
        <v>6.0100000000000001E-2</v>
      </c>
      <c r="CK29" s="228">
        <v>29</v>
      </c>
      <c r="CL29" s="228">
        <v>28</v>
      </c>
      <c r="CM29" s="228">
        <v>1</v>
      </c>
      <c r="CN29" s="229">
        <v>4.41E-2</v>
      </c>
      <c r="CO29" s="230">
        <v>1434</v>
      </c>
      <c r="CP29" s="230">
        <v>1449</v>
      </c>
      <c r="CQ29" s="228">
        <v>-15</v>
      </c>
      <c r="CR29" s="229">
        <v>-0.01</v>
      </c>
      <c r="CS29" s="228">
        <v>516</v>
      </c>
      <c r="CT29" s="228">
        <v>518</v>
      </c>
      <c r="CU29" s="228">
        <v>-2</v>
      </c>
      <c r="CV29" s="229">
        <v>-3.3999999999999998E-3</v>
      </c>
      <c r="CW29" s="230">
        <v>2894</v>
      </c>
      <c r="CX29" s="230">
        <v>2906</v>
      </c>
      <c r="CY29" s="228">
        <v>-12</v>
      </c>
      <c r="CZ29" s="229">
        <v>-4.1000000000000003E-3</v>
      </c>
      <c r="DA29" s="228">
        <v>46.36</v>
      </c>
      <c r="DB29" s="228">
        <v>45.56</v>
      </c>
      <c r="DC29" s="228">
        <v>0.8</v>
      </c>
      <c r="DD29" s="228">
        <v>0.8</v>
      </c>
      <c r="DE29" s="228">
        <v>52.09</v>
      </c>
      <c r="DF29" s="228">
        <v>52.22</v>
      </c>
      <c r="DG29" s="228">
        <v>-5.73</v>
      </c>
      <c r="DH29" s="228">
        <v>-0.13</v>
      </c>
      <c r="DI29" s="228">
        <v>47.38</v>
      </c>
      <c r="DJ29" s="228">
        <v>46.29</v>
      </c>
      <c r="DK29" s="228">
        <v>1.0900000000000001</v>
      </c>
      <c r="DL29" s="228">
        <v>1.0900000000000001</v>
      </c>
      <c r="DM29" s="228">
        <v>41.8</v>
      </c>
      <c r="DN29" s="228">
        <v>42.75</v>
      </c>
      <c r="DO29" s="228">
        <v>-0.95</v>
      </c>
      <c r="DP29" s="228">
        <v>-0.95</v>
      </c>
      <c r="DQ29" s="228">
        <v>0.36</v>
      </c>
      <c r="DR29" s="228">
        <v>0.36</v>
      </c>
      <c r="DS29" s="228">
        <v>0</v>
      </c>
      <c r="DT29" s="229">
        <v>0</v>
      </c>
      <c r="DU29" s="231">
        <v>1600</v>
      </c>
      <c r="DV29" s="231">
        <v>1260</v>
      </c>
      <c r="DW29" s="228">
        <v>0.22</v>
      </c>
      <c r="DX29" s="228">
        <v>0.26</v>
      </c>
      <c r="DY29" s="228">
        <v>-0.04</v>
      </c>
      <c r="DZ29" s="229">
        <v>-0.15379999999999999</v>
      </c>
      <c r="EA29" s="229">
        <v>0.18870000000000001</v>
      </c>
      <c r="EB29" s="230">
        <v>1309000</v>
      </c>
      <c r="EC29" s="229">
        <v>-7.1999999999999998E-3</v>
      </c>
      <c r="ED29" s="229">
        <v>0.18870000000000001</v>
      </c>
      <c r="EE29" s="228">
        <v>-12.74</v>
      </c>
      <c r="EF29" s="229">
        <v>-0.01</v>
      </c>
      <c r="EG29" s="230">
        <v>406388</v>
      </c>
      <c r="EH29" s="230">
        <v>445983</v>
      </c>
      <c r="EI29" s="229">
        <v>-8.8800000000000004E-2</v>
      </c>
      <c r="EJ29" s="229">
        <v>0.33960000000000001</v>
      </c>
      <c r="EK29" s="231">
        <v>1074.31</v>
      </c>
      <c r="EL29" s="228">
        <v>209.45</v>
      </c>
      <c r="EM29" s="228">
        <v>150.51</v>
      </c>
      <c r="EN29" s="228">
        <v>57.87</v>
      </c>
      <c r="EO29" s="231">
        <v>1434.26</v>
      </c>
      <c r="EP29" s="231">
        <v>1517.91</v>
      </c>
      <c r="EQ29" s="228">
        <v>-83.64</v>
      </c>
      <c r="ER29" s="229">
        <v>-5.5100000000000003E-2</v>
      </c>
      <c r="ES29" s="231">
        <v>1652.98</v>
      </c>
      <c r="ET29" s="228">
        <v>531.57000000000005</v>
      </c>
      <c r="EU29" s="228">
        <v>941.69</v>
      </c>
      <c r="EV29" s="231">
        <v>13786716</v>
      </c>
      <c r="EW29" s="231">
        <v>3126.24</v>
      </c>
      <c r="EX29" s="231">
        <v>3152.24</v>
      </c>
      <c r="EY29" s="228">
        <v>-26</v>
      </c>
      <c r="EZ29" s="229">
        <v>-8.2000000000000007E-3</v>
      </c>
      <c r="FA29" s="229">
        <v>1.6325000000000001</v>
      </c>
      <c r="FB29" s="227" t="s">
        <v>567</v>
      </c>
      <c r="FC29" s="195">
        <f t="shared" si="0"/>
        <v>178</v>
      </c>
    </row>
    <row r="30" spans="1:159" ht="17.25" hidden="1" thickBot="1" x14ac:dyDescent="0.3">
      <c r="A30" s="226">
        <v>46064</v>
      </c>
      <c r="B30" s="227" t="s">
        <v>184</v>
      </c>
      <c r="C30" s="227" t="s">
        <v>185</v>
      </c>
      <c r="D30" s="228">
        <v>1425</v>
      </c>
      <c r="E30" s="228">
        <v>13</v>
      </c>
      <c r="F30" s="228">
        <v>437.7</v>
      </c>
      <c r="G30" s="228">
        <v>437.45</v>
      </c>
      <c r="H30" s="228">
        <v>0.25</v>
      </c>
      <c r="I30" s="229">
        <v>5.9999999999999995E-4</v>
      </c>
      <c r="J30" s="228">
        <v>437.55</v>
      </c>
      <c r="K30" s="228">
        <v>437.3</v>
      </c>
      <c r="L30" s="228">
        <v>0.25</v>
      </c>
      <c r="M30" s="229">
        <v>5.9999999999999995E-4</v>
      </c>
      <c r="N30" s="228">
        <v>437.7</v>
      </c>
      <c r="O30" s="228">
        <v>437.45</v>
      </c>
      <c r="P30" s="228">
        <v>0.25</v>
      </c>
      <c r="Q30" s="229">
        <v>5.9999999999999995E-4</v>
      </c>
      <c r="R30" s="228">
        <v>439.5</v>
      </c>
      <c r="S30" s="228">
        <v>439.2</v>
      </c>
      <c r="T30" s="228">
        <v>0.3</v>
      </c>
      <c r="U30" s="229">
        <v>6.9999999999999999E-4</v>
      </c>
      <c r="V30" s="228">
        <v>442.8</v>
      </c>
      <c r="W30" s="228">
        <v>441.85</v>
      </c>
      <c r="X30" s="228">
        <v>0.95</v>
      </c>
      <c r="Y30" s="229">
        <v>2.2000000000000001E-3</v>
      </c>
      <c r="Z30" s="228">
        <v>0.15</v>
      </c>
      <c r="AA30" s="228">
        <v>0.15</v>
      </c>
      <c r="AB30" s="228">
        <v>0</v>
      </c>
      <c r="AC30" s="229">
        <v>2.9999999999999997E-4</v>
      </c>
      <c r="AD30" s="228">
        <v>0.15</v>
      </c>
      <c r="AE30" s="228">
        <v>0.15</v>
      </c>
      <c r="AF30" s="228">
        <v>0</v>
      </c>
      <c r="AG30" s="229">
        <v>2.9999999999999997E-4</v>
      </c>
      <c r="AH30" s="228">
        <v>1.95</v>
      </c>
      <c r="AI30" s="228">
        <v>1.9</v>
      </c>
      <c r="AJ30" s="228">
        <v>0.05</v>
      </c>
      <c r="AK30" s="229">
        <v>4.4999999999999997E-3</v>
      </c>
      <c r="AL30" s="228">
        <v>5.25</v>
      </c>
      <c r="AM30" s="228">
        <v>4.55</v>
      </c>
      <c r="AN30" s="228">
        <v>0.7</v>
      </c>
      <c r="AO30" s="229">
        <v>1.2E-2</v>
      </c>
      <c r="AP30" s="228">
        <v>436.8</v>
      </c>
      <c r="AQ30" s="228">
        <v>438.64</v>
      </c>
      <c r="AR30" s="228">
        <v>0</v>
      </c>
      <c r="AS30" s="228">
        <v>374</v>
      </c>
      <c r="AT30" s="228">
        <v>529</v>
      </c>
      <c r="AU30" s="228">
        <v>-155</v>
      </c>
      <c r="AV30" s="229">
        <v>-0.29249999999999998</v>
      </c>
      <c r="AW30" s="228">
        <v>335</v>
      </c>
      <c r="AX30" s="228">
        <v>447</v>
      </c>
      <c r="AY30" s="228">
        <v>-112</v>
      </c>
      <c r="AZ30" s="229">
        <v>-0.25069999999999998</v>
      </c>
      <c r="BA30" s="228">
        <v>34</v>
      </c>
      <c r="BB30" s="228">
        <v>70</v>
      </c>
      <c r="BC30" s="228">
        <v>-36</v>
      </c>
      <c r="BD30" s="229">
        <v>-0.51329999999999998</v>
      </c>
      <c r="BE30" s="228">
        <v>5</v>
      </c>
      <c r="BF30" s="228">
        <v>12</v>
      </c>
      <c r="BG30" s="228">
        <v>-7</v>
      </c>
      <c r="BH30" s="229">
        <v>-0.55500000000000005</v>
      </c>
      <c r="BI30" s="230">
        <v>2458</v>
      </c>
      <c r="BJ30" s="230">
        <v>3450</v>
      </c>
      <c r="BK30" s="228">
        <v>-992</v>
      </c>
      <c r="BL30" s="229">
        <v>-0.28749999999999998</v>
      </c>
      <c r="BM30" s="228">
        <v>809</v>
      </c>
      <c r="BN30" s="230">
        <v>1244</v>
      </c>
      <c r="BO30" s="228">
        <v>-435</v>
      </c>
      <c r="BP30" s="229">
        <v>-0.34949999999999998</v>
      </c>
      <c r="BQ30" s="230">
        <v>3642</v>
      </c>
      <c r="BR30" s="230">
        <v>5223</v>
      </c>
      <c r="BS30" s="230">
        <v>-1582</v>
      </c>
      <c r="BT30" s="229">
        <v>-0.30280000000000001</v>
      </c>
      <c r="BU30" s="230">
        <v>8564043</v>
      </c>
      <c r="BV30" s="230">
        <v>11553589</v>
      </c>
      <c r="BW30" s="230">
        <v>-2989546</v>
      </c>
      <c r="BX30" s="229">
        <v>-0.25879999999999997</v>
      </c>
      <c r="BY30" s="230">
        <v>4939</v>
      </c>
      <c r="BZ30" s="230">
        <v>4987</v>
      </c>
      <c r="CA30" s="228">
        <v>-48</v>
      </c>
      <c r="CB30" s="229">
        <v>-9.5999999999999992E-3</v>
      </c>
      <c r="CC30" s="230">
        <v>4501</v>
      </c>
      <c r="CD30" s="230">
        <v>4554</v>
      </c>
      <c r="CE30" s="228">
        <v>-53</v>
      </c>
      <c r="CF30" s="229">
        <v>-1.1599999999999999E-2</v>
      </c>
      <c r="CG30" s="228">
        <v>366</v>
      </c>
      <c r="CH30" s="228">
        <v>363</v>
      </c>
      <c r="CI30" s="228">
        <v>3</v>
      </c>
      <c r="CJ30" s="229">
        <v>9.5999999999999992E-3</v>
      </c>
      <c r="CK30" s="228">
        <v>71</v>
      </c>
      <c r="CL30" s="228">
        <v>70</v>
      </c>
      <c r="CM30" s="228">
        <v>1</v>
      </c>
      <c r="CN30" s="229">
        <v>1.9699999999999999E-2</v>
      </c>
      <c r="CO30" s="230">
        <v>4496</v>
      </c>
      <c r="CP30" s="230">
        <v>4607</v>
      </c>
      <c r="CQ30" s="228">
        <v>-111</v>
      </c>
      <c r="CR30" s="229">
        <v>-2.41E-2</v>
      </c>
      <c r="CS30" s="230">
        <v>1906</v>
      </c>
      <c r="CT30" s="230">
        <v>1930</v>
      </c>
      <c r="CU30" s="228">
        <v>-25</v>
      </c>
      <c r="CV30" s="229">
        <v>-1.29E-2</v>
      </c>
      <c r="CW30" s="230">
        <v>11340</v>
      </c>
      <c r="CX30" s="230">
        <v>11524</v>
      </c>
      <c r="CY30" s="228">
        <v>-184</v>
      </c>
      <c r="CZ30" s="229">
        <v>-1.5900000000000001E-2</v>
      </c>
      <c r="DA30" s="228">
        <v>34</v>
      </c>
      <c r="DB30" s="228">
        <v>33.479999999999997</v>
      </c>
      <c r="DC30" s="228">
        <v>0.52</v>
      </c>
      <c r="DD30" s="228">
        <v>0.52</v>
      </c>
      <c r="DE30" s="228">
        <v>37.1</v>
      </c>
      <c r="DF30" s="228">
        <v>37.19</v>
      </c>
      <c r="DG30" s="228">
        <v>-3.1</v>
      </c>
      <c r="DH30" s="228">
        <v>-0.09</v>
      </c>
      <c r="DI30" s="228">
        <v>34.9</v>
      </c>
      <c r="DJ30" s="228">
        <v>34.200000000000003</v>
      </c>
      <c r="DK30" s="228">
        <v>0.7</v>
      </c>
      <c r="DL30" s="228">
        <v>0.7</v>
      </c>
      <c r="DM30" s="228">
        <v>31.27</v>
      </c>
      <c r="DN30" s="228">
        <v>31.5</v>
      </c>
      <c r="DO30" s="228">
        <v>-0.23</v>
      </c>
      <c r="DP30" s="228">
        <v>-0.23</v>
      </c>
      <c r="DQ30" s="228">
        <v>0.42</v>
      </c>
      <c r="DR30" s="228">
        <v>0.42</v>
      </c>
      <c r="DS30" s="228">
        <v>0</v>
      </c>
      <c r="DT30" s="229">
        <v>0</v>
      </c>
      <c r="DU30" s="228">
        <v>450</v>
      </c>
      <c r="DV30" s="228">
        <v>420</v>
      </c>
      <c r="DW30" s="228">
        <v>0.33</v>
      </c>
      <c r="DX30" s="228">
        <v>0.36</v>
      </c>
      <c r="DY30" s="228">
        <v>-0.03</v>
      </c>
      <c r="DZ30" s="229">
        <v>-8.3299999999999999E-2</v>
      </c>
      <c r="EA30" s="229">
        <v>8.8599999999999998E-2</v>
      </c>
      <c r="EB30" s="230">
        <v>9883800</v>
      </c>
      <c r="EC30" s="229">
        <v>4.1000000000000003E-3</v>
      </c>
      <c r="ED30" s="229">
        <v>8.8599999999999998E-2</v>
      </c>
      <c r="EE30" s="228">
        <v>1.84</v>
      </c>
      <c r="EF30" s="229">
        <v>4.1999999999999997E-3</v>
      </c>
      <c r="EG30" s="230">
        <v>5153812</v>
      </c>
      <c r="EH30" s="230">
        <v>5730336</v>
      </c>
      <c r="EI30" s="229">
        <v>-0.10059999999999999</v>
      </c>
      <c r="EJ30" s="229">
        <v>0.6018</v>
      </c>
      <c r="EK30" s="231">
        <v>2644.17</v>
      </c>
      <c r="EL30" s="228">
        <v>793.24</v>
      </c>
      <c r="EM30" s="228">
        <v>373.48</v>
      </c>
      <c r="EN30" s="228">
        <v>102.25</v>
      </c>
      <c r="EO30" s="231">
        <v>3810.88</v>
      </c>
      <c r="EP30" s="231">
        <v>5423.39</v>
      </c>
      <c r="EQ30" s="231">
        <v>-1612.5</v>
      </c>
      <c r="ER30" s="229">
        <v>-0.29730000000000001</v>
      </c>
      <c r="ES30" s="231">
        <v>4747.6499999999996</v>
      </c>
      <c r="ET30" s="231">
        <v>1826.72</v>
      </c>
      <c r="EU30" s="231">
        <v>4941.03</v>
      </c>
      <c r="EV30" s="231">
        <v>535778534</v>
      </c>
      <c r="EW30" s="231">
        <v>11515.4</v>
      </c>
      <c r="EX30" s="231">
        <v>11705.71</v>
      </c>
      <c r="EY30" s="228">
        <v>-190.31</v>
      </c>
      <c r="EZ30" s="229">
        <v>-1.6299999999999999E-2</v>
      </c>
      <c r="FA30" s="229">
        <v>0.48359999999999997</v>
      </c>
      <c r="FB30" s="227" t="s">
        <v>556</v>
      </c>
      <c r="FC30">
        <f t="shared" si="0"/>
        <v>438</v>
      </c>
    </row>
    <row r="31" spans="1:159" ht="17.25" hidden="1" thickBot="1" x14ac:dyDescent="0.3">
      <c r="A31" s="226">
        <v>46064</v>
      </c>
      <c r="B31" s="227" t="s">
        <v>162</v>
      </c>
      <c r="C31" s="227" t="s">
        <v>187</v>
      </c>
      <c r="D31" s="228">
        <v>500</v>
      </c>
      <c r="E31" s="228">
        <v>13</v>
      </c>
      <c r="F31" s="231">
        <v>1678.4</v>
      </c>
      <c r="G31" s="231">
        <v>1617.4</v>
      </c>
      <c r="H31" s="228">
        <v>61</v>
      </c>
      <c r="I31" s="229">
        <v>3.7699999999999997E-2</v>
      </c>
      <c r="J31" s="231">
        <v>1676.4</v>
      </c>
      <c r="K31" s="231">
        <v>1614</v>
      </c>
      <c r="L31" s="228">
        <v>62.4</v>
      </c>
      <c r="M31" s="229">
        <v>3.8699999999999998E-2</v>
      </c>
      <c r="N31" s="231">
        <v>1678.4</v>
      </c>
      <c r="O31" s="231">
        <v>1617.4</v>
      </c>
      <c r="P31" s="228">
        <v>61</v>
      </c>
      <c r="Q31" s="229">
        <v>3.7699999999999997E-2</v>
      </c>
      <c r="R31" s="231">
        <v>1682.6</v>
      </c>
      <c r="S31" s="231">
        <v>1622.9</v>
      </c>
      <c r="T31" s="228">
        <v>59.7</v>
      </c>
      <c r="U31" s="229">
        <v>3.6799999999999999E-2</v>
      </c>
      <c r="V31" s="231">
        <v>1689.2</v>
      </c>
      <c r="W31" s="231">
        <v>1627.6</v>
      </c>
      <c r="X31" s="228">
        <v>61.6</v>
      </c>
      <c r="Y31" s="229">
        <v>3.78E-2</v>
      </c>
      <c r="Z31" s="228">
        <v>2</v>
      </c>
      <c r="AA31" s="228">
        <v>3.4</v>
      </c>
      <c r="AB31" s="228">
        <v>-1.4</v>
      </c>
      <c r="AC31" s="229">
        <v>1.1999999999999999E-3</v>
      </c>
      <c r="AD31" s="228">
        <v>2</v>
      </c>
      <c r="AE31" s="228">
        <v>3.4</v>
      </c>
      <c r="AF31" s="228">
        <v>-1.4</v>
      </c>
      <c r="AG31" s="229">
        <v>1.1999999999999999E-3</v>
      </c>
      <c r="AH31" s="228">
        <v>6.2</v>
      </c>
      <c r="AI31" s="228">
        <v>8.9</v>
      </c>
      <c r="AJ31" s="228">
        <v>-2.7</v>
      </c>
      <c r="AK31" s="229">
        <v>3.7000000000000002E-3</v>
      </c>
      <c r="AL31" s="228">
        <v>12.8</v>
      </c>
      <c r="AM31" s="228">
        <v>13.6</v>
      </c>
      <c r="AN31" s="228">
        <v>-0.8</v>
      </c>
      <c r="AO31" s="229">
        <v>7.6E-3</v>
      </c>
      <c r="AP31" s="231">
        <v>1659.1</v>
      </c>
      <c r="AQ31" s="231">
        <v>1668.16</v>
      </c>
      <c r="AR31" s="228">
        <v>0</v>
      </c>
      <c r="AS31" s="228">
        <v>604</v>
      </c>
      <c r="AT31" s="228">
        <v>200</v>
      </c>
      <c r="AU31" s="228">
        <v>404</v>
      </c>
      <c r="AV31" s="229">
        <v>2.0234999999999999</v>
      </c>
      <c r="AW31" s="228">
        <v>572</v>
      </c>
      <c r="AX31" s="228">
        <v>187</v>
      </c>
      <c r="AY31" s="228">
        <v>385</v>
      </c>
      <c r="AZ31" s="229">
        <v>2.0547</v>
      </c>
      <c r="BA31" s="228">
        <v>29</v>
      </c>
      <c r="BB31" s="228">
        <v>10</v>
      </c>
      <c r="BC31" s="228">
        <v>19</v>
      </c>
      <c r="BD31" s="229">
        <v>1.784</v>
      </c>
      <c r="BE31" s="228">
        <v>3</v>
      </c>
      <c r="BF31" s="228">
        <v>2</v>
      </c>
      <c r="BG31" s="228">
        <v>1</v>
      </c>
      <c r="BH31" s="229">
        <v>0.5</v>
      </c>
      <c r="BI31" s="230">
        <v>2412</v>
      </c>
      <c r="BJ31" s="228">
        <v>679</v>
      </c>
      <c r="BK31" s="230">
        <v>1734</v>
      </c>
      <c r="BL31" s="229">
        <v>2.5547</v>
      </c>
      <c r="BM31" s="228">
        <v>806</v>
      </c>
      <c r="BN31" s="228">
        <v>260</v>
      </c>
      <c r="BO31" s="228">
        <v>546</v>
      </c>
      <c r="BP31" s="229">
        <v>2.0985</v>
      </c>
      <c r="BQ31" s="230">
        <v>3822</v>
      </c>
      <c r="BR31" s="230">
        <v>1139</v>
      </c>
      <c r="BS31" s="230">
        <v>2684</v>
      </c>
      <c r="BT31" s="229">
        <v>2.3573</v>
      </c>
      <c r="BU31" s="230">
        <v>2784697</v>
      </c>
      <c r="BV31" s="230">
        <v>1097865</v>
      </c>
      <c r="BW31" s="230">
        <v>1686832</v>
      </c>
      <c r="BX31" s="229">
        <v>1.5365</v>
      </c>
      <c r="BY31" s="230">
        <v>1190</v>
      </c>
      <c r="BZ31" s="230">
        <v>1163</v>
      </c>
      <c r="CA31" s="228">
        <v>27</v>
      </c>
      <c r="CB31" s="229">
        <v>2.3599999999999999E-2</v>
      </c>
      <c r="CC31" s="230">
        <v>1167</v>
      </c>
      <c r="CD31" s="230">
        <v>1143</v>
      </c>
      <c r="CE31" s="228">
        <v>24</v>
      </c>
      <c r="CF31" s="229">
        <v>2.0799999999999999E-2</v>
      </c>
      <c r="CG31" s="228">
        <v>19</v>
      </c>
      <c r="CH31" s="228">
        <v>16</v>
      </c>
      <c r="CI31" s="228">
        <v>3</v>
      </c>
      <c r="CJ31" s="229">
        <v>0.1875</v>
      </c>
      <c r="CK31" s="228">
        <v>4</v>
      </c>
      <c r="CL31" s="228">
        <v>4</v>
      </c>
      <c r="CM31" s="228">
        <v>1</v>
      </c>
      <c r="CN31" s="229">
        <v>0.17780000000000001</v>
      </c>
      <c r="CO31" s="228">
        <v>576</v>
      </c>
      <c r="CP31" s="228">
        <v>499</v>
      </c>
      <c r="CQ31" s="228">
        <v>76</v>
      </c>
      <c r="CR31" s="229">
        <v>0.153</v>
      </c>
      <c r="CS31" s="228">
        <v>446</v>
      </c>
      <c r="CT31" s="228">
        <v>377</v>
      </c>
      <c r="CU31" s="228">
        <v>69</v>
      </c>
      <c r="CV31" s="229">
        <v>0.1842</v>
      </c>
      <c r="CW31" s="230">
        <v>2212</v>
      </c>
      <c r="CX31" s="230">
        <v>2039</v>
      </c>
      <c r="CY31" s="228">
        <v>173</v>
      </c>
      <c r="CZ31" s="229">
        <v>8.5000000000000006E-2</v>
      </c>
      <c r="DA31" s="228">
        <v>44.65</v>
      </c>
      <c r="DB31" s="228">
        <v>40.549999999999997</v>
      </c>
      <c r="DC31" s="228">
        <v>4.0999999999999996</v>
      </c>
      <c r="DD31" s="228">
        <v>4.0999999999999996</v>
      </c>
      <c r="DE31" s="228">
        <v>37.869999999999997</v>
      </c>
      <c r="DF31" s="228">
        <v>37.630000000000003</v>
      </c>
      <c r="DG31" s="228">
        <v>6.78</v>
      </c>
      <c r="DH31" s="228">
        <v>0.24</v>
      </c>
      <c r="DI31" s="228">
        <v>44.45</v>
      </c>
      <c r="DJ31" s="228">
        <v>39.89</v>
      </c>
      <c r="DK31" s="228">
        <v>4.5599999999999996</v>
      </c>
      <c r="DL31" s="228">
        <v>4.5599999999999996</v>
      </c>
      <c r="DM31" s="228">
        <v>45.25</v>
      </c>
      <c r="DN31" s="228">
        <v>42.25</v>
      </c>
      <c r="DO31" s="228">
        <v>3</v>
      </c>
      <c r="DP31" s="228">
        <v>3</v>
      </c>
      <c r="DQ31" s="228">
        <v>0.78</v>
      </c>
      <c r="DR31" s="228">
        <v>0.75</v>
      </c>
      <c r="DS31" s="228">
        <v>0.03</v>
      </c>
      <c r="DT31" s="229">
        <v>0.04</v>
      </c>
      <c r="DU31" s="231">
        <v>1800</v>
      </c>
      <c r="DV31" s="231">
        <v>1500</v>
      </c>
      <c r="DW31" s="228">
        <v>0.33</v>
      </c>
      <c r="DX31" s="228">
        <v>0.38</v>
      </c>
      <c r="DY31" s="228">
        <v>-0.05</v>
      </c>
      <c r="DZ31" s="229">
        <v>-0.13159999999999999</v>
      </c>
      <c r="EA31" s="229">
        <v>1.9800000000000002E-2</v>
      </c>
      <c r="EB31" s="230">
        <v>118500</v>
      </c>
      <c r="EC31" s="229">
        <v>2.5000000000000001E-3</v>
      </c>
      <c r="ED31" s="229">
        <v>1.9800000000000002E-2</v>
      </c>
      <c r="EE31" s="228">
        <v>9.06</v>
      </c>
      <c r="EF31" s="229">
        <v>5.4999999999999997E-3</v>
      </c>
      <c r="EG31" s="230">
        <v>1342926</v>
      </c>
      <c r="EH31" s="230">
        <v>622792</v>
      </c>
      <c r="EI31" s="229">
        <v>1.1563000000000001</v>
      </c>
      <c r="EJ31" s="229">
        <v>0.48230000000000001</v>
      </c>
      <c r="EK31" s="231">
        <v>2501.75</v>
      </c>
      <c r="EL31" s="228">
        <v>768.01</v>
      </c>
      <c r="EM31" s="228">
        <v>597.62</v>
      </c>
      <c r="EN31" s="228">
        <v>35.21</v>
      </c>
      <c r="EO31" s="231">
        <v>3867.38</v>
      </c>
      <c r="EP31" s="231">
        <v>1111.46</v>
      </c>
      <c r="EQ31" s="231">
        <v>2755.92</v>
      </c>
      <c r="ER31" s="229">
        <v>2.4796</v>
      </c>
      <c r="ES31" s="228">
        <v>564.95000000000005</v>
      </c>
      <c r="ET31" s="228">
        <v>399.42</v>
      </c>
      <c r="EU31" s="231">
        <v>1190.48</v>
      </c>
      <c r="EV31" s="231">
        <v>40107751</v>
      </c>
      <c r="EW31" s="231">
        <v>2154.85</v>
      </c>
      <c r="EX31" s="231">
        <v>1929.83</v>
      </c>
      <c r="EY31" s="228">
        <v>225.02</v>
      </c>
      <c r="EZ31" s="229">
        <v>0.1166</v>
      </c>
      <c r="FA31" s="229">
        <v>0.3286</v>
      </c>
      <c r="FB31" s="227" t="s">
        <v>555</v>
      </c>
      <c r="FC31">
        <f t="shared" si="0"/>
        <v>23</v>
      </c>
    </row>
    <row r="32" spans="1:159" ht="17.25" hidden="1" thickBot="1" x14ac:dyDescent="0.3">
      <c r="A32" s="226">
        <v>46064</v>
      </c>
      <c r="B32" s="227" t="s">
        <v>188</v>
      </c>
      <c r="C32" s="227" t="s">
        <v>189</v>
      </c>
      <c r="D32" s="228">
        <v>475</v>
      </c>
      <c r="E32" s="228">
        <v>13</v>
      </c>
      <c r="F32" s="231">
        <v>2018.1</v>
      </c>
      <c r="G32" s="231">
        <v>2016.9</v>
      </c>
      <c r="H32" s="228">
        <v>1.2</v>
      </c>
      <c r="I32" s="229">
        <v>5.9999999999999995E-4</v>
      </c>
      <c r="J32" s="231">
        <v>2012.1</v>
      </c>
      <c r="K32" s="231">
        <v>2011.3</v>
      </c>
      <c r="L32" s="228">
        <v>0.8</v>
      </c>
      <c r="M32" s="229">
        <v>4.0000000000000002E-4</v>
      </c>
      <c r="N32" s="231">
        <v>2018.1</v>
      </c>
      <c r="O32" s="231">
        <v>2016.9</v>
      </c>
      <c r="P32" s="228">
        <v>1.2</v>
      </c>
      <c r="Q32" s="229">
        <v>5.9999999999999995E-4</v>
      </c>
      <c r="R32" s="231">
        <v>2030</v>
      </c>
      <c r="S32" s="231">
        <v>2029.3</v>
      </c>
      <c r="T32" s="228">
        <v>0.7</v>
      </c>
      <c r="U32" s="229">
        <v>2.9999999999999997E-4</v>
      </c>
      <c r="V32" s="231">
        <v>2048</v>
      </c>
      <c r="W32" s="231">
        <v>2041.5</v>
      </c>
      <c r="X32" s="228">
        <v>6.5</v>
      </c>
      <c r="Y32" s="229">
        <v>3.2000000000000002E-3</v>
      </c>
      <c r="Z32" s="228">
        <v>6</v>
      </c>
      <c r="AA32" s="228">
        <v>5.6</v>
      </c>
      <c r="AB32" s="228">
        <v>0.4</v>
      </c>
      <c r="AC32" s="229">
        <v>3.0000000000000001E-3</v>
      </c>
      <c r="AD32" s="228">
        <v>6</v>
      </c>
      <c r="AE32" s="228">
        <v>5.6</v>
      </c>
      <c r="AF32" s="228">
        <v>0.4</v>
      </c>
      <c r="AG32" s="229">
        <v>3.0000000000000001E-3</v>
      </c>
      <c r="AH32" s="228">
        <v>17.899999999999999</v>
      </c>
      <c r="AI32" s="228">
        <v>18</v>
      </c>
      <c r="AJ32" s="228">
        <v>-0.1</v>
      </c>
      <c r="AK32" s="229">
        <v>8.8999999999999999E-3</v>
      </c>
      <c r="AL32" s="228">
        <v>35.9</v>
      </c>
      <c r="AM32" s="228">
        <v>30.2</v>
      </c>
      <c r="AN32" s="228">
        <v>5.7</v>
      </c>
      <c r="AO32" s="229">
        <v>1.78E-2</v>
      </c>
      <c r="AP32" s="231">
        <v>2015.23</v>
      </c>
      <c r="AQ32" s="231">
        <v>2027.89</v>
      </c>
      <c r="AR32" s="228">
        <v>0</v>
      </c>
      <c r="AS32" s="228">
        <v>718</v>
      </c>
      <c r="AT32" s="228">
        <v>751</v>
      </c>
      <c r="AU32" s="228">
        <v>-33</v>
      </c>
      <c r="AV32" s="229">
        <v>-4.3400000000000001E-2</v>
      </c>
      <c r="AW32" s="228">
        <v>571</v>
      </c>
      <c r="AX32" s="228">
        <v>660</v>
      </c>
      <c r="AY32" s="228">
        <v>-89</v>
      </c>
      <c r="AZ32" s="229">
        <v>-0.13439999999999999</v>
      </c>
      <c r="BA32" s="228">
        <v>144</v>
      </c>
      <c r="BB32" s="228">
        <v>83</v>
      </c>
      <c r="BC32" s="228">
        <v>60</v>
      </c>
      <c r="BD32" s="229">
        <v>0.71989999999999998</v>
      </c>
      <c r="BE32" s="228">
        <v>4</v>
      </c>
      <c r="BF32" s="228">
        <v>8</v>
      </c>
      <c r="BG32" s="228">
        <v>-4</v>
      </c>
      <c r="BH32" s="229">
        <v>-0.52500000000000002</v>
      </c>
      <c r="BI32" s="230">
        <v>4614</v>
      </c>
      <c r="BJ32" s="230">
        <v>4139</v>
      </c>
      <c r="BK32" s="228">
        <v>475</v>
      </c>
      <c r="BL32" s="229">
        <v>0.1148</v>
      </c>
      <c r="BM32" s="230">
        <v>2617</v>
      </c>
      <c r="BN32" s="230">
        <v>2994</v>
      </c>
      <c r="BO32" s="228">
        <v>-377</v>
      </c>
      <c r="BP32" s="229">
        <v>-0.12590000000000001</v>
      </c>
      <c r="BQ32" s="230">
        <v>7949</v>
      </c>
      <c r="BR32" s="230">
        <v>7884</v>
      </c>
      <c r="BS32" s="228">
        <v>65</v>
      </c>
      <c r="BT32" s="229">
        <v>8.3000000000000001E-3</v>
      </c>
      <c r="BU32" s="230">
        <v>7666678</v>
      </c>
      <c r="BV32" s="230">
        <v>10268884</v>
      </c>
      <c r="BW32" s="230">
        <v>-2602206</v>
      </c>
      <c r="BX32" s="229">
        <v>-0.25340000000000001</v>
      </c>
      <c r="BY32" s="230">
        <v>10649</v>
      </c>
      <c r="BZ32" s="230">
        <v>10507</v>
      </c>
      <c r="CA32" s="228">
        <v>142</v>
      </c>
      <c r="CB32" s="229">
        <v>1.35E-2</v>
      </c>
      <c r="CC32" s="230">
        <v>9211</v>
      </c>
      <c r="CD32" s="230">
        <v>9166</v>
      </c>
      <c r="CE32" s="228">
        <v>45</v>
      </c>
      <c r="CF32" s="229">
        <v>5.0000000000000001E-3</v>
      </c>
      <c r="CG32" s="230">
        <v>1414</v>
      </c>
      <c r="CH32" s="230">
        <v>1318</v>
      </c>
      <c r="CI32" s="228">
        <v>96</v>
      </c>
      <c r="CJ32" s="229">
        <v>7.2999999999999995E-2</v>
      </c>
      <c r="CK32" s="228">
        <v>24</v>
      </c>
      <c r="CL32" s="228">
        <v>23</v>
      </c>
      <c r="CM32" s="228">
        <v>0</v>
      </c>
      <c r="CN32" s="229">
        <v>2.06E-2</v>
      </c>
      <c r="CO32" s="230">
        <v>3159</v>
      </c>
      <c r="CP32" s="230">
        <v>3009</v>
      </c>
      <c r="CQ32" s="228">
        <v>150</v>
      </c>
      <c r="CR32" s="229">
        <v>0.05</v>
      </c>
      <c r="CS32" s="230">
        <v>1568</v>
      </c>
      <c r="CT32" s="230">
        <v>1549</v>
      </c>
      <c r="CU32" s="228">
        <v>19</v>
      </c>
      <c r="CV32" s="229">
        <v>1.24E-2</v>
      </c>
      <c r="CW32" s="230">
        <v>15376</v>
      </c>
      <c r="CX32" s="230">
        <v>15064</v>
      </c>
      <c r="CY32" s="228">
        <v>312</v>
      </c>
      <c r="CZ32" s="229">
        <v>2.07E-2</v>
      </c>
      <c r="DA32" s="228">
        <v>19.05</v>
      </c>
      <c r="DB32" s="228">
        <v>19.57</v>
      </c>
      <c r="DC32" s="228">
        <v>-0.52</v>
      </c>
      <c r="DD32" s="228">
        <v>-0.52</v>
      </c>
      <c r="DE32" s="228">
        <v>23.68</v>
      </c>
      <c r="DF32" s="228">
        <v>23.74</v>
      </c>
      <c r="DG32" s="228">
        <v>-4.63</v>
      </c>
      <c r="DH32" s="228">
        <v>-0.06</v>
      </c>
      <c r="DI32" s="228">
        <v>18.88</v>
      </c>
      <c r="DJ32" s="228">
        <v>19.5</v>
      </c>
      <c r="DK32" s="228">
        <v>-0.62</v>
      </c>
      <c r="DL32" s="228">
        <v>-0.62</v>
      </c>
      <c r="DM32" s="228">
        <v>19.36</v>
      </c>
      <c r="DN32" s="228">
        <v>19.66</v>
      </c>
      <c r="DO32" s="228">
        <v>-0.3</v>
      </c>
      <c r="DP32" s="228">
        <v>-0.3</v>
      </c>
      <c r="DQ32" s="228">
        <v>0.5</v>
      </c>
      <c r="DR32" s="228">
        <v>0.51</v>
      </c>
      <c r="DS32" s="228">
        <v>-0.01</v>
      </c>
      <c r="DT32" s="229">
        <v>-1.9599999999999999E-2</v>
      </c>
      <c r="DU32" s="231">
        <v>2100</v>
      </c>
      <c r="DV32" s="231">
        <v>2000</v>
      </c>
      <c r="DW32" s="228">
        <v>0.56999999999999995</v>
      </c>
      <c r="DX32" s="228">
        <v>0.72</v>
      </c>
      <c r="DY32" s="228">
        <v>-0.15</v>
      </c>
      <c r="DZ32" s="229">
        <v>-0.20830000000000001</v>
      </c>
      <c r="EA32" s="229">
        <v>0.13500000000000001</v>
      </c>
      <c r="EB32" s="230">
        <v>6644775</v>
      </c>
      <c r="EC32" s="229">
        <v>5.8999999999999999E-3</v>
      </c>
      <c r="ED32" s="229">
        <v>0.13500000000000001</v>
      </c>
      <c r="EE32" s="228">
        <v>12.66</v>
      </c>
      <c r="EF32" s="229">
        <v>6.3E-3</v>
      </c>
      <c r="EG32" s="230">
        <v>5058023</v>
      </c>
      <c r="EH32" s="230">
        <v>7293656</v>
      </c>
      <c r="EI32" s="229">
        <v>-0.30649999999999999</v>
      </c>
      <c r="EJ32" s="229">
        <v>0.65969999999999995</v>
      </c>
      <c r="EK32" s="231">
        <v>4748.49</v>
      </c>
      <c r="EL32" s="231">
        <v>2586.7600000000002</v>
      </c>
      <c r="EM32" s="228">
        <v>718.2</v>
      </c>
      <c r="EN32" s="228">
        <v>150.21</v>
      </c>
      <c r="EO32" s="231">
        <v>8053.45</v>
      </c>
      <c r="EP32" s="231">
        <v>8024.67</v>
      </c>
      <c r="EQ32" s="228">
        <v>28.77</v>
      </c>
      <c r="ER32" s="229">
        <v>3.5999999999999999E-3</v>
      </c>
      <c r="ES32" s="231">
        <v>3280.97</v>
      </c>
      <c r="ET32" s="231">
        <v>1495.36</v>
      </c>
      <c r="EU32" s="231">
        <v>10657.37</v>
      </c>
      <c r="EV32" s="231">
        <v>367085962</v>
      </c>
      <c r="EW32" s="231">
        <v>15433.7</v>
      </c>
      <c r="EX32" s="231">
        <v>15110.7</v>
      </c>
      <c r="EY32" s="228">
        <v>323</v>
      </c>
      <c r="EZ32" s="229">
        <v>2.1399999999999999E-2</v>
      </c>
      <c r="FA32" s="229">
        <v>0.20760000000000001</v>
      </c>
      <c r="FB32" s="227" t="s">
        <v>555</v>
      </c>
      <c r="FC32">
        <f t="shared" si="0"/>
        <v>1438</v>
      </c>
    </row>
    <row r="33" spans="1:159" ht="17.25" hidden="1" thickBot="1" x14ac:dyDescent="0.3">
      <c r="A33" s="226">
        <v>46064</v>
      </c>
      <c r="B33" s="227" t="s">
        <v>184</v>
      </c>
      <c r="C33" s="227" t="s">
        <v>190</v>
      </c>
      <c r="D33" s="228">
        <v>2625</v>
      </c>
      <c r="E33" s="228">
        <v>13</v>
      </c>
      <c r="F33" s="228">
        <v>260.7</v>
      </c>
      <c r="G33" s="228">
        <v>276.8</v>
      </c>
      <c r="H33" s="228">
        <v>-16.100000000000001</v>
      </c>
      <c r="I33" s="229">
        <v>-5.8200000000000002E-2</v>
      </c>
      <c r="J33" s="228">
        <v>260.64999999999998</v>
      </c>
      <c r="K33" s="228">
        <v>276.10000000000002</v>
      </c>
      <c r="L33" s="228">
        <v>-15.45</v>
      </c>
      <c r="M33" s="229">
        <v>-5.6000000000000001E-2</v>
      </c>
      <c r="N33" s="228">
        <v>260.7</v>
      </c>
      <c r="O33" s="228">
        <v>276.8</v>
      </c>
      <c r="P33" s="228">
        <v>-16.100000000000001</v>
      </c>
      <c r="Q33" s="229">
        <v>-5.8200000000000002E-2</v>
      </c>
      <c r="R33" s="228">
        <v>262.5</v>
      </c>
      <c r="S33" s="228">
        <v>278.39999999999998</v>
      </c>
      <c r="T33" s="228">
        <v>-15.9</v>
      </c>
      <c r="U33" s="229">
        <v>-5.7099999999999998E-2</v>
      </c>
      <c r="V33" s="228">
        <v>264.35000000000002</v>
      </c>
      <c r="W33" s="228">
        <v>279.8</v>
      </c>
      <c r="X33" s="228">
        <v>-15.45</v>
      </c>
      <c r="Y33" s="229">
        <v>-5.5199999999999999E-2</v>
      </c>
      <c r="Z33" s="228">
        <v>0.05</v>
      </c>
      <c r="AA33" s="228">
        <v>0.7</v>
      </c>
      <c r="AB33" s="228">
        <v>-0.65</v>
      </c>
      <c r="AC33" s="229">
        <v>2.0000000000000001E-4</v>
      </c>
      <c r="AD33" s="228">
        <v>0.05</v>
      </c>
      <c r="AE33" s="228">
        <v>0.7</v>
      </c>
      <c r="AF33" s="228">
        <v>-0.65</v>
      </c>
      <c r="AG33" s="229">
        <v>2.0000000000000001E-4</v>
      </c>
      <c r="AH33" s="228">
        <v>1.85</v>
      </c>
      <c r="AI33" s="228">
        <v>2.2999999999999998</v>
      </c>
      <c r="AJ33" s="228">
        <v>-0.45</v>
      </c>
      <c r="AK33" s="229">
        <v>7.1000000000000004E-3</v>
      </c>
      <c r="AL33" s="228">
        <v>3.7</v>
      </c>
      <c r="AM33" s="228">
        <v>3.7</v>
      </c>
      <c r="AN33" s="228">
        <v>0</v>
      </c>
      <c r="AO33" s="229">
        <v>1.4200000000000001E-2</v>
      </c>
      <c r="AP33" s="228">
        <v>260.67</v>
      </c>
      <c r="AQ33" s="228">
        <v>262.45999999999998</v>
      </c>
      <c r="AR33" s="228">
        <v>0</v>
      </c>
      <c r="AS33" s="230">
        <v>2934</v>
      </c>
      <c r="AT33" s="228">
        <v>285</v>
      </c>
      <c r="AU33" s="230">
        <v>2649</v>
      </c>
      <c r="AV33" s="229">
        <v>9.3008000000000006</v>
      </c>
      <c r="AW33" s="230">
        <v>2765</v>
      </c>
      <c r="AX33" s="228">
        <v>264</v>
      </c>
      <c r="AY33" s="230">
        <v>2501</v>
      </c>
      <c r="AZ33" s="229">
        <v>9.4773999999999994</v>
      </c>
      <c r="BA33" s="228">
        <v>155</v>
      </c>
      <c r="BB33" s="228">
        <v>17</v>
      </c>
      <c r="BC33" s="228">
        <v>138</v>
      </c>
      <c r="BD33" s="229">
        <v>7.8979999999999997</v>
      </c>
      <c r="BE33" s="228">
        <v>14</v>
      </c>
      <c r="BF33" s="228">
        <v>3</v>
      </c>
      <c r="BG33" s="228">
        <v>10</v>
      </c>
      <c r="BH33" s="229">
        <v>2.9607999999999999</v>
      </c>
      <c r="BI33" s="230">
        <v>5982</v>
      </c>
      <c r="BJ33" s="230">
        <v>1257</v>
      </c>
      <c r="BK33" s="230">
        <v>4726</v>
      </c>
      <c r="BL33" s="229">
        <v>3.7610000000000001</v>
      </c>
      <c r="BM33" s="230">
        <v>3614</v>
      </c>
      <c r="BN33" s="228">
        <v>574</v>
      </c>
      <c r="BO33" s="230">
        <v>3040</v>
      </c>
      <c r="BP33" s="229">
        <v>5.2998000000000003</v>
      </c>
      <c r="BQ33" s="230">
        <v>12530</v>
      </c>
      <c r="BR33" s="230">
        <v>2115</v>
      </c>
      <c r="BS33" s="230">
        <v>10415</v>
      </c>
      <c r="BT33" s="229">
        <v>4.9244000000000003</v>
      </c>
      <c r="BU33" s="230">
        <v>86862116</v>
      </c>
      <c r="BV33" s="230">
        <v>5658353</v>
      </c>
      <c r="BW33" s="230">
        <v>81203763</v>
      </c>
      <c r="BX33" s="229">
        <v>14.351100000000001</v>
      </c>
      <c r="BY33" s="230">
        <v>2676</v>
      </c>
      <c r="BZ33" s="230">
        <v>2001</v>
      </c>
      <c r="CA33" s="228">
        <v>675</v>
      </c>
      <c r="CB33" s="229">
        <v>0.33729999999999999</v>
      </c>
      <c r="CC33" s="230">
        <v>2532</v>
      </c>
      <c r="CD33" s="230">
        <v>1927</v>
      </c>
      <c r="CE33" s="228">
        <v>605</v>
      </c>
      <c r="CF33" s="229">
        <v>0.31419999999999998</v>
      </c>
      <c r="CG33" s="228">
        <v>127</v>
      </c>
      <c r="CH33" s="228">
        <v>65</v>
      </c>
      <c r="CI33" s="228">
        <v>62</v>
      </c>
      <c r="CJ33" s="229">
        <v>0.94740000000000002</v>
      </c>
      <c r="CK33" s="228">
        <v>17</v>
      </c>
      <c r="CL33" s="228">
        <v>9</v>
      </c>
      <c r="CM33" s="228">
        <v>8</v>
      </c>
      <c r="CN33" s="229">
        <v>0.86760000000000004</v>
      </c>
      <c r="CO33" s="230">
        <v>2042</v>
      </c>
      <c r="CP33" s="230">
        <v>1257</v>
      </c>
      <c r="CQ33" s="228">
        <v>785</v>
      </c>
      <c r="CR33" s="229">
        <v>0.62450000000000006</v>
      </c>
      <c r="CS33" s="230">
        <v>1072</v>
      </c>
      <c r="CT33" s="228">
        <v>709</v>
      </c>
      <c r="CU33" s="228">
        <v>363</v>
      </c>
      <c r="CV33" s="229">
        <v>0.51129999999999998</v>
      </c>
      <c r="CW33" s="230">
        <v>5790</v>
      </c>
      <c r="CX33" s="230">
        <v>3967</v>
      </c>
      <c r="CY33" s="230">
        <v>1823</v>
      </c>
      <c r="CZ33" s="229">
        <v>0.45939999999999998</v>
      </c>
      <c r="DA33" s="228">
        <v>36.19</v>
      </c>
      <c r="DB33" s="228">
        <v>34.46</v>
      </c>
      <c r="DC33" s="228">
        <v>1.73</v>
      </c>
      <c r="DD33" s="228">
        <v>1.73</v>
      </c>
      <c r="DE33" s="228">
        <v>46.42</v>
      </c>
      <c r="DF33" s="228">
        <v>45.82</v>
      </c>
      <c r="DG33" s="228">
        <v>-10.23</v>
      </c>
      <c r="DH33" s="228">
        <v>0.6</v>
      </c>
      <c r="DI33" s="228">
        <v>36.86</v>
      </c>
      <c r="DJ33" s="228">
        <v>33.68</v>
      </c>
      <c r="DK33" s="228">
        <v>3.18</v>
      </c>
      <c r="DL33" s="228">
        <v>3.18</v>
      </c>
      <c r="DM33" s="228">
        <v>35.090000000000003</v>
      </c>
      <c r="DN33" s="228">
        <v>36.17</v>
      </c>
      <c r="DO33" s="228">
        <v>-1.08</v>
      </c>
      <c r="DP33" s="228">
        <v>-1.08</v>
      </c>
      <c r="DQ33" s="228">
        <v>0.52</v>
      </c>
      <c r="DR33" s="228">
        <v>0.56000000000000005</v>
      </c>
      <c r="DS33" s="228">
        <v>-0.04</v>
      </c>
      <c r="DT33" s="229">
        <v>-7.1400000000000005E-2</v>
      </c>
      <c r="DU33" s="228">
        <v>300</v>
      </c>
      <c r="DV33" s="228">
        <v>250</v>
      </c>
      <c r="DW33" s="228">
        <v>0.6</v>
      </c>
      <c r="DX33" s="228">
        <v>0.46</v>
      </c>
      <c r="DY33" s="228">
        <v>0.14000000000000001</v>
      </c>
      <c r="DZ33" s="229">
        <v>0.30430000000000001</v>
      </c>
      <c r="EA33" s="229">
        <v>5.3800000000000001E-2</v>
      </c>
      <c r="EB33" s="230">
        <v>2850750</v>
      </c>
      <c r="EC33" s="229">
        <v>6.8999999999999999E-3</v>
      </c>
      <c r="ED33" s="229">
        <v>5.3800000000000001E-2</v>
      </c>
      <c r="EE33" s="228">
        <v>1.79</v>
      </c>
      <c r="EF33" s="229">
        <v>6.8999999999999999E-3</v>
      </c>
      <c r="EG33" s="230">
        <v>48461006</v>
      </c>
      <c r="EH33" s="230">
        <v>2021482</v>
      </c>
      <c r="EI33" s="229">
        <v>22.972999999999999</v>
      </c>
      <c r="EJ33" s="229">
        <v>0.55789999999999995</v>
      </c>
      <c r="EK33" s="231">
        <v>6370.52</v>
      </c>
      <c r="EL33" s="231">
        <v>3610.2</v>
      </c>
      <c r="EM33" s="231">
        <v>2934.82</v>
      </c>
      <c r="EN33" s="228">
        <v>49.52</v>
      </c>
      <c r="EO33" s="231">
        <v>12915.53</v>
      </c>
      <c r="EP33" s="231">
        <v>2270.75</v>
      </c>
      <c r="EQ33" s="231">
        <v>10644.78</v>
      </c>
      <c r="ER33" s="229">
        <v>4.6878000000000002</v>
      </c>
      <c r="ES33" s="231">
        <v>2201.2600000000002</v>
      </c>
      <c r="ET33" s="231">
        <v>1036.6400000000001</v>
      </c>
      <c r="EU33" s="231">
        <v>2677.56</v>
      </c>
      <c r="EV33" s="231">
        <v>192361942</v>
      </c>
      <c r="EW33" s="231">
        <v>5915.46</v>
      </c>
      <c r="EX33" s="231">
        <v>4196.21</v>
      </c>
      <c r="EY33" s="231">
        <v>1719.25</v>
      </c>
      <c r="EZ33" s="229">
        <v>0.40970000000000001</v>
      </c>
      <c r="FA33" s="229">
        <v>1.1546000000000001</v>
      </c>
      <c r="FB33" s="227" t="s">
        <v>567</v>
      </c>
      <c r="FC33">
        <f t="shared" si="0"/>
        <v>144</v>
      </c>
    </row>
    <row r="34" spans="1:159" ht="17.25" hidden="1" thickBot="1" x14ac:dyDescent="0.3">
      <c r="A34" s="226">
        <v>46064</v>
      </c>
      <c r="B34" s="227" t="s">
        <v>170</v>
      </c>
      <c r="C34" s="227" t="s">
        <v>191</v>
      </c>
      <c r="D34" s="228">
        <v>2500</v>
      </c>
      <c r="E34" s="228">
        <v>13</v>
      </c>
      <c r="F34" s="228">
        <v>376.2</v>
      </c>
      <c r="G34" s="228">
        <v>372</v>
      </c>
      <c r="H34" s="228">
        <v>4.2</v>
      </c>
      <c r="I34" s="229">
        <v>1.1299999999999999E-2</v>
      </c>
      <c r="J34" s="228">
        <v>375.2</v>
      </c>
      <c r="K34" s="228">
        <v>371.05</v>
      </c>
      <c r="L34" s="228">
        <v>4.1500000000000004</v>
      </c>
      <c r="M34" s="229">
        <v>1.12E-2</v>
      </c>
      <c r="N34" s="228">
        <v>376.2</v>
      </c>
      <c r="O34" s="228">
        <v>372</v>
      </c>
      <c r="P34" s="228">
        <v>4.2</v>
      </c>
      <c r="Q34" s="229">
        <v>1.1299999999999999E-2</v>
      </c>
      <c r="R34" s="228">
        <v>378.6</v>
      </c>
      <c r="S34" s="228">
        <v>374.45</v>
      </c>
      <c r="T34" s="228">
        <v>4.1500000000000004</v>
      </c>
      <c r="U34" s="229">
        <v>1.11E-2</v>
      </c>
      <c r="V34" s="228">
        <v>380.45</v>
      </c>
      <c r="W34" s="228">
        <v>376.5</v>
      </c>
      <c r="X34" s="228">
        <v>3.95</v>
      </c>
      <c r="Y34" s="229">
        <v>1.0500000000000001E-2</v>
      </c>
      <c r="Z34" s="228">
        <v>1</v>
      </c>
      <c r="AA34" s="228">
        <v>0.95</v>
      </c>
      <c r="AB34" s="228">
        <v>0.05</v>
      </c>
      <c r="AC34" s="229">
        <v>2.7000000000000001E-3</v>
      </c>
      <c r="AD34" s="228">
        <v>1</v>
      </c>
      <c r="AE34" s="228">
        <v>0.95</v>
      </c>
      <c r="AF34" s="228">
        <v>0.05</v>
      </c>
      <c r="AG34" s="229">
        <v>2.7000000000000001E-3</v>
      </c>
      <c r="AH34" s="228">
        <v>3.4</v>
      </c>
      <c r="AI34" s="228">
        <v>3.4</v>
      </c>
      <c r="AJ34" s="228">
        <v>0</v>
      </c>
      <c r="AK34" s="229">
        <v>9.1000000000000004E-3</v>
      </c>
      <c r="AL34" s="228">
        <v>5.25</v>
      </c>
      <c r="AM34" s="228">
        <v>5.45</v>
      </c>
      <c r="AN34" s="228">
        <v>-0.2</v>
      </c>
      <c r="AO34" s="229">
        <v>1.4E-2</v>
      </c>
      <c r="AP34" s="228">
        <v>373.82</v>
      </c>
      <c r="AQ34" s="228">
        <v>376.31</v>
      </c>
      <c r="AR34" s="228">
        <v>0</v>
      </c>
      <c r="AS34" s="228">
        <v>364</v>
      </c>
      <c r="AT34" s="228">
        <v>354</v>
      </c>
      <c r="AU34" s="228">
        <v>10</v>
      </c>
      <c r="AV34" s="229">
        <v>2.7099999999999999E-2</v>
      </c>
      <c r="AW34" s="228">
        <v>330</v>
      </c>
      <c r="AX34" s="228">
        <v>323</v>
      </c>
      <c r="AY34" s="228">
        <v>7</v>
      </c>
      <c r="AZ34" s="229">
        <v>2.1499999999999998E-2</v>
      </c>
      <c r="BA34" s="228">
        <v>32</v>
      </c>
      <c r="BB34" s="228">
        <v>29</v>
      </c>
      <c r="BC34" s="228">
        <v>3</v>
      </c>
      <c r="BD34" s="229">
        <v>9.06E-2</v>
      </c>
      <c r="BE34" s="228">
        <v>2</v>
      </c>
      <c r="BF34" s="228">
        <v>2</v>
      </c>
      <c r="BG34" s="228">
        <v>0</v>
      </c>
      <c r="BH34" s="229">
        <v>0</v>
      </c>
      <c r="BI34" s="230">
        <v>1065</v>
      </c>
      <c r="BJ34" s="228">
        <v>702</v>
      </c>
      <c r="BK34" s="228">
        <v>364</v>
      </c>
      <c r="BL34" s="229">
        <v>0.51790000000000003</v>
      </c>
      <c r="BM34" s="228">
        <v>379</v>
      </c>
      <c r="BN34" s="228">
        <v>306</v>
      </c>
      <c r="BO34" s="228">
        <v>73</v>
      </c>
      <c r="BP34" s="229">
        <v>0.23730000000000001</v>
      </c>
      <c r="BQ34" s="230">
        <v>1808</v>
      </c>
      <c r="BR34" s="230">
        <v>1362</v>
      </c>
      <c r="BS34" s="228">
        <v>446</v>
      </c>
      <c r="BT34" s="229">
        <v>0.32729999999999998</v>
      </c>
      <c r="BU34" s="230">
        <v>2673587</v>
      </c>
      <c r="BV34" s="230">
        <v>2740028</v>
      </c>
      <c r="BW34" s="230">
        <v>-66441</v>
      </c>
      <c r="BX34" s="229">
        <v>-2.4199999999999999E-2</v>
      </c>
      <c r="BY34" s="230">
        <v>1708</v>
      </c>
      <c r="BZ34" s="230">
        <v>1678</v>
      </c>
      <c r="CA34" s="228">
        <v>30</v>
      </c>
      <c r="CB34" s="229">
        <v>1.77E-2</v>
      </c>
      <c r="CC34" s="230">
        <v>1641</v>
      </c>
      <c r="CD34" s="230">
        <v>1615</v>
      </c>
      <c r="CE34" s="228">
        <v>25</v>
      </c>
      <c r="CF34" s="229">
        <v>1.5699999999999999E-2</v>
      </c>
      <c r="CG34" s="228">
        <v>60</v>
      </c>
      <c r="CH34" s="228">
        <v>56</v>
      </c>
      <c r="CI34" s="228">
        <v>5</v>
      </c>
      <c r="CJ34" s="229">
        <v>8.2900000000000001E-2</v>
      </c>
      <c r="CK34" s="228">
        <v>7</v>
      </c>
      <c r="CL34" s="228">
        <v>7</v>
      </c>
      <c r="CM34" s="228">
        <v>0</v>
      </c>
      <c r="CN34" s="229">
        <v>-2.5600000000000001E-2</v>
      </c>
      <c r="CO34" s="228">
        <v>838</v>
      </c>
      <c r="CP34" s="228">
        <v>751</v>
      </c>
      <c r="CQ34" s="228">
        <v>87</v>
      </c>
      <c r="CR34" s="229">
        <v>0.1153</v>
      </c>
      <c r="CS34" s="228">
        <v>593</v>
      </c>
      <c r="CT34" s="228">
        <v>550</v>
      </c>
      <c r="CU34" s="228">
        <v>42</v>
      </c>
      <c r="CV34" s="229">
        <v>7.7100000000000002E-2</v>
      </c>
      <c r="CW34" s="230">
        <v>3139</v>
      </c>
      <c r="CX34" s="230">
        <v>2980</v>
      </c>
      <c r="CY34" s="228">
        <v>159</v>
      </c>
      <c r="CZ34" s="229">
        <v>5.33E-2</v>
      </c>
      <c r="DA34" s="228">
        <v>42.03</v>
      </c>
      <c r="DB34" s="228">
        <v>39.840000000000003</v>
      </c>
      <c r="DC34" s="228">
        <v>2.19</v>
      </c>
      <c r="DD34" s="228">
        <v>2.19</v>
      </c>
      <c r="DE34" s="228">
        <v>36.36</v>
      </c>
      <c r="DF34" s="228">
        <v>36.42</v>
      </c>
      <c r="DG34" s="228">
        <v>5.67</v>
      </c>
      <c r="DH34" s="228">
        <v>-0.06</v>
      </c>
      <c r="DI34" s="228">
        <v>42.01</v>
      </c>
      <c r="DJ34" s="228">
        <v>39.75</v>
      </c>
      <c r="DK34" s="228">
        <v>2.2599999999999998</v>
      </c>
      <c r="DL34" s="228">
        <v>2.2599999999999998</v>
      </c>
      <c r="DM34" s="228">
        <v>42.11</v>
      </c>
      <c r="DN34" s="228">
        <v>40.06</v>
      </c>
      <c r="DO34" s="228">
        <v>2.0499999999999998</v>
      </c>
      <c r="DP34" s="228">
        <v>2.0499999999999998</v>
      </c>
      <c r="DQ34" s="228">
        <v>0.71</v>
      </c>
      <c r="DR34" s="228">
        <v>0.73</v>
      </c>
      <c r="DS34" s="228">
        <v>-0.02</v>
      </c>
      <c r="DT34" s="229">
        <v>-2.7400000000000001E-2</v>
      </c>
      <c r="DU34" s="228">
        <v>400</v>
      </c>
      <c r="DV34" s="228">
        <v>360</v>
      </c>
      <c r="DW34" s="228">
        <v>0.36</v>
      </c>
      <c r="DX34" s="228">
        <v>0.44</v>
      </c>
      <c r="DY34" s="228">
        <v>-0.08</v>
      </c>
      <c r="DZ34" s="229">
        <v>-0.18179999999999999</v>
      </c>
      <c r="EA34" s="229">
        <v>3.9399999999999998E-2</v>
      </c>
      <c r="EB34" s="230">
        <v>1672500</v>
      </c>
      <c r="EC34" s="229">
        <v>6.4000000000000003E-3</v>
      </c>
      <c r="ED34" s="229">
        <v>3.9399999999999998E-2</v>
      </c>
      <c r="EE34" s="228">
        <v>2.4900000000000002</v>
      </c>
      <c r="EF34" s="229">
        <v>6.7000000000000002E-3</v>
      </c>
      <c r="EG34" s="230">
        <v>1392215</v>
      </c>
      <c r="EH34" s="230">
        <v>1286541</v>
      </c>
      <c r="EI34" s="229">
        <v>8.2100000000000006E-2</v>
      </c>
      <c r="EJ34" s="229">
        <v>0.52070000000000005</v>
      </c>
      <c r="EK34" s="231">
        <v>1119.06</v>
      </c>
      <c r="EL34" s="228">
        <v>371.26</v>
      </c>
      <c r="EM34" s="228">
        <v>361.53</v>
      </c>
      <c r="EN34" s="228">
        <v>33.74</v>
      </c>
      <c r="EO34" s="231">
        <v>1851.85</v>
      </c>
      <c r="EP34" s="231">
        <v>1383.85</v>
      </c>
      <c r="EQ34" s="228">
        <v>468</v>
      </c>
      <c r="ER34" s="229">
        <v>0.3382</v>
      </c>
      <c r="ES34" s="228">
        <v>869.4</v>
      </c>
      <c r="ET34" s="228">
        <v>568.46</v>
      </c>
      <c r="EU34" s="231">
        <v>1708.6</v>
      </c>
      <c r="EV34" s="231">
        <v>91057772</v>
      </c>
      <c r="EW34" s="231">
        <v>3146.46</v>
      </c>
      <c r="EX34" s="231">
        <v>2966.46</v>
      </c>
      <c r="EY34" s="228">
        <v>180</v>
      </c>
      <c r="EZ34" s="229">
        <v>6.0699999999999997E-2</v>
      </c>
      <c r="FA34" s="229">
        <v>0.9163</v>
      </c>
      <c r="FB34" s="227" t="s">
        <v>555</v>
      </c>
      <c r="FC34">
        <f t="shared" si="0"/>
        <v>67</v>
      </c>
    </row>
    <row r="35" spans="1:159" ht="17.25" hidden="1" thickBot="1" x14ac:dyDescent="0.3">
      <c r="A35" s="226">
        <v>46064</v>
      </c>
      <c r="B35" s="227" t="s">
        <v>184</v>
      </c>
      <c r="C35" s="227" t="s">
        <v>678</v>
      </c>
      <c r="D35" s="228">
        <v>325</v>
      </c>
      <c r="E35" s="228">
        <v>13</v>
      </c>
      <c r="F35" s="231">
        <v>1968.1</v>
      </c>
      <c r="G35" s="231">
        <v>1956.8</v>
      </c>
      <c r="H35" s="228">
        <v>11.3</v>
      </c>
      <c r="I35" s="229">
        <v>5.7999999999999996E-3</v>
      </c>
      <c r="J35" s="231">
        <v>1962.2</v>
      </c>
      <c r="K35" s="231">
        <v>1948.3</v>
      </c>
      <c r="L35" s="228">
        <v>13.9</v>
      </c>
      <c r="M35" s="229">
        <v>7.1000000000000004E-3</v>
      </c>
      <c r="N35" s="231">
        <v>1968.1</v>
      </c>
      <c r="O35" s="231">
        <v>1956.8</v>
      </c>
      <c r="P35" s="228">
        <v>11.3</v>
      </c>
      <c r="Q35" s="229">
        <v>5.7999999999999996E-3</v>
      </c>
      <c r="R35" s="231">
        <v>1968</v>
      </c>
      <c r="S35" s="231">
        <v>1957.1</v>
      </c>
      <c r="T35" s="228">
        <v>10.9</v>
      </c>
      <c r="U35" s="229">
        <v>5.5999999999999999E-3</v>
      </c>
      <c r="V35" s="231">
        <v>1955.2</v>
      </c>
      <c r="W35" s="231">
        <v>1975.1</v>
      </c>
      <c r="X35" s="228">
        <v>-19.899999999999999</v>
      </c>
      <c r="Y35" s="229">
        <v>-1.01E-2</v>
      </c>
      <c r="Z35" s="228">
        <v>5.9</v>
      </c>
      <c r="AA35" s="228">
        <v>8.5</v>
      </c>
      <c r="AB35" s="228">
        <v>-2.6</v>
      </c>
      <c r="AC35" s="229">
        <v>3.0000000000000001E-3</v>
      </c>
      <c r="AD35" s="228">
        <v>5.9</v>
      </c>
      <c r="AE35" s="228">
        <v>8.5</v>
      </c>
      <c r="AF35" s="228">
        <v>-2.6</v>
      </c>
      <c r="AG35" s="229">
        <v>3.0000000000000001E-3</v>
      </c>
      <c r="AH35" s="228">
        <v>5.8</v>
      </c>
      <c r="AI35" s="228">
        <v>8.8000000000000007</v>
      </c>
      <c r="AJ35" s="228">
        <v>-3</v>
      </c>
      <c r="AK35" s="229">
        <v>3.0000000000000001E-3</v>
      </c>
      <c r="AL35" s="228">
        <v>-7</v>
      </c>
      <c r="AM35" s="228">
        <v>26.8</v>
      </c>
      <c r="AN35" s="228">
        <v>-33.799999999999997</v>
      </c>
      <c r="AO35" s="229">
        <v>-3.5999999999999999E-3</v>
      </c>
      <c r="AP35" s="231">
        <v>1959.83</v>
      </c>
      <c r="AQ35" s="231">
        <v>1958.02</v>
      </c>
      <c r="AR35" s="228">
        <v>0</v>
      </c>
      <c r="AS35" s="228">
        <v>87</v>
      </c>
      <c r="AT35" s="228">
        <v>280</v>
      </c>
      <c r="AU35" s="228">
        <v>-194</v>
      </c>
      <c r="AV35" s="229">
        <v>-0.69059999999999999</v>
      </c>
      <c r="AW35" s="228">
        <v>82</v>
      </c>
      <c r="AX35" s="228">
        <v>269</v>
      </c>
      <c r="AY35" s="228">
        <v>-187</v>
      </c>
      <c r="AZ35" s="229">
        <v>-0.69550000000000001</v>
      </c>
      <c r="BA35" s="228">
        <v>5</v>
      </c>
      <c r="BB35" s="228">
        <v>11</v>
      </c>
      <c r="BC35" s="228">
        <v>-6</v>
      </c>
      <c r="BD35" s="229">
        <v>-0.56820000000000004</v>
      </c>
      <c r="BE35" s="228">
        <v>0</v>
      </c>
      <c r="BF35" s="228">
        <v>0</v>
      </c>
      <c r="BG35" s="228">
        <v>0</v>
      </c>
      <c r="BH35" s="229">
        <v>-0.83330000000000004</v>
      </c>
      <c r="BI35" s="228">
        <v>227</v>
      </c>
      <c r="BJ35" s="230">
        <v>1435</v>
      </c>
      <c r="BK35" s="230">
        <v>-1208</v>
      </c>
      <c r="BL35" s="229">
        <v>-0.84189999999999998</v>
      </c>
      <c r="BM35" s="228">
        <v>64</v>
      </c>
      <c r="BN35" s="228">
        <v>605</v>
      </c>
      <c r="BO35" s="228">
        <v>-542</v>
      </c>
      <c r="BP35" s="229">
        <v>-0.89490000000000003</v>
      </c>
      <c r="BQ35" s="228">
        <v>377</v>
      </c>
      <c r="BR35" s="230">
        <v>2321</v>
      </c>
      <c r="BS35" s="230">
        <v>-1944</v>
      </c>
      <c r="BT35" s="229">
        <v>-0.83740000000000003</v>
      </c>
      <c r="BU35" s="230">
        <v>414810</v>
      </c>
      <c r="BV35" s="230">
        <v>759157</v>
      </c>
      <c r="BW35" s="230">
        <v>-344347</v>
      </c>
      <c r="BX35" s="229">
        <v>-0.4536</v>
      </c>
      <c r="BY35" s="228">
        <v>586</v>
      </c>
      <c r="BZ35" s="228">
        <v>586</v>
      </c>
      <c r="CA35" s="228">
        <v>0</v>
      </c>
      <c r="CB35" s="229">
        <v>-2.0000000000000001E-4</v>
      </c>
      <c r="CC35" s="228">
        <v>528</v>
      </c>
      <c r="CD35" s="228">
        <v>530</v>
      </c>
      <c r="CE35" s="228">
        <v>-2</v>
      </c>
      <c r="CF35" s="229">
        <v>-2.8999999999999998E-3</v>
      </c>
      <c r="CG35" s="228">
        <v>57</v>
      </c>
      <c r="CH35" s="228">
        <v>56</v>
      </c>
      <c r="CI35" s="228">
        <v>1</v>
      </c>
      <c r="CJ35" s="229">
        <v>2.6499999999999999E-2</v>
      </c>
      <c r="CK35" s="228">
        <v>1</v>
      </c>
      <c r="CL35" s="228">
        <v>1</v>
      </c>
      <c r="CM35" s="228">
        <v>0</v>
      </c>
      <c r="CN35" s="229">
        <v>-0.1</v>
      </c>
      <c r="CO35" s="228">
        <v>303</v>
      </c>
      <c r="CP35" s="228">
        <v>316</v>
      </c>
      <c r="CQ35" s="228">
        <v>-13</v>
      </c>
      <c r="CR35" s="229">
        <v>-4.1300000000000003E-2</v>
      </c>
      <c r="CS35" s="228">
        <v>225</v>
      </c>
      <c r="CT35" s="228">
        <v>219</v>
      </c>
      <c r="CU35" s="228">
        <v>6</v>
      </c>
      <c r="CV35" s="229">
        <v>2.6200000000000001E-2</v>
      </c>
      <c r="CW35" s="230">
        <v>1114</v>
      </c>
      <c r="CX35" s="230">
        <v>1122</v>
      </c>
      <c r="CY35" s="228">
        <v>-7</v>
      </c>
      <c r="CZ35" s="229">
        <v>-6.6E-3</v>
      </c>
      <c r="DA35" s="228">
        <v>30.96</v>
      </c>
      <c r="DB35" s="228">
        <v>34.21</v>
      </c>
      <c r="DC35" s="228">
        <v>-3.25</v>
      </c>
      <c r="DD35" s="228">
        <v>-3.25</v>
      </c>
      <c r="DE35" s="228">
        <v>39.119999999999997</v>
      </c>
      <c r="DF35" s="228">
        <v>39.21</v>
      </c>
      <c r="DG35" s="228">
        <v>-8.16</v>
      </c>
      <c r="DH35" s="228">
        <v>-0.09</v>
      </c>
      <c r="DI35" s="228">
        <v>30</v>
      </c>
      <c r="DJ35" s="228">
        <v>34.380000000000003</v>
      </c>
      <c r="DK35" s="228">
        <v>-4.38</v>
      </c>
      <c r="DL35" s="228">
        <v>-4.38</v>
      </c>
      <c r="DM35" s="228">
        <v>34.4</v>
      </c>
      <c r="DN35" s="228">
        <v>33.79</v>
      </c>
      <c r="DO35" s="228">
        <v>0.61</v>
      </c>
      <c r="DP35" s="228">
        <v>0.61</v>
      </c>
      <c r="DQ35" s="228">
        <v>0.74</v>
      </c>
      <c r="DR35" s="228">
        <v>0.69</v>
      </c>
      <c r="DS35" s="228">
        <v>0.05</v>
      </c>
      <c r="DT35" s="229">
        <v>7.2499999999999995E-2</v>
      </c>
      <c r="DU35" s="231">
        <v>2080</v>
      </c>
      <c r="DV35" s="231">
        <v>1600</v>
      </c>
      <c r="DW35" s="228">
        <v>0.28000000000000003</v>
      </c>
      <c r="DX35" s="228">
        <v>0.42</v>
      </c>
      <c r="DY35" s="228">
        <v>-0.14000000000000001</v>
      </c>
      <c r="DZ35" s="229">
        <v>-0.33329999999999999</v>
      </c>
      <c r="EA35" s="229">
        <v>9.8199999999999996E-2</v>
      </c>
      <c r="EB35" s="230">
        <v>285350</v>
      </c>
      <c r="EC35" s="229">
        <v>-1E-4</v>
      </c>
      <c r="ED35" s="229">
        <v>9.8199999999999996E-2</v>
      </c>
      <c r="EE35" s="228">
        <v>-1.81</v>
      </c>
      <c r="EF35" s="229">
        <v>-8.9999999999999998E-4</v>
      </c>
      <c r="EG35" s="230">
        <v>230490</v>
      </c>
      <c r="EH35" s="230">
        <v>280392</v>
      </c>
      <c r="EI35" s="229">
        <v>-0.17799999999999999</v>
      </c>
      <c r="EJ35" s="229">
        <v>0.55569999999999997</v>
      </c>
      <c r="EK35" s="228">
        <v>235.08</v>
      </c>
      <c r="EL35" s="228">
        <v>59.48</v>
      </c>
      <c r="EM35" s="228">
        <v>86.37</v>
      </c>
      <c r="EN35" s="228">
        <v>33.82</v>
      </c>
      <c r="EO35" s="228">
        <v>380.92</v>
      </c>
      <c r="EP35" s="231">
        <v>2355.4499999999998</v>
      </c>
      <c r="EQ35" s="231">
        <v>-1974.53</v>
      </c>
      <c r="ER35" s="229">
        <v>-0.83830000000000005</v>
      </c>
      <c r="ES35" s="228">
        <v>306.33999999999997</v>
      </c>
      <c r="ET35" s="228">
        <v>202.24</v>
      </c>
      <c r="EU35" s="228">
        <v>585.96</v>
      </c>
      <c r="EV35" s="231">
        <v>17213286</v>
      </c>
      <c r="EW35" s="231">
        <v>1094.54</v>
      </c>
      <c r="EX35" s="231">
        <v>1098.8</v>
      </c>
      <c r="EY35" s="228">
        <v>-4.26</v>
      </c>
      <c r="EZ35" s="229">
        <v>-3.8999999999999998E-3</v>
      </c>
      <c r="FA35" s="229">
        <v>0.32890000000000003</v>
      </c>
      <c r="FB35" s="227" t="s">
        <v>556</v>
      </c>
      <c r="FC35">
        <f t="shared" si="0"/>
        <v>58</v>
      </c>
    </row>
    <row r="36" spans="1:159" ht="17.25" hidden="1" thickBot="1" x14ac:dyDescent="0.3">
      <c r="A36" s="226">
        <v>46064</v>
      </c>
      <c r="B36" s="227" t="s">
        <v>162</v>
      </c>
      <c r="C36" s="227" t="s">
        <v>192</v>
      </c>
      <c r="D36" s="228">
        <v>25</v>
      </c>
      <c r="E36" s="228">
        <v>13</v>
      </c>
      <c r="F36" s="231">
        <v>36630</v>
      </c>
      <c r="G36" s="231">
        <v>35680</v>
      </c>
      <c r="H36" s="228">
        <v>950</v>
      </c>
      <c r="I36" s="229">
        <v>2.6599999999999999E-2</v>
      </c>
      <c r="J36" s="231">
        <v>36570</v>
      </c>
      <c r="K36" s="231">
        <v>35575</v>
      </c>
      <c r="L36" s="228">
        <v>995</v>
      </c>
      <c r="M36" s="229">
        <v>2.8000000000000001E-2</v>
      </c>
      <c r="N36" s="231">
        <v>36630</v>
      </c>
      <c r="O36" s="231">
        <v>35680</v>
      </c>
      <c r="P36" s="228">
        <v>950</v>
      </c>
      <c r="Q36" s="229">
        <v>2.6599999999999999E-2</v>
      </c>
      <c r="R36" s="231">
        <v>36775</v>
      </c>
      <c r="S36" s="231">
        <v>35860</v>
      </c>
      <c r="T36" s="228">
        <v>915</v>
      </c>
      <c r="U36" s="229">
        <v>2.5499999999999998E-2</v>
      </c>
      <c r="V36" s="231">
        <v>36925</v>
      </c>
      <c r="W36" s="231">
        <v>36000</v>
      </c>
      <c r="X36" s="228">
        <v>925</v>
      </c>
      <c r="Y36" s="229">
        <v>2.5700000000000001E-2</v>
      </c>
      <c r="Z36" s="228">
        <v>60</v>
      </c>
      <c r="AA36" s="228">
        <v>105</v>
      </c>
      <c r="AB36" s="228">
        <v>-45</v>
      </c>
      <c r="AC36" s="229">
        <v>1.6000000000000001E-3</v>
      </c>
      <c r="AD36" s="228">
        <v>60</v>
      </c>
      <c r="AE36" s="228">
        <v>105</v>
      </c>
      <c r="AF36" s="228">
        <v>-45</v>
      </c>
      <c r="AG36" s="229">
        <v>1.6000000000000001E-3</v>
      </c>
      <c r="AH36" s="228">
        <v>205</v>
      </c>
      <c r="AI36" s="228">
        <v>285</v>
      </c>
      <c r="AJ36" s="228">
        <v>-80</v>
      </c>
      <c r="AK36" s="229">
        <v>5.5999999999999999E-3</v>
      </c>
      <c r="AL36" s="228">
        <v>355</v>
      </c>
      <c r="AM36" s="228">
        <v>425</v>
      </c>
      <c r="AN36" s="228">
        <v>-70</v>
      </c>
      <c r="AO36" s="229">
        <v>9.7000000000000003E-3</v>
      </c>
      <c r="AP36" s="231">
        <v>36311.01</v>
      </c>
      <c r="AQ36" s="231">
        <v>36410.85</v>
      </c>
      <c r="AR36" s="228">
        <v>0</v>
      </c>
      <c r="AS36" s="228">
        <v>254</v>
      </c>
      <c r="AT36" s="228">
        <v>165</v>
      </c>
      <c r="AU36" s="228">
        <v>89</v>
      </c>
      <c r="AV36" s="229">
        <v>0.53680000000000005</v>
      </c>
      <c r="AW36" s="228">
        <v>236</v>
      </c>
      <c r="AX36" s="228">
        <v>152</v>
      </c>
      <c r="AY36" s="228">
        <v>84</v>
      </c>
      <c r="AZ36" s="229">
        <v>0.55330000000000001</v>
      </c>
      <c r="BA36" s="228">
        <v>17</v>
      </c>
      <c r="BB36" s="228">
        <v>13</v>
      </c>
      <c r="BC36" s="228">
        <v>4</v>
      </c>
      <c r="BD36" s="229">
        <v>0.34289999999999998</v>
      </c>
      <c r="BE36" s="228">
        <v>1</v>
      </c>
      <c r="BF36" s="228">
        <v>1</v>
      </c>
      <c r="BG36" s="228">
        <v>0</v>
      </c>
      <c r="BH36" s="229">
        <v>0.5</v>
      </c>
      <c r="BI36" s="230">
        <v>1988</v>
      </c>
      <c r="BJ36" s="228">
        <v>927</v>
      </c>
      <c r="BK36" s="230">
        <v>1060</v>
      </c>
      <c r="BL36" s="229">
        <v>1.1434</v>
      </c>
      <c r="BM36" s="228">
        <v>693</v>
      </c>
      <c r="BN36" s="228">
        <v>404</v>
      </c>
      <c r="BO36" s="228">
        <v>289</v>
      </c>
      <c r="BP36" s="229">
        <v>0.7167</v>
      </c>
      <c r="BQ36" s="230">
        <v>2935</v>
      </c>
      <c r="BR36" s="230">
        <v>1497</v>
      </c>
      <c r="BS36" s="230">
        <v>1439</v>
      </c>
      <c r="BT36" s="229">
        <v>0.96120000000000005</v>
      </c>
      <c r="BU36" s="230">
        <v>25605</v>
      </c>
      <c r="BV36" s="230">
        <v>20563</v>
      </c>
      <c r="BW36" s="230">
        <v>5042</v>
      </c>
      <c r="BX36" s="229">
        <v>0.2452</v>
      </c>
      <c r="BY36" s="228">
        <v>744</v>
      </c>
      <c r="BZ36" s="228">
        <v>775</v>
      </c>
      <c r="CA36" s="228">
        <v>-30</v>
      </c>
      <c r="CB36" s="229">
        <v>-3.9199999999999999E-2</v>
      </c>
      <c r="CC36" s="228">
        <v>722</v>
      </c>
      <c r="CD36" s="228">
        <v>749</v>
      </c>
      <c r="CE36" s="228">
        <v>-28</v>
      </c>
      <c r="CF36" s="229">
        <v>-3.6999999999999998E-2</v>
      </c>
      <c r="CG36" s="228">
        <v>21</v>
      </c>
      <c r="CH36" s="228">
        <v>24</v>
      </c>
      <c r="CI36" s="228">
        <v>-3</v>
      </c>
      <c r="CJ36" s="229">
        <v>-0.10730000000000001</v>
      </c>
      <c r="CK36" s="228">
        <v>2</v>
      </c>
      <c r="CL36" s="228">
        <v>2</v>
      </c>
      <c r="CM36" s="228">
        <v>0</v>
      </c>
      <c r="CN36" s="229">
        <v>-5.5599999999999997E-2</v>
      </c>
      <c r="CO36" s="228">
        <v>664</v>
      </c>
      <c r="CP36" s="228">
        <v>775</v>
      </c>
      <c r="CQ36" s="228">
        <v>-111</v>
      </c>
      <c r="CR36" s="229">
        <v>-0.1429</v>
      </c>
      <c r="CS36" s="228">
        <v>337</v>
      </c>
      <c r="CT36" s="228">
        <v>308</v>
      </c>
      <c r="CU36" s="228">
        <v>29</v>
      </c>
      <c r="CV36" s="229">
        <v>9.2999999999999999E-2</v>
      </c>
      <c r="CW36" s="230">
        <v>1745</v>
      </c>
      <c r="CX36" s="230">
        <v>1858</v>
      </c>
      <c r="CY36" s="228">
        <v>-112</v>
      </c>
      <c r="CZ36" s="229">
        <v>-6.0499999999999998E-2</v>
      </c>
      <c r="DA36" s="228">
        <v>28.84</v>
      </c>
      <c r="DB36" s="228">
        <v>30.74</v>
      </c>
      <c r="DC36" s="228">
        <v>-1.9</v>
      </c>
      <c r="DD36" s="228">
        <v>-1.9</v>
      </c>
      <c r="DE36" s="228">
        <v>29.29</v>
      </c>
      <c r="DF36" s="228">
        <v>29.15</v>
      </c>
      <c r="DG36" s="228">
        <v>-0.45</v>
      </c>
      <c r="DH36" s="228">
        <v>0.14000000000000001</v>
      </c>
      <c r="DI36" s="228">
        <v>29.06</v>
      </c>
      <c r="DJ36" s="228">
        <v>31.26</v>
      </c>
      <c r="DK36" s="228">
        <v>-2.2000000000000002</v>
      </c>
      <c r="DL36" s="228">
        <v>-2.2000000000000002</v>
      </c>
      <c r="DM36" s="228">
        <v>28.22</v>
      </c>
      <c r="DN36" s="228">
        <v>29.55</v>
      </c>
      <c r="DO36" s="228">
        <v>-1.33</v>
      </c>
      <c r="DP36" s="228">
        <v>-1.33</v>
      </c>
      <c r="DQ36" s="228">
        <v>0.51</v>
      </c>
      <c r="DR36" s="228">
        <v>0.4</v>
      </c>
      <c r="DS36" s="228">
        <v>0.11</v>
      </c>
      <c r="DT36" s="229">
        <v>0.27500000000000002</v>
      </c>
      <c r="DU36" s="231">
        <v>38000</v>
      </c>
      <c r="DV36" s="231">
        <v>35000</v>
      </c>
      <c r="DW36" s="228">
        <v>0.35</v>
      </c>
      <c r="DX36" s="228">
        <v>0.44</v>
      </c>
      <c r="DY36" s="228">
        <v>-0.09</v>
      </c>
      <c r="DZ36" s="229">
        <v>-0.20449999999999999</v>
      </c>
      <c r="EA36" s="229">
        <v>3.0800000000000001E-2</v>
      </c>
      <c r="EB36" s="230">
        <v>6975</v>
      </c>
      <c r="EC36" s="229">
        <v>4.0000000000000001E-3</v>
      </c>
      <c r="ED36" s="229">
        <v>3.0800000000000001E-2</v>
      </c>
      <c r="EE36" s="228">
        <v>99.84</v>
      </c>
      <c r="EF36" s="229">
        <v>2.7000000000000001E-3</v>
      </c>
      <c r="EG36" s="230">
        <v>6463</v>
      </c>
      <c r="EH36" s="230">
        <v>5839</v>
      </c>
      <c r="EI36" s="229">
        <v>0.1069</v>
      </c>
      <c r="EJ36" s="229">
        <v>0.25240000000000001</v>
      </c>
      <c r="EK36" s="231">
        <v>2075.9699999999998</v>
      </c>
      <c r="EL36" s="228">
        <v>670.06</v>
      </c>
      <c r="EM36" s="228">
        <v>252.14</v>
      </c>
      <c r="EN36" s="228">
        <v>30.19</v>
      </c>
      <c r="EO36" s="231">
        <v>2998.18</v>
      </c>
      <c r="EP36" s="231">
        <v>1519.06</v>
      </c>
      <c r="EQ36" s="231">
        <v>1479.11</v>
      </c>
      <c r="ER36" s="229">
        <v>0.97370000000000001</v>
      </c>
      <c r="ES36" s="228">
        <v>709.21</v>
      </c>
      <c r="ET36" s="228">
        <v>318.86</v>
      </c>
      <c r="EU36" s="228">
        <v>744.51</v>
      </c>
      <c r="EV36" s="231">
        <v>882048</v>
      </c>
      <c r="EW36" s="231">
        <v>1772.58</v>
      </c>
      <c r="EX36" s="231">
        <v>1867.81</v>
      </c>
      <c r="EY36" s="228">
        <v>-95.23</v>
      </c>
      <c r="EZ36" s="229">
        <v>-5.0999999999999997E-2</v>
      </c>
      <c r="FA36" s="229">
        <v>0.54020000000000001</v>
      </c>
      <c r="FB36" s="227" t="s">
        <v>556</v>
      </c>
      <c r="FC36">
        <f t="shared" si="0"/>
        <v>22</v>
      </c>
    </row>
    <row r="37" spans="1:159" ht="17.25" hidden="1" thickBot="1" x14ac:dyDescent="0.3">
      <c r="A37" s="226">
        <v>46064</v>
      </c>
      <c r="B37" s="227" t="s">
        <v>193</v>
      </c>
      <c r="C37" s="227" t="s">
        <v>194</v>
      </c>
      <c r="D37" s="228">
        <v>1975</v>
      </c>
      <c r="E37" s="228">
        <v>13</v>
      </c>
      <c r="F37" s="228">
        <v>388.1</v>
      </c>
      <c r="G37" s="228">
        <v>387.1</v>
      </c>
      <c r="H37" s="228">
        <v>1</v>
      </c>
      <c r="I37" s="229">
        <v>2.5999999999999999E-3</v>
      </c>
      <c r="J37" s="228">
        <v>387.6</v>
      </c>
      <c r="K37" s="228">
        <v>386.35</v>
      </c>
      <c r="L37" s="228">
        <v>1.25</v>
      </c>
      <c r="M37" s="229">
        <v>3.2000000000000002E-3</v>
      </c>
      <c r="N37" s="228">
        <v>388.1</v>
      </c>
      <c r="O37" s="228">
        <v>387.1</v>
      </c>
      <c r="P37" s="228">
        <v>1</v>
      </c>
      <c r="Q37" s="229">
        <v>2.5999999999999999E-3</v>
      </c>
      <c r="R37" s="228">
        <v>389.95</v>
      </c>
      <c r="S37" s="228">
        <v>389.55</v>
      </c>
      <c r="T37" s="228">
        <v>0.4</v>
      </c>
      <c r="U37" s="229">
        <v>1E-3</v>
      </c>
      <c r="V37" s="228">
        <v>391.5</v>
      </c>
      <c r="W37" s="228">
        <v>390</v>
      </c>
      <c r="X37" s="228">
        <v>1.5</v>
      </c>
      <c r="Y37" s="229">
        <v>3.8E-3</v>
      </c>
      <c r="Z37" s="228">
        <v>0.5</v>
      </c>
      <c r="AA37" s="228">
        <v>0.75</v>
      </c>
      <c r="AB37" s="228">
        <v>-0.25</v>
      </c>
      <c r="AC37" s="229">
        <v>1.2999999999999999E-3</v>
      </c>
      <c r="AD37" s="228">
        <v>0.5</v>
      </c>
      <c r="AE37" s="228">
        <v>0.75</v>
      </c>
      <c r="AF37" s="228">
        <v>-0.25</v>
      </c>
      <c r="AG37" s="229">
        <v>1.2999999999999999E-3</v>
      </c>
      <c r="AH37" s="228">
        <v>2.35</v>
      </c>
      <c r="AI37" s="228">
        <v>3.2</v>
      </c>
      <c r="AJ37" s="228">
        <v>-0.85</v>
      </c>
      <c r="AK37" s="229">
        <v>6.1000000000000004E-3</v>
      </c>
      <c r="AL37" s="228">
        <v>3.9</v>
      </c>
      <c r="AM37" s="228">
        <v>3.65</v>
      </c>
      <c r="AN37" s="228">
        <v>0.25</v>
      </c>
      <c r="AO37" s="229">
        <v>1.01E-2</v>
      </c>
      <c r="AP37" s="228">
        <v>388.17</v>
      </c>
      <c r="AQ37" s="228">
        <v>390.24</v>
      </c>
      <c r="AR37" s="228">
        <v>0</v>
      </c>
      <c r="AS37" s="228">
        <v>154</v>
      </c>
      <c r="AT37" s="228">
        <v>148</v>
      </c>
      <c r="AU37" s="228">
        <v>6</v>
      </c>
      <c r="AV37" s="229">
        <v>4.2000000000000003E-2</v>
      </c>
      <c r="AW37" s="228">
        <v>139</v>
      </c>
      <c r="AX37" s="228">
        <v>135</v>
      </c>
      <c r="AY37" s="228">
        <v>4</v>
      </c>
      <c r="AZ37" s="229">
        <v>3.1800000000000002E-2</v>
      </c>
      <c r="BA37" s="228">
        <v>12</v>
      </c>
      <c r="BB37" s="228">
        <v>11</v>
      </c>
      <c r="BC37" s="228">
        <v>1</v>
      </c>
      <c r="BD37" s="229">
        <v>0.10879999999999999</v>
      </c>
      <c r="BE37" s="228">
        <v>2</v>
      </c>
      <c r="BF37" s="228">
        <v>2</v>
      </c>
      <c r="BG37" s="228">
        <v>1</v>
      </c>
      <c r="BH37" s="229">
        <v>0.42859999999999998</v>
      </c>
      <c r="BI37" s="228">
        <v>667</v>
      </c>
      <c r="BJ37" s="228">
        <v>501</v>
      </c>
      <c r="BK37" s="228">
        <v>166</v>
      </c>
      <c r="BL37" s="229">
        <v>0.3306</v>
      </c>
      <c r="BM37" s="228">
        <v>346</v>
      </c>
      <c r="BN37" s="228">
        <v>317</v>
      </c>
      <c r="BO37" s="228">
        <v>29</v>
      </c>
      <c r="BP37" s="229">
        <v>9.2100000000000001E-2</v>
      </c>
      <c r="BQ37" s="230">
        <v>1167</v>
      </c>
      <c r="BR37" s="228">
        <v>966</v>
      </c>
      <c r="BS37" s="228">
        <v>201</v>
      </c>
      <c r="BT37" s="229">
        <v>0.20810000000000001</v>
      </c>
      <c r="BU37" s="230">
        <v>5472719</v>
      </c>
      <c r="BV37" s="230">
        <v>3226790</v>
      </c>
      <c r="BW37" s="230">
        <v>2245929</v>
      </c>
      <c r="BX37" s="229">
        <v>0.69599999999999995</v>
      </c>
      <c r="BY37" s="230">
        <v>1346</v>
      </c>
      <c r="BZ37" s="230">
        <v>1350</v>
      </c>
      <c r="CA37" s="228">
        <v>-4</v>
      </c>
      <c r="CB37" s="229">
        <v>-2.8999999999999998E-3</v>
      </c>
      <c r="CC37" s="230">
        <v>1301</v>
      </c>
      <c r="CD37" s="230">
        <v>1309</v>
      </c>
      <c r="CE37" s="228">
        <v>-8</v>
      </c>
      <c r="CF37" s="229">
        <v>-6.0000000000000001E-3</v>
      </c>
      <c r="CG37" s="228">
        <v>37</v>
      </c>
      <c r="CH37" s="228">
        <v>33</v>
      </c>
      <c r="CI37" s="228">
        <v>4</v>
      </c>
      <c r="CJ37" s="229">
        <v>0.1285</v>
      </c>
      <c r="CK37" s="228">
        <v>7</v>
      </c>
      <c r="CL37" s="228">
        <v>8</v>
      </c>
      <c r="CM37" s="228">
        <v>0</v>
      </c>
      <c r="CN37" s="229">
        <v>-0.03</v>
      </c>
      <c r="CO37" s="228">
        <v>740</v>
      </c>
      <c r="CP37" s="228">
        <v>679</v>
      </c>
      <c r="CQ37" s="228">
        <v>61</v>
      </c>
      <c r="CR37" s="229">
        <v>8.9499999999999996E-2</v>
      </c>
      <c r="CS37" s="228">
        <v>542</v>
      </c>
      <c r="CT37" s="228">
        <v>481</v>
      </c>
      <c r="CU37" s="228">
        <v>61</v>
      </c>
      <c r="CV37" s="229">
        <v>0.1278</v>
      </c>
      <c r="CW37" s="230">
        <v>2628</v>
      </c>
      <c r="CX37" s="230">
        <v>2510</v>
      </c>
      <c r="CY37" s="228">
        <v>118</v>
      </c>
      <c r="CZ37" s="229">
        <v>4.7199999999999999E-2</v>
      </c>
      <c r="DA37" s="228">
        <v>30.57</v>
      </c>
      <c r="DB37" s="228">
        <v>30.54</v>
      </c>
      <c r="DC37" s="228">
        <v>0.03</v>
      </c>
      <c r="DD37" s="228">
        <v>0.03</v>
      </c>
      <c r="DE37" s="228">
        <v>32.35</v>
      </c>
      <c r="DF37" s="228">
        <v>32.43</v>
      </c>
      <c r="DG37" s="228">
        <v>-1.78</v>
      </c>
      <c r="DH37" s="228">
        <v>-0.08</v>
      </c>
      <c r="DI37" s="228">
        <v>29.24</v>
      </c>
      <c r="DJ37" s="228">
        <v>29.94</v>
      </c>
      <c r="DK37" s="228">
        <v>-0.7</v>
      </c>
      <c r="DL37" s="228">
        <v>-0.7</v>
      </c>
      <c r="DM37" s="228">
        <v>33.119999999999997</v>
      </c>
      <c r="DN37" s="228">
        <v>31.5</v>
      </c>
      <c r="DO37" s="228">
        <v>1.62</v>
      </c>
      <c r="DP37" s="228">
        <v>1.62</v>
      </c>
      <c r="DQ37" s="228">
        <v>0.73</v>
      </c>
      <c r="DR37" s="228">
        <v>0.71</v>
      </c>
      <c r="DS37" s="228">
        <v>0.02</v>
      </c>
      <c r="DT37" s="229">
        <v>2.8199999999999999E-2</v>
      </c>
      <c r="DU37" s="228">
        <v>400</v>
      </c>
      <c r="DV37" s="228">
        <v>380</v>
      </c>
      <c r="DW37" s="228">
        <v>0.52</v>
      </c>
      <c r="DX37" s="228">
        <v>0.63</v>
      </c>
      <c r="DY37" s="228">
        <v>-0.11</v>
      </c>
      <c r="DZ37" s="229">
        <v>-0.17460000000000001</v>
      </c>
      <c r="EA37" s="229">
        <v>3.3000000000000002E-2</v>
      </c>
      <c r="EB37" s="230">
        <v>1042800</v>
      </c>
      <c r="EC37" s="229">
        <v>4.7999999999999996E-3</v>
      </c>
      <c r="ED37" s="229">
        <v>3.3000000000000002E-2</v>
      </c>
      <c r="EE37" s="228">
        <v>2.0699999999999998</v>
      </c>
      <c r="EF37" s="229">
        <v>5.3E-3</v>
      </c>
      <c r="EG37" s="230">
        <v>3018233</v>
      </c>
      <c r="EH37" s="230">
        <v>1480339</v>
      </c>
      <c r="EI37" s="229">
        <v>1.0388999999999999</v>
      </c>
      <c r="EJ37" s="229">
        <v>0.55149999999999999</v>
      </c>
      <c r="EK37" s="228">
        <v>695.51</v>
      </c>
      <c r="EL37" s="228">
        <v>332.96</v>
      </c>
      <c r="EM37" s="228">
        <v>154.18</v>
      </c>
      <c r="EN37" s="228">
        <v>31.74</v>
      </c>
      <c r="EO37" s="231">
        <v>1182.6600000000001</v>
      </c>
      <c r="EP37" s="228">
        <v>973.94</v>
      </c>
      <c r="EQ37" s="228">
        <v>208.71</v>
      </c>
      <c r="ER37" s="229">
        <v>0.21429999999999999</v>
      </c>
      <c r="ES37" s="228">
        <v>743.34</v>
      </c>
      <c r="ET37" s="228">
        <v>493.3</v>
      </c>
      <c r="EU37" s="231">
        <v>1346.13</v>
      </c>
      <c r="EV37" s="231">
        <v>306020745</v>
      </c>
      <c r="EW37" s="231">
        <v>2582.77</v>
      </c>
      <c r="EX37" s="231">
        <v>2458.64</v>
      </c>
      <c r="EY37" s="228">
        <v>124.13</v>
      </c>
      <c r="EZ37" s="229">
        <v>5.0500000000000003E-2</v>
      </c>
      <c r="FA37" s="229">
        <v>0.2213</v>
      </c>
      <c r="FB37" s="227" t="s">
        <v>556</v>
      </c>
      <c r="FC37">
        <f t="shared" si="0"/>
        <v>45</v>
      </c>
    </row>
    <row r="38" spans="1:159" ht="17.25" hidden="1" thickBot="1" x14ac:dyDescent="0.3">
      <c r="A38" s="226">
        <v>46064</v>
      </c>
      <c r="B38" s="227" t="s">
        <v>168</v>
      </c>
      <c r="C38" s="227" t="s">
        <v>195</v>
      </c>
      <c r="D38" s="228">
        <v>125</v>
      </c>
      <c r="E38" s="228">
        <v>13</v>
      </c>
      <c r="F38" s="231">
        <v>6039.5</v>
      </c>
      <c r="G38" s="231">
        <v>5879.5</v>
      </c>
      <c r="H38" s="228">
        <v>160</v>
      </c>
      <c r="I38" s="229">
        <v>2.7199999999999998E-2</v>
      </c>
      <c r="J38" s="231">
        <v>6019</v>
      </c>
      <c r="K38" s="231">
        <v>5873.5</v>
      </c>
      <c r="L38" s="228">
        <v>145.5</v>
      </c>
      <c r="M38" s="229">
        <v>2.4799999999999999E-2</v>
      </c>
      <c r="N38" s="231">
        <v>6039.5</v>
      </c>
      <c r="O38" s="231">
        <v>5879.5</v>
      </c>
      <c r="P38" s="228">
        <v>160</v>
      </c>
      <c r="Q38" s="229">
        <v>2.7199999999999998E-2</v>
      </c>
      <c r="R38" s="231">
        <v>6076.5</v>
      </c>
      <c r="S38" s="231">
        <v>5919.5</v>
      </c>
      <c r="T38" s="228">
        <v>157</v>
      </c>
      <c r="U38" s="229">
        <v>2.6499999999999999E-2</v>
      </c>
      <c r="V38" s="231">
        <v>6100</v>
      </c>
      <c r="W38" s="231">
        <v>5960</v>
      </c>
      <c r="X38" s="228">
        <v>140</v>
      </c>
      <c r="Y38" s="229">
        <v>2.35E-2</v>
      </c>
      <c r="Z38" s="228">
        <v>20.5</v>
      </c>
      <c r="AA38" s="228">
        <v>6</v>
      </c>
      <c r="AB38" s="228">
        <v>14.5</v>
      </c>
      <c r="AC38" s="229">
        <v>3.3999999999999998E-3</v>
      </c>
      <c r="AD38" s="228">
        <v>20.5</v>
      </c>
      <c r="AE38" s="228">
        <v>6</v>
      </c>
      <c r="AF38" s="228">
        <v>14.5</v>
      </c>
      <c r="AG38" s="229">
        <v>3.3999999999999998E-3</v>
      </c>
      <c r="AH38" s="228">
        <v>57.5</v>
      </c>
      <c r="AI38" s="228">
        <v>46</v>
      </c>
      <c r="AJ38" s="228">
        <v>11.5</v>
      </c>
      <c r="AK38" s="229">
        <v>9.5999999999999992E-3</v>
      </c>
      <c r="AL38" s="228">
        <v>81</v>
      </c>
      <c r="AM38" s="228">
        <v>86.5</v>
      </c>
      <c r="AN38" s="228">
        <v>-5.5</v>
      </c>
      <c r="AO38" s="229">
        <v>1.35E-2</v>
      </c>
      <c r="AP38" s="231">
        <v>6095.79</v>
      </c>
      <c r="AQ38" s="231">
        <v>6136.6</v>
      </c>
      <c r="AR38" s="228">
        <v>0</v>
      </c>
      <c r="AS38" s="228">
        <v>820</v>
      </c>
      <c r="AT38" s="228">
        <v>251</v>
      </c>
      <c r="AU38" s="228">
        <v>569</v>
      </c>
      <c r="AV38" s="229">
        <v>2.2662</v>
      </c>
      <c r="AW38" s="228">
        <v>798</v>
      </c>
      <c r="AX38" s="228">
        <v>242</v>
      </c>
      <c r="AY38" s="228">
        <v>556</v>
      </c>
      <c r="AZ38" s="229">
        <v>2.3031999999999999</v>
      </c>
      <c r="BA38" s="228">
        <v>20</v>
      </c>
      <c r="BB38" s="228">
        <v>9</v>
      </c>
      <c r="BC38" s="228">
        <v>11</v>
      </c>
      <c r="BD38" s="229">
        <v>1.1900999999999999</v>
      </c>
      <c r="BE38" s="228">
        <v>2</v>
      </c>
      <c r="BF38" s="228">
        <v>0</v>
      </c>
      <c r="BG38" s="228">
        <v>2</v>
      </c>
      <c r="BH38" s="229">
        <v>4.5999999999999996</v>
      </c>
      <c r="BI38" s="230">
        <v>5263</v>
      </c>
      <c r="BJ38" s="230">
        <v>1161</v>
      </c>
      <c r="BK38" s="230">
        <v>4102</v>
      </c>
      <c r="BL38" s="229">
        <v>3.5337000000000001</v>
      </c>
      <c r="BM38" s="230">
        <v>2479</v>
      </c>
      <c r="BN38" s="228">
        <v>526</v>
      </c>
      <c r="BO38" s="230">
        <v>1953</v>
      </c>
      <c r="BP38" s="229">
        <v>3.7121</v>
      </c>
      <c r="BQ38" s="230">
        <v>8562</v>
      </c>
      <c r="BR38" s="230">
        <v>1938</v>
      </c>
      <c r="BS38" s="230">
        <v>6624</v>
      </c>
      <c r="BT38" s="229">
        <v>3.4180000000000001</v>
      </c>
      <c r="BU38" s="230">
        <v>795754</v>
      </c>
      <c r="BV38" s="230">
        <v>280184</v>
      </c>
      <c r="BW38" s="230">
        <v>515570</v>
      </c>
      <c r="BX38" s="229">
        <v>1.8401000000000001</v>
      </c>
      <c r="BY38" s="230">
        <v>2178</v>
      </c>
      <c r="BZ38" s="230">
        <v>2138</v>
      </c>
      <c r="CA38" s="228">
        <v>40</v>
      </c>
      <c r="CB38" s="229">
        <v>1.89E-2</v>
      </c>
      <c r="CC38" s="230">
        <v>2163</v>
      </c>
      <c r="CD38" s="230">
        <v>2125</v>
      </c>
      <c r="CE38" s="228">
        <v>38</v>
      </c>
      <c r="CF38" s="229">
        <v>1.7899999999999999E-2</v>
      </c>
      <c r="CG38" s="228">
        <v>14</v>
      </c>
      <c r="CH38" s="228">
        <v>11</v>
      </c>
      <c r="CI38" s="228">
        <v>2</v>
      </c>
      <c r="CJ38" s="229">
        <v>0.19209999999999999</v>
      </c>
      <c r="CK38" s="228">
        <v>1</v>
      </c>
      <c r="CL38" s="228">
        <v>1</v>
      </c>
      <c r="CM38" s="228">
        <v>0</v>
      </c>
      <c r="CN38" s="229">
        <v>0.1176</v>
      </c>
      <c r="CO38" s="228">
        <v>973</v>
      </c>
      <c r="CP38" s="228">
        <v>770</v>
      </c>
      <c r="CQ38" s="228">
        <v>203</v>
      </c>
      <c r="CR38" s="229">
        <v>0.26440000000000002</v>
      </c>
      <c r="CS38" s="228">
        <v>532</v>
      </c>
      <c r="CT38" s="228">
        <v>390</v>
      </c>
      <c r="CU38" s="228">
        <v>142</v>
      </c>
      <c r="CV38" s="229">
        <v>0.36470000000000002</v>
      </c>
      <c r="CW38" s="230">
        <v>3683</v>
      </c>
      <c r="CX38" s="230">
        <v>3297</v>
      </c>
      <c r="CY38" s="228">
        <v>386</v>
      </c>
      <c r="CZ38" s="229">
        <v>0.1171</v>
      </c>
      <c r="DA38" s="228">
        <v>24.33</v>
      </c>
      <c r="DB38" s="228">
        <v>33.4</v>
      </c>
      <c r="DC38" s="228">
        <v>-9.07</v>
      </c>
      <c r="DD38" s="228">
        <v>-9.07</v>
      </c>
      <c r="DE38" s="228">
        <v>23.99</v>
      </c>
      <c r="DF38" s="228">
        <v>23.82</v>
      </c>
      <c r="DG38" s="228">
        <v>0.34</v>
      </c>
      <c r="DH38" s="228">
        <v>0.17</v>
      </c>
      <c r="DI38" s="228">
        <v>24.44</v>
      </c>
      <c r="DJ38" s="228">
        <v>33.659999999999997</v>
      </c>
      <c r="DK38" s="228">
        <v>-9.2200000000000006</v>
      </c>
      <c r="DL38" s="228">
        <v>-9.2200000000000006</v>
      </c>
      <c r="DM38" s="228">
        <v>24.11</v>
      </c>
      <c r="DN38" s="228">
        <v>32.82</v>
      </c>
      <c r="DO38" s="228">
        <v>-8.7100000000000009</v>
      </c>
      <c r="DP38" s="228">
        <v>-8.7100000000000009</v>
      </c>
      <c r="DQ38" s="228">
        <v>0.55000000000000004</v>
      </c>
      <c r="DR38" s="228">
        <v>0.51</v>
      </c>
      <c r="DS38" s="228">
        <v>0.04</v>
      </c>
      <c r="DT38" s="229">
        <v>7.8399999999999997E-2</v>
      </c>
      <c r="DU38" s="231">
        <v>6500</v>
      </c>
      <c r="DV38" s="231">
        <v>5800</v>
      </c>
      <c r="DW38" s="228">
        <v>0.47</v>
      </c>
      <c r="DX38" s="228">
        <v>0.45</v>
      </c>
      <c r="DY38" s="228">
        <v>0.02</v>
      </c>
      <c r="DZ38" s="229">
        <v>4.4400000000000002E-2</v>
      </c>
      <c r="EA38" s="229">
        <v>6.8999999999999999E-3</v>
      </c>
      <c r="EB38" s="230">
        <v>21000</v>
      </c>
      <c r="EC38" s="229">
        <v>6.1000000000000004E-3</v>
      </c>
      <c r="ED38" s="229">
        <v>6.8999999999999999E-3</v>
      </c>
      <c r="EE38" s="228">
        <v>40.81</v>
      </c>
      <c r="EF38" s="229">
        <v>6.7000000000000002E-3</v>
      </c>
      <c r="EG38" s="230">
        <v>377975</v>
      </c>
      <c r="EH38" s="230">
        <v>164358</v>
      </c>
      <c r="EI38" s="229">
        <v>1.2997000000000001</v>
      </c>
      <c r="EJ38" s="229">
        <v>0.47499999999999998</v>
      </c>
      <c r="EK38" s="231">
        <v>5500.11</v>
      </c>
      <c r="EL38" s="231">
        <v>2426.14</v>
      </c>
      <c r="EM38" s="228">
        <v>827.67</v>
      </c>
      <c r="EN38" s="228">
        <v>23.63</v>
      </c>
      <c r="EO38" s="231">
        <v>8753.92</v>
      </c>
      <c r="EP38" s="231">
        <v>1929.95</v>
      </c>
      <c r="EQ38" s="231">
        <v>6823.97</v>
      </c>
      <c r="ER38" s="229">
        <v>3.5358000000000001</v>
      </c>
      <c r="ES38" s="231">
        <v>1013.08</v>
      </c>
      <c r="ET38" s="228">
        <v>501.58</v>
      </c>
      <c r="EU38" s="231">
        <v>2178.3200000000002</v>
      </c>
      <c r="EV38" s="231">
        <v>16370935</v>
      </c>
      <c r="EW38" s="231">
        <v>3692.98</v>
      </c>
      <c r="EX38" s="231">
        <v>3237.14</v>
      </c>
      <c r="EY38" s="228">
        <v>455.84</v>
      </c>
      <c r="EZ38" s="229">
        <v>0.14080000000000001</v>
      </c>
      <c r="FA38" s="229">
        <v>0.3725</v>
      </c>
      <c r="FB38" s="227" t="s">
        <v>555</v>
      </c>
      <c r="FC38">
        <f t="shared" si="0"/>
        <v>15</v>
      </c>
    </row>
    <row r="39" spans="1:159" ht="17.25" hidden="1" thickBot="1" x14ac:dyDescent="0.3">
      <c r="A39" s="226">
        <v>46064</v>
      </c>
      <c r="B39" s="227" t="s">
        <v>175</v>
      </c>
      <c r="C39" s="227" t="s">
        <v>584</v>
      </c>
      <c r="D39" s="228">
        <v>375</v>
      </c>
      <c r="E39" s="228">
        <v>13</v>
      </c>
      <c r="F39" s="231">
        <v>3179.8</v>
      </c>
      <c r="G39" s="231">
        <v>3185.4</v>
      </c>
      <c r="H39" s="228">
        <v>-5.6</v>
      </c>
      <c r="I39" s="229">
        <v>-1.8E-3</v>
      </c>
      <c r="J39" s="231">
        <v>3177.1</v>
      </c>
      <c r="K39" s="231">
        <v>3174.2</v>
      </c>
      <c r="L39" s="228">
        <v>2.9</v>
      </c>
      <c r="M39" s="229">
        <v>8.9999999999999998E-4</v>
      </c>
      <c r="N39" s="231">
        <v>3179.8</v>
      </c>
      <c r="O39" s="231">
        <v>3185.4</v>
      </c>
      <c r="P39" s="228">
        <v>-5.6</v>
      </c>
      <c r="Q39" s="229">
        <v>-1.8E-3</v>
      </c>
      <c r="R39" s="231">
        <v>3198.5</v>
      </c>
      <c r="S39" s="231">
        <v>3202.2</v>
      </c>
      <c r="T39" s="228">
        <v>-3.7</v>
      </c>
      <c r="U39" s="229">
        <v>-1.1999999999999999E-3</v>
      </c>
      <c r="V39" s="231">
        <v>3213.7</v>
      </c>
      <c r="W39" s="231">
        <v>3217.8</v>
      </c>
      <c r="X39" s="228">
        <v>-4.0999999999999996</v>
      </c>
      <c r="Y39" s="229">
        <v>-1.2999999999999999E-3</v>
      </c>
      <c r="Z39" s="228">
        <v>2.7</v>
      </c>
      <c r="AA39" s="228">
        <v>11.2</v>
      </c>
      <c r="AB39" s="228">
        <v>-8.5</v>
      </c>
      <c r="AC39" s="229">
        <v>8.0000000000000004E-4</v>
      </c>
      <c r="AD39" s="228">
        <v>2.7</v>
      </c>
      <c r="AE39" s="228">
        <v>11.2</v>
      </c>
      <c r="AF39" s="228">
        <v>-8.5</v>
      </c>
      <c r="AG39" s="229">
        <v>8.0000000000000004E-4</v>
      </c>
      <c r="AH39" s="228">
        <v>21.4</v>
      </c>
      <c r="AI39" s="228">
        <v>28</v>
      </c>
      <c r="AJ39" s="228">
        <v>-6.6</v>
      </c>
      <c r="AK39" s="229">
        <v>6.7000000000000002E-3</v>
      </c>
      <c r="AL39" s="228">
        <v>36.6</v>
      </c>
      <c r="AM39" s="228">
        <v>43.6</v>
      </c>
      <c r="AN39" s="228">
        <v>-7</v>
      </c>
      <c r="AO39" s="229">
        <v>1.15E-2</v>
      </c>
      <c r="AP39" s="231">
        <v>3180.39</v>
      </c>
      <c r="AQ39" s="231">
        <v>3196.91</v>
      </c>
      <c r="AR39" s="228">
        <v>0</v>
      </c>
      <c r="AS39" s="230">
        <v>1472</v>
      </c>
      <c r="AT39" s="230">
        <v>4853</v>
      </c>
      <c r="AU39" s="230">
        <v>-3381</v>
      </c>
      <c r="AV39" s="229">
        <v>-0.69669999999999999</v>
      </c>
      <c r="AW39" s="230">
        <v>1311</v>
      </c>
      <c r="AX39" s="230">
        <v>4401</v>
      </c>
      <c r="AY39" s="230">
        <v>-3089</v>
      </c>
      <c r="AZ39" s="229">
        <v>-0.70209999999999995</v>
      </c>
      <c r="BA39" s="228">
        <v>138</v>
      </c>
      <c r="BB39" s="228">
        <v>391</v>
      </c>
      <c r="BC39" s="228">
        <v>-252</v>
      </c>
      <c r="BD39" s="229">
        <v>-0.64580000000000004</v>
      </c>
      <c r="BE39" s="228">
        <v>23</v>
      </c>
      <c r="BF39" s="228">
        <v>62</v>
      </c>
      <c r="BG39" s="228">
        <v>-39</v>
      </c>
      <c r="BH39" s="229">
        <v>-0.63390000000000002</v>
      </c>
      <c r="BI39" s="230">
        <v>6578</v>
      </c>
      <c r="BJ39" s="230">
        <v>29316</v>
      </c>
      <c r="BK39" s="230">
        <v>-22738</v>
      </c>
      <c r="BL39" s="229">
        <v>-0.77559999999999996</v>
      </c>
      <c r="BM39" s="230">
        <v>5335</v>
      </c>
      <c r="BN39" s="230">
        <v>15003</v>
      </c>
      <c r="BO39" s="230">
        <v>-9668</v>
      </c>
      <c r="BP39" s="229">
        <v>-0.64439999999999997</v>
      </c>
      <c r="BQ39" s="230">
        <v>13385</v>
      </c>
      <c r="BR39" s="230">
        <v>49172</v>
      </c>
      <c r="BS39" s="230">
        <v>-35787</v>
      </c>
      <c r="BT39" s="229">
        <v>-0.7278</v>
      </c>
      <c r="BU39" s="230">
        <v>6100540</v>
      </c>
      <c r="BV39" s="230">
        <v>17810099</v>
      </c>
      <c r="BW39" s="230">
        <v>-11709559</v>
      </c>
      <c r="BX39" s="229">
        <v>-0.65749999999999997</v>
      </c>
      <c r="BY39" s="230">
        <v>3328</v>
      </c>
      <c r="BZ39" s="230">
        <v>3440</v>
      </c>
      <c r="CA39" s="228">
        <v>-112</v>
      </c>
      <c r="CB39" s="229">
        <v>-3.2599999999999997E-2</v>
      </c>
      <c r="CC39" s="230">
        <v>3028</v>
      </c>
      <c r="CD39" s="230">
        <v>3131</v>
      </c>
      <c r="CE39" s="228">
        <v>-103</v>
      </c>
      <c r="CF39" s="229">
        <v>-3.2899999999999999E-2</v>
      </c>
      <c r="CG39" s="228">
        <v>245</v>
      </c>
      <c r="CH39" s="228">
        <v>257</v>
      </c>
      <c r="CI39" s="228">
        <v>-12</v>
      </c>
      <c r="CJ39" s="229">
        <v>-4.6800000000000001E-2</v>
      </c>
      <c r="CK39" s="228">
        <v>55</v>
      </c>
      <c r="CL39" s="228">
        <v>52</v>
      </c>
      <c r="CM39" s="228">
        <v>3</v>
      </c>
      <c r="CN39" s="229">
        <v>5.4699999999999999E-2</v>
      </c>
      <c r="CO39" s="230">
        <v>2898</v>
      </c>
      <c r="CP39" s="230">
        <v>2986</v>
      </c>
      <c r="CQ39" s="228">
        <v>-88</v>
      </c>
      <c r="CR39" s="229">
        <v>-2.9399999999999999E-2</v>
      </c>
      <c r="CS39" s="230">
        <v>2840</v>
      </c>
      <c r="CT39" s="230">
        <v>2880</v>
      </c>
      <c r="CU39" s="228">
        <v>-40</v>
      </c>
      <c r="CV39" s="229">
        <v>-1.3899999999999999E-2</v>
      </c>
      <c r="CW39" s="230">
        <v>9066</v>
      </c>
      <c r="CX39" s="230">
        <v>9306</v>
      </c>
      <c r="CY39" s="228">
        <v>-240</v>
      </c>
      <c r="CZ39" s="229">
        <v>-2.58E-2</v>
      </c>
      <c r="DA39" s="228">
        <v>42.33</v>
      </c>
      <c r="DB39" s="228">
        <v>43.22</v>
      </c>
      <c r="DC39" s="228">
        <v>-0.89</v>
      </c>
      <c r="DD39" s="228">
        <v>-0.89</v>
      </c>
      <c r="DE39" s="228">
        <v>59.33</v>
      </c>
      <c r="DF39" s="228">
        <v>59.47</v>
      </c>
      <c r="DG39" s="228">
        <v>-17</v>
      </c>
      <c r="DH39" s="228">
        <v>-0.14000000000000001</v>
      </c>
      <c r="DI39" s="228">
        <v>41.08</v>
      </c>
      <c r="DJ39" s="228">
        <v>41.74</v>
      </c>
      <c r="DK39" s="228">
        <v>-0.66</v>
      </c>
      <c r="DL39" s="228">
        <v>-0.66</v>
      </c>
      <c r="DM39" s="228">
        <v>43.88</v>
      </c>
      <c r="DN39" s="228">
        <v>46.12</v>
      </c>
      <c r="DO39" s="228">
        <v>-2.2400000000000002</v>
      </c>
      <c r="DP39" s="228">
        <v>-2.2400000000000002</v>
      </c>
      <c r="DQ39" s="228">
        <v>0.98</v>
      </c>
      <c r="DR39" s="228">
        <v>0.96</v>
      </c>
      <c r="DS39" s="228">
        <v>0.02</v>
      </c>
      <c r="DT39" s="229">
        <v>2.0799999999999999E-2</v>
      </c>
      <c r="DU39" s="231">
        <v>3200</v>
      </c>
      <c r="DV39" s="231">
        <v>2800</v>
      </c>
      <c r="DW39" s="228">
        <v>0.81</v>
      </c>
      <c r="DX39" s="228">
        <v>0.51</v>
      </c>
      <c r="DY39" s="228">
        <v>0.3</v>
      </c>
      <c r="DZ39" s="229">
        <v>0.58819999999999995</v>
      </c>
      <c r="EA39" s="229">
        <v>9.0300000000000005E-2</v>
      </c>
      <c r="EB39" s="230">
        <v>973500</v>
      </c>
      <c r="EC39" s="229">
        <v>5.8999999999999999E-3</v>
      </c>
      <c r="ED39" s="229">
        <v>9.0300000000000005E-2</v>
      </c>
      <c r="EE39" s="228">
        <v>16.52</v>
      </c>
      <c r="EF39" s="229">
        <v>5.1999999999999998E-3</v>
      </c>
      <c r="EG39" s="230">
        <v>1336839</v>
      </c>
      <c r="EH39" s="230">
        <v>3479091</v>
      </c>
      <c r="EI39" s="229">
        <v>-0.61580000000000001</v>
      </c>
      <c r="EJ39" s="229">
        <v>0.21909999999999999</v>
      </c>
      <c r="EK39" s="231">
        <v>6920.1</v>
      </c>
      <c r="EL39" s="231">
        <v>5178.95</v>
      </c>
      <c r="EM39" s="231">
        <v>1473.26</v>
      </c>
      <c r="EN39" s="228">
        <v>174.69</v>
      </c>
      <c r="EO39" s="231">
        <v>13572.31</v>
      </c>
      <c r="EP39" s="231">
        <v>49610.79</v>
      </c>
      <c r="EQ39" s="231">
        <v>-36038.480000000003</v>
      </c>
      <c r="ER39" s="229">
        <v>-0.72640000000000005</v>
      </c>
      <c r="ES39" s="231">
        <v>2841.18</v>
      </c>
      <c r="ET39" s="231">
        <v>2512.36</v>
      </c>
      <c r="EU39" s="231">
        <v>3330.21</v>
      </c>
      <c r="EV39" s="231">
        <v>61094861</v>
      </c>
      <c r="EW39" s="231">
        <v>8683.75</v>
      </c>
      <c r="EX39" s="231">
        <v>8919.7800000000007</v>
      </c>
      <c r="EY39" s="228">
        <v>-236.03</v>
      </c>
      <c r="EZ39" s="229">
        <v>-2.6499999999999999E-2</v>
      </c>
      <c r="FA39" s="229">
        <v>0.4667</v>
      </c>
      <c r="FB39" s="227" t="s">
        <v>568</v>
      </c>
      <c r="FC39">
        <f t="shared" si="0"/>
        <v>300</v>
      </c>
    </row>
    <row r="40" spans="1:159" ht="17.25" hidden="1" thickBot="1" x14ac:dyDescent="0.3">
      <c r="A40" s="226">
        <v>46064</v>
      </c>
      <c r="B40" s="227" t="s">
        <v>175</v>
      </c>
      <c r="C40" s="227" t="s">
        <v>611</v>
      </c>
      <c r="D40" s="228">
        <v>750</v>
      </c>
      <c r="E40" s="228">
        <v>13</v>
      </c>
      <c r="F40" s="228">
        <v>747.95</v>
      </c>
      <c r="G40" s="228">
        <v>745.2</v>
      </c>
      <c r="H40" s="228">
        <v>2.75</v>
      </c>
      <c r="I40" s="229">
        <v>3.7000000000000002E-3</v>
      </c>
      <c r="J40" s="228">
        <v>747.1</v>
      </c>
      <c r="K40" s="228">
        <v>742.6</v>
      </c>
      <c r="L40" s="228">
        <v>4.5</v>
      </c>
      <c r="M40" s="229">
        <v>6.1000000000000004E-3</v>
      </c>
      <c r="N40" s="228">
        <v>747.95</v>
      </c>
      <c r="O40" s="228">
        <v>745.2</v>
      </c>
      <c r="P40" s="228">
        <v>2.75</v>
      </c>
      <c r="Q40" s="229">
        <v>3.7000000000000002E-3</v>
      </c>
      <c r="R40" s="228">
        <v>749.6</v>
      </c>
      <c r="S40" s="228">
        <v>746.2</v>
      </c>
      <c r="T40" s="228">
        <v>3.4</v>
      </c>
      <c r="U40" s="229">
        <v>4.5999999999999999E-3</v>
      </c>
      <c r="V40" s="228">
        <v>751.25</v>
      </c>
      <c r="W40" s="228">
        <v>748.15</v>
      </c>
      <c r="X40" s="228">
        <v>3.1</v>
      </c>
      <c r="Y40" s="229">
        <v>4.1000000000000003E-3</v>
      </c>
      <c r="Z40" s="228">
        <v>0.85</v>
      </c>
      <c r="AA40" s="228">
        <v>2.6</v>
      </c>
      <c r="AB40" s="228">
        <v>-1.75</v>
      </c>
      <c r="AC40" s="229">
        <v>1.1000000000000001E-3</v>
      </c>
      <c r="AD40" s="228">
        <v>0.85</v>
      </c>
      <c r="AE40" s="228">
        <v>2.6</v>
      </c>
      <c r="AF40" s="228">
        <v>-1.75</v>
      </c>
      <c r="AG40" s="229">
        <v>1.1000000000000001E-3</v>
      </c>
      <c r="AH40" s="228">
        <v>2.5</v>
      </c>
      <c r="AI40" s="228">
        <v>3.6</v>
      </c>
      <c r="AJ40" s="228">
        <v>-1.1000000000000001</v>
      </c>
      <c r="AK40" s="229">
        <v>3.3E-3</v>
      </c>
      <c r="AL40" s="228">
        <v>4.1500000000000004</v>
      </c>
      <c r="AM40" s="228">
        <v>5.55</v>
      </c>
      <c r="AN40" s="228">
        <v>-1.4</v>
      </c>
      <c r="AO40" s="229">
        <v>5.5999999999999999E-3</v>
      </c>
      <c r="AP40" s="228">
        <v>746.87</v>
      </c>
      <c r="AQ40" s="228">
        <v>748.14</v>
      </c>
      <c r="AR40" s="228">
        <v>0</v>
      </c>
      <c r="AS40" s="228">
        <v>84</v>
      </c>
      <c r="AT40" s="228">
        <v>163</v>
      </c>
      <c r="AU40" s="228">
        <v>-79</v>
      </c>
      <c r="AV40" s="229">
        <v>-0.48420000000000002</v>
      </c>
      <c r="AW40" s="228">
        <v>76</v>
      </c>
      <c r="AX40" s="228">
        <v>149</v>
      </c>
      <c r="AY40" s="228">
        <v>-73</v>
      </c>
      <c r="AZ40" s="229">
        <v>-0.48870000000000002</v>
      </c>
      <c r="BA40" s="228">
        <v>7</v>
      </c>
      <c r="BB40" s="228">
        <v>12</v>
      </c>
      <c r="BC40" s="228">
        <v>-5</v>
      </c>
      <c r="BD40" s="229">
        <v>-0.43259999999999998</v>
      </c>
      <c r="BE40" s="228">
        <v>1</v>
      </c>
      <c r="BF40" s="228">
        <v>2</v>
      </c>
      <c r="BG40" s="228">
        <v>-1</v>
      </c>
      <c r="BH40" s="229">
        <v>-0.44829999999999998</v>
      </c>
      <c r="BI40" s="228">
        <v>155</v>
      </c>
      <c r="BJ40" s="228">
        <v>338</v>
      </c>
      <c r="BK40" s="228">
        <v>-183</v>
      </c>
      <c r="BL40" s="229">
        <v>-0.5403</v>
      </c>
      <c r="BM40" s="228">
        <v>60</v>
      </c>
      <c r="BN40" s="228">
        <v>107</v>
      </c>
      <c r="BO40" s="228">
        <v>-47</v>
      </c>
      <c r="BP40" s="229">
        <v>-0.44</v>
      </c>
      <c r="BQ40" s="228">
        <v>300</v>
      </c>
      <c r="BR40" s="228">
        <v>609</v>
      </c>
      <c r="BS40" s="228">
        <v>-309</v>
      </c>
      <c r="BT40" s="229">
        <v>-0.50760000000000005</v>
      </c>
      <c r="BU40" s="230">
        <v>637882</v>
      </c>
      <c r="BV40" s="230">
        <v>872659</v>
      </c>
      <c r="BW40" s="230">
        <v>-234777</v>
      </c>
      <c r="BX40" s="229">
        <v>-0.26900000000000002</v>
      </c>
      <c r="BY40" s="228">
        <v>551</v>
      </c>
      <c r="BZ40" s="228">
        <v>549</v>
      </c>
      <c r="CA40" s="228">
        <v>2</v>
      </c>
      <c r="CB40" s="229">
        <v>4.4000000000000003E-3</v>
      </c>
      <c r="CC40" s="228">
        <v>516</v>
      </c>
      <c r="CD40" s="228">
        <v>515</v>
      </c>
      <c r="CE40" s="228">
        <v>2</v>
      </c>
      <c r="CF40" s="229">
        <v>3.0999999999999999E-3</v>
      </c>
      <c r="CG40" s="228">
        <v>30</v>
      </c>
      <c r="CH40" s="228">
        <v>30</v>
      </c>
      <c r="CI40" s="228">
        <v>1</v>
      </c>
      <c r="CJ40" s="229">
        <v>1.8800000000000001E-2</v>
      </c>
      <c r="CK40" s="228">
        <v>4</v>
      </c>
      <c r="CL40" s="228">
        <v>4</v>
      </c>
      <c r="CM40" s="228">
        <v>0</v>
      </c>
      <c r="CN40" s="229">
        <v>7.1400000000000005E-2</v>
      </c>
      <c r="CO40" s="228">
        <v>214</v>
      </c>
      <c r="CP40" s="228">
        <v>208</v>
      </c>
      <c r="CQ40" s="228">
        <v>6</v>
      </c>
      <c r="CR40" s="229">
        <v>2.7799999999999998E-2</v>
      </c>
      <c r="CS40" s="228">
        <v>226</v>
      </c>
      <c r="CT40" s="228">
        <v>226</v>
      </c>
      <c r="CU40" s="228">
        <v>0</v>
      </c>
      <c r="CV40" s="229">
        <v>6.9999999999999999E-4</v>
      </c>
      <c r="CW40" s="228">
        <v>991</v>
      </c>
      <c r="CX40" s="228">
        <v>982</v>
      </c>
      <c r="CY40" s="228">
        <v>8</v>
      </c>
      <c r="CZ40" s="229">
        <v>8.5000000000000006E-3</v>
      </c>
      <c r="DA40" s="228">
        <v>30.23</v>
      </c>
      <c r="DB40" s="228">
        <v>30.53</v>
      </c>
      <c r="DC40" s="228">
        <v>-0.3</v>
      </c>
      <c r="DD40" s="228">
        <v>-0.3</v>
      </c>
      <c r="DE40" s="228">
        <v>39.909999999999997</v>
      </c>
      <c r="DF40" s="228">
        <v>40.01</v>
      </c>
      <c r="DG40" s="228">
        <v>-9.68</v>
      </c>
      <c r="DH40" s="228">
        <v>-0.1</v>
      </c>
      <c r="DI40" s="228">
        <v>28.84</v>
      </c>
      <c r="DJ40" s="228">
        <v>29.28</v>
      </c>
      <c r="DK40" s="228">
        <v>-0.44</v>
      </c>
      <c r="DL40" s="228">
        <v>-0.44</v>
      </c>
      <c r="DM40" s="228">
        <v>33.81</v>
      </c>
      <c r="DN40" s="228">
        <v>34.49</v>
      </c>
      <c r="DO40" s="228">
        <v>-0.68</v>
      </c>
      <c r="DP40" s="228">
        <v>-0.68</v>
      </c>
      <c r="DQ40" s="228">
        <v>1.06</v>
      </c>
      <c r="DR40" s="228">
        <v>1.08</v>
      </c>
      <c r="DS40" s="228">
        <v>-0.02</v>
      </c>
      <c r="DT40" s="229">
        <v>-1.8499999999999999E-2</v>
      </c>
      <c r="DU40" s="228">
        <v>750</v>
      </c>
      <c r="DV40" s="228">
        <v>700</v>
      </c>
      <c r="DW40" s="228">
        <v>0.39</v>
      </c>
      <c r="DX40" s="228">
        <v>0.32</v>
      </c>
      <c r="DY40" s="228">
        <v>7.0000000000000007E-2</v>
      </c>
      <c r="DZ40" s="229">
        <v>0.21879999999999999</v>
      </c>
      <c r="EA40" s="229">
        <v>6.2899999999999998E-2</v>
      </c>
      <c r="EB40" s="230">
        <v>452250</v>
      </c>
      <c r="EC40" s="229">
        <v>2.2000000000000001E-3</v>
      </c>
      <c r="ED40" s="229">
        <v>6.2899999999999998E-2</v>
      </c>
      <c r="EE40" s="228">
        <v>1.27</v>
      </c>
      <c r="EF40" s="229">
        <v>1.6999999999999999E-3</v>
      </c>
      <c r="EG40" s="230">
        <v>282913</v>
      </c>
      <c r="EH40" s="230">
        <v>406994</v>
      </c>
      <c r="EI40" s="229">
        <v>-0.3049</v>
      </c>
      <c r="EJ40" s="229">
        <v>0.44350000000000001</v>
      </c>
      <c r="EK40" s="228">
        <v>160.61000000000001</v>
      </c>
      <c r="EL40" s="228">
        <v>58.47</v>
      </c>
      <c r="EM40" s="228">
        <v>83.93</v>
      </c>
      <c r="EN40" s="228">
        <v>22.42</v>
      </c>
      <c r="EO40" s="228">
        <v>303</v>
      </c>
      <c r="EP40" s="228">
        <v>613.04999999999995</v>
      </c>
      <c r="EQ40" s="228">
        <v>-310.04000000000002</v>
      </c>
      <c r="ER40" s="229">
        <v>-0.50570000000000004</v>
      </c>
      <c r="ES40" s="228">
        <v>214.79</v>
      </c>
      <c r="ET40" s="228">
        <v>210.67</v>
      </c>
      <c r="EU40" s="228">
        <v>551.17999999999995</v>
      </c>
      <c r="EV40" s="231">
        <v>37122288</v>
      </c>
      <c r="EW40" s="228">
        <v>976.63</v>
      </c>
      <c r="EX40" s="228">
        <v>965.69</v>
      </c>
      <c r="EY40" s="228">
        <v>10.94</v>
      </c>
      <c r="EZ40" s="229">
        <v>1.1299999999999999E-2</v>
      </c>
      <c r="FA40" s="229">
        <v>0.35680000000000001</v>
      </c>
      <c r="FB40" s="227" t="s">
        <v>555</v>
      </c>
      <c r="FC40">
        <f t="shared" si="0"/>
        <v>35</v>
      </c>
    </row>
    <row r="41" spans="1:159" ht="17.25" hidden="1" thickBot="1" x14ac:dyDescent="0.3">
      <c r="A41" s="226">
        <v>46064</v>
      </c>
      <c r="B41" s="227" t="s">
        <v>172</v>
      </c>
      <c r="C41" s="227" t="s">
        <v>196</v>
      </c>
      <c r="D41" s="228">
        <v>6750</v>
      </c>
      <c r="E41" s="228">
        <v>13</v>
      </c>
      <c r="F41" s="228">
        <v>146</v>
      </c>
      <c r="G41" s="228">
        <v>147.35</v>
      </c>
      <c r="H41" s="228">
        <v>-1.35</v>
      </c>
      <c r="I41" s="229">
        <v>-9.1999999999999998E-3</v>
      </c>
      <c r="J41" s="228">
        <v>145.51</v>
      </c>
      <c r="K41" s="228">
        <v>146.83000000000001</v>
      </c>
      <c r="L41" s="228">
        <v>-1.32</v>
      </c>
      <c r="M41" s="229">
        <v>-8.9999999999999993E-3</v>
      </c>
      <c r="N41" s="228">
        <v>146</v>
      </c>
      <c r="O41" s="228">
        <v>147.35</v>
      </c>
      <c r="P41" s="228">
        <v>-1.35</v>
      </c>
      <c r="Q41" s="229">
        <v>-9.1999999999999998E-3</v>
      </c>
      <c r="R41" s="228">
        <v>146.66999999999999</v>
      </c>
      <c r="S41" s="228">
        <v>147.91999999999999</v>
      </c>
      <c r="T41" s="228">
        <v>-1.25</v>
      </c>
      <c r="U41" s="229">
        <v>-8.5000000000000006E-3</v>
      </c>
      <c r="V41" s="228">
        <v>147.52000000000001</v>
      </c>
      <c r="W41" s="228">
        <v>148.75</v>
      </c>
      <c r="X41" s="228">
        <v>-1.23</v>
      </c>
      <c r="Y41" s="229">
        <v>-8.3000000000000001E-3</v>
      </c>
      <c r="Z41" s="228">
        <v>0.49</v>
      </c>
      <c r="AA41" s="228">
        <v>0.52</v>
      </c>
      <c r="AB41" s="228">
        <v>-0.03</v>
      </c>
      <c r="AC41" s="229">
        <v>3.3999999999999998E-3</v>
      </c>
      <c r="AD41" s="228">
        <v>0.49</v>
      </c>
      <c r="AE41" s="228">
        <v>0.52</v>
      </c>
      <c r="AF41" s="228">
        <v>-0.03</v>
      </c>
      <c r="AG41" s="229">
        <v>3.3999999999999998E-3</v>
      </c>
      <c r="AH41" s="228">
        <v>1.1599999999999999</v>
      </c>
      <c r="AI41" s="228">
        <v>1.0900000000000001</v>
      </c>
      <c r="AJ41" s="228">
        <v>7.0000000000000007E-2</v>
      </c>
      <c r="AK41" s="229">
        <v>8.0000000000000002E-3</v>
      </c>
      <c r="AL41" s="228">
        <v>2.0099999999999998</v>
      </c>
      <c r="AM41" s="228">
        <v>1.92</v>
      </c>
      <c r="AN41" s="228">
        <v>0.09</v>
      </c>
      <c r="AO41" s="229">
        <v>1.38E-2</v>
      </c>
      <c r="AP41" s="228">
        <v>145.84</v>
      </c>
      <c r="AQ41" s="228">
        <v>146.28</v>
      </c>
      <c r="AR41" s="228">
        <v>0</v>
      </c>
      <c r="AS41" s="228">
        <v>805</v>
      </c>
      <c r="AT41" s="228">
        <v>394</v>
      </c>
      <c r="AU41" s="228">
        <v>411</v>
      </c>
      <c r="AV41" s="229">
        <v>1.0448</v>
      </c>
      <c r="AW41" s="228">
        <v>704</v>
      </c>
      <c r="AX41" s="228">
        <v>340</v>
      </c>
      <c r="AY41" s="228">
        <v>364</v>
      </c>
      <c r="AZ41" s="229">
        <v>1.0691999999999999</v>
      </c>
      <c r="BA41" s="228">
        <v>90</v>
      </c>
      <c r="BB41" s="228">
        <v>49</v>
      </c>
      <c r="BC41" s="228">
        <v>40</v>
      </c>
      <c r="BD41" s="229">
        <v>0.81469999999999998</v>
      </c>
      <c r="BE41" s="228">
        <v>11</v>
      </c>
      <c r="BF41" s="228">
        <v>4</v>
      </c>
      <c r="BG41" s="228">
        <v>7</v>
      </c>
      <c r="BH41" s="229">
        <v>1.8462000000000001</v>
      </c>
      <c r="BI41" s="230">
        <v>2466</v>
      </c>
      <c r="BJ41" s="230">
        <v>1105</v>
      </c>
      <c r="BK41" s="230">
        <v>1361</v>
      </c>
      <c r="BL41" s="229">
        <v>1.2321</v>
      </c>
      <c r="BM41" s="228">
        <v>938</v>
      </c>
      <c r="BN41" s="228">
        <v>359</v>
      </c>
      <c r="BO41" s="228">
        <v>579</v>
      </c>
      <c r="BP41" s="229">
        <v>1.6163000000000001</v>
      </c>
      <c r="BQ41" s="230">
        <v>4209</v>
      </c>
      <c r="BR41" s="230">
        <v>1857</v>
      </c>
      <c r="BS41" s="230">
        <v>2352</v>
      </c>
      <c r="BT41" s="229">
        <v>1.2665999999999999</v>
      </c>
      <c r="BU41" s="230">
        <v>32128525</v>
      </c>
      <c r="BV41" s="230">
        <v>19256666</v>
      </c>
      <c r="BW41" s="230">
        <v>12871859</v>
      </c>
      <c r="BX41" s="229">
        <v>0.66839999999999999</v>
      </c>
      <c r="BY41" s="230">
        <v>2863</v>
      </c>
      <c r="BZ41" s="230">
        <v>2706</v>
      </c>
      <c r="CA41" s="228">
        <v>157</v>
      </c>
      <c r="CB41" s="229">
        <v>5.8000000000000003E-2</v>
      </c>
      <c r="CC41" s="230">
        <v>2604</v>
      </c>
      <c r="CD41" s="230">
        <v>2473</v>
      </c>
      <c r="CE41" s="228">
        <v>131</v>
      </c>
      <c r="CF41" s="229">
        <v>5.2999999999999999E-2</v>
      </c>
      <c r="CG41" s="228">
        <v>220</v>
      </c>
      <c r="CH41" s="228">
        <v>199</v>
      </c>
      <c r="CI41" s="228">
        <v>22</v>
      </c>
      <c r="CJ41" s="229">
        <v>0.11020000000000001</v>
      </c>
      <c r="CK41" s="228">
        <v>38</v>
      </c>
      <c r="CL41" s="228">
        <v>34</v>
      </c>
      <c r="CM41" s="228">
        <v>4</v>
      </c>
      <c r="CN41" s="229">
        <v>0.11169999999999999</v>
      </c>
      <c r="CO41" s="230">
        <v>2659</v>
      </c>
      <c r="CP41" s="230">
        <v>2527</v>
      </c>
      <c r="CQ41" s="228">
        <v>132</v>
      </c>
      <c r="CR41" s="229">
        <v>5.2200000000000003E-2</v>
      </c>
      <c r="CS41" s="230">
        <v>1342</v>
      </c>
      <c r="CT41" s="230">
        <v>1307</v>
      </c>
      <c r="CU41" s="228">
        <v>35</v>
      </c>
      <c r="CV41" s="229">
        <v>2.6800000000000001E-2</v>
      </c>
      <c r="CW41" s="230">
        <v>6864</v>
      </c>
      <c r="CX41" s="230">
        <v>6540</v>
      </c>
      <c r="CY41" s="228">
        <v>324</v>
      </c>
      <c r="CZ41" s="229">
        <v>4.9500000000000002E-2</v>
      </c>
      <c r="DA41" s="228">
        <v>33.79</v>
      </c>
      <c r="DB41" s="228">
        <v>33.590000000000003</v>
      </c>
      <c r="DC41" s="228">
        <v>0.2</v>
      </c>
      <c r="DD41" s="228">
        <v>0.2</v>
      </c>
      <c r="DE41" s="228">
        <v>35.65</v>
      </c>
      <c r="DF41" s="228">
        <v>35.72</v>
      </c>
      <c r="DG41" s="228">
        <v>-1.86</v>
      </c>
      <c r="DH41" s="228">
        <v>-7.0000000000000007E-2</v>
      </c>
      <c r="DI41" s="228">
        <v>34.44</v>
      </c>
      <c r="DJ41" s="228">
        <v>34.4</v>
      </c>
      <c r="DK41" s="228">
        <v>0.04</v>
      </c>
      <c r="DL41" s="228">
        <v>0.04</v>
      </c>
      <c r="DM41" s="228">
        <v>32.090000000000003</v>
      </c>
      <c r="DN41" s="228">
        <v>31.11</v>
      </c>
      <c r="DO41" s="228">
        <v>0.98</v>
      </c>
      <c r="DP41" s="228">
        <v>0.98</v>
      </c>
      <c r="DQ41" s="228">
        <v>0.5</v>
      </c>
      <c r="DR41" s="228">
        <v>0.52</v>
      </c>
      <c r="DS41" s="228">
        <v>-0.02</v>
      </c>
      <c r="DT41" s="229">
        <v>-3.85E-2</v>
      </c>
      <c r="DU41" s="228">
        <v>160</v>
      </c>
      <c r="DV41" s="228">
        <v>140</v>
      </c>
      <c r="DW41" s="228">
        <v>0.38</v>
      </c>
      <c r="DX41" s="228">
        <v>0.32</v>
      </c>
      <c r="DY41" s="228">
        <v>0.06</v>
      </c>
      <c r="DZ41" s="229">
        <v>0.1875</v>
      </c>
      <c r="EA41" s="229">
        <v>9.0399999999999994E-2</v>
      </c>
      <c r="EB41" s="230">
        <v>15957000</v>
      </c>
      <c r="EC41" s="229">
        <v>4.5999999999999999E-3</v>
      </c>
      <c r="ED41" s="229">
        <v>9.0399999999999994E-2</v>
      </c>
      <c r="EE41" s="228">
        <v>0.44</v>
      </c>
      <c r="EF41" s="229">
        <v>3.0000000000000001E-3</v>
      </c>
      <c r="EG41" s="230">
        <v>18043961</v>
      </c>
      <c r="EH41" s="230">
        <v>11008527</v>
      </c>
      <c r="EI41" s="229">
        <v>0.6391</v>
      </c>
      <c r="EJ41" s="229">
        <v>0.56159999999999999</v>
      </c>
      <c r="EK41" s="231">
        <v>2619.69</v>
      </c>
      <c r="EL41" s="228">
        <v>935.54</v>
      </c>
      <c r="EM41" s="228">
        <v>804.15</v>
      </c>
      <c r="EN41" s="228">
        <v>65.209999999999994</v>
      </c>
      <c r="EO41" s="231">
        <v>4359.38</v>
      </c>
      <c r="EP41" s="231">
        <v>1947.59</v>
      </c>
      <c r="EQ41" s="231">
        <v>2411.79</v>
      </c>
      <c r="ER41" s="229">
        <v>1.2383</v>
      </c>
      <c r="ES41" s="231">
        <v>2875.78</v>
      </c>
      <c r="ET41" s="231">
        <v>1341.74</v>
      </c>
      <c r="EU41" s="231">
        <v>2864.19</v>
      </c>
      <c r="EV41" s="231">
        <v>504315430</v>
      </c>
      <c r="EW41" s="231">
        <v>7081.71</v>
      </c>
      <c r="EX41" s="231">
        <v>6785.74</v>
      </c>
      <c r="EY41" s="228">
        <v>295.97000000000003</v>
      </c>
      <c r="EZ41" s="229">
        <v>4.36E-2</v>
      </c>
      <c r="FA41" s="229">
        <v>0.93220000000000003</v>
      </c>
      <c r="FB41" s="227" t="s">
        <v>567</v>
      </c>
      <c r="FC41">
        <f t="shared" si="0"/>
        <v>259</v>
      </c>
    </row>
    <row r="42" spans="1:159" ht="17.25" hidden="1" thickBot="1" x14ac:dyDescent="0.3">
      <c r="A42" s="226">
        <v>46064</v>
      </c>
      <c r="B42" s="227" t="s">
        <v>175</v>
      </c>
      <c r="C42" s="227" t="s">
        <v>597</v>
      </c>
      <c r="D42" s="228">
        <v>475</v>
      </c>
      <c r="E42" s="228">
        <v>13</v>
      </c>
      <c r="F42" s="231">
        <v>1398.9</v>
      </c>
      <c r="G42" s="231">
        <v>1401.1</v>
      </c>
      <c r="H42" s="228">
        <v>-2.2000000000000002</v>
      </c>
      <c r="I42" s="229">
        <v>-1.6000000000000001E-3</v>
      </c>
      <c r="J42" s="231">
        <v>1397.2</v>
      </c>
      <c r="K42" s="231">
        <v>1400.9</v>
      </c>
      <c r="L42" s="228">
        <v>-3.7</v>
      </c>
      <c r="M42" s="229">
        <v>-2.5999999999999999E-3</v>
      </c>
      <c r="N42" s="231">
        <v>1398.9</v>
      </c>
      <c r="O42" s="231">
        <v>1401.1</v>
      </c>
      <c r="P42" s="228">
        <v>-2.2000000000000002</v>
      </c>
      <c r="Q42" s="229">
        <v>-1.6000000000000001E-3</v>
      </c>
      <c r="R42" s="231">
        <v>1398</v>
      </c>
      <c r="S42" s="231">
        <v>1399.5</v>
      </c>
      <c r="T42" s="228">
        <v>-1.5</v>
      </c>
      <c r="U42" s="229">
        <v>-1.1000000000000001E-3</v>
      </c>
      <c r="V42" s="231">
        <v>1399.8</v>
      </c>
      <c r="W42" s="231">
        <v>1401.2</v>
      </c>
      <c r="X42" s="228">
        <v>-1.4</v>
      </c>
      <c r="Y42" s="229">
        <v>-1E-3</v>
      </c>
      <c r="Z42" s="228">
        <v>1.7</v>
      </c>
      <c r="AA42" s="228">
        <v>0.2</v>
      </c>
      <c r="AB42" s="228">
        <v>1.5</v>
      </c>
      <c r="AC42" s="229">
        <v>1.1999999999999999E-3</v>
      </c>
      <c r="AD42" s="228">
        <v>1.7</v>
      </c>
      <c r="AE42" s="228">
        <v>0.2</v>
      </c>
      <c r="AF42" s="228">
        <v>1.5</v>
      </c>
      <c r="AG42" s="229">
        <v>1.1999999999999999E-3</v>
      </c>
      <c r="AH42" s="228">
        <v>0.8</v>
      </c>
      <c r="AI42" s="228">
        <v>-1.4</v>
      </c>
      <c r="AJ42" s="228">
        <v>2.2000000000000002</v>
      </c>
      <c r="AK42" s="229">
        <v>5.9999999999999995E-4</v>
      </c>
      <c r="AL42" s="228">
        <v>2.6</v>
      </c>
      <c r="AM42" s="228">
        <v>0.3</v>
      </c>
      <c r="AN42" s="228">
        <v>2.2999999999999998</v>
      </c>
      <c r="AO42" s="229">
        <v>1.9E-3</v>
      </c>
      <c r="AP42" s="231">
        <v>1395.26</v>
      </c>
      <c r="AQ42" s="231">
        <v>1394.26</v>
      </c>
      <c r="AR42" s="228">
        <v>0</v>
      </c>
      <c r="AS42" s="228">
        <v>271</v>
      </c>
      <c r="AT42" s="228">
        <v>599</v>
      </c>
      <c r="AU42" s="228">
        <v>-328</v>
      </c>
      <c r="AV42" s="229">
        <v>-0.54790000000000005</v>
      </c>
      <c r="AW42" s="228">
        <v>199</v>
      </c>
      <c r="AX42" s="228">
        <v>476</v>
      </c>
      <c r="AY42" s="228">
        <v>-277</v>
      </c>
      <c r="AZ42" s="229">
        <v>-0.58240000000000003</v>
      </c>
      <c r="BA42" s="228">
        <v>65</v>
      </c>
      <c r="BB42" s="228">
        <v>107</v>
      </c>
      <c r="BC42" s="228">
        <v>-42</v>
      </c>
      <c r="BD42" s="229">
        <v>-0.39040000000000002</v>
      </c>
      <c r="BE42" s="228">
        <v>7</v>
      </c>
      <c r="BF42" s="228">
        <v>16</v>
      </c>
      <c r="BG42" s="228">
        <v>-9</v>
      </c>
      <c r="BH42" s="229">
        <v>-0.57450000000000001</v>
      </c>
      <c r="BI42" s="230">
        <v>1400</v>
      </c>
      <c r="BJ42" s="230">
        <v>3466</v>
      </c>
      <c r="BK42" s="230">
        <v>-2066</v>
      </c>
      <c r="BL42" s="229">
        <v>-0.59609999999999996</v>
      </c>
      <c r="BM42" s="228">
        <v>547</v>
      </c>
      <c r="BN42" s="230">
        <v>1063</v>
      </c>
      <c r="BO42" s="228">
        <v>-515</v>
      </c>
      <c r="BP42" s="229">
        <v>-0.4849</v>
      </c>
      <c r="BQ42" s="230">
        <v>2218</v>
      </c>
      <c r="BR42" s="230">
        <v>5127</v>
      </c>
      <c r="BS42" s="230">
        <v>-2909</v>
      </c>
      <c r="BT42" s="229">
        <v>-0.56740000000000002</v>
      </c>
      <c r="BU42" s="230">
        <v>1302246</v>
      </c>
      <c r="BV42" s="230">
        <v>2540851</v>
      </c>
      <c r="BW42" s="230">
        <v>-1238605</v>
      </c>
      <c r="BX42" s="229">
        <v>-0.48749999999999999</v>
      </c>
      <c r="BY42" s="230">
        <v>1647</v>
      </c>
      <c r="BZ42" s="230">
        <v>1619</v>
      </c>
      <c r="CA42" s="228">
        <v>28</v>
      </c>
      <c r="CB42" s="229">
        <v>1.72E-2</v>
      </c>
      <c r="CC42" s="230">
        <v>1339</v>
      </c>
      <c r="CD42" s="230">
        <v>1331</v>
      </c>
      <c r="CE42" s="228">
        <v>8</v>
      </c>
      <c r="CF42" s="229">
        <v>6.0000000000000001E-3</v>
      </c>
      <c r="CG42" s="228">
        <v>277</v>
      </c>
      <c r="CH42" s="228">
        <v>259</v>
      </c>
      <c r="CI42" s="228">
        <v>18</v>
      </c>
      <c r="CJ42" s="229">
        <v>6.9199999999999998E-2</v>
      </c>
      <c r="CK42" s="228">
        <v>31</v>
      </c>
      <c r="CL42" s="228">
        <v>29</v>
      </c>
      <c r="CM42" s="228">
        <v>2</v>
      </c>
      <c r="CN42" s="229">
        <v>6.4199999999999993E-2</v>
      </c>
      <c r="CO42" s="230">
        <v>1210</v>
      </c>
      <c r="CP42" s="230">
        <v>1173</v>
      </c>
      <c r="CQ42" s="228">
        <v>37</v>
      </c>
      <c r="CR42" s="229">
        <v>3.15E-2</v>
      </c>
      <c r="CS42" s="228">
        <v>843</v>
      </c>
      <c r="CT42" s="228">
        <v>825</v>
      </c>
      <c r="CU42" s="228">
        <v>18</v>
      </c>
      <c r="CV42" s="229">
        <v>2.1999999999999999E-2</v>
      </c>
      <c r="CW42" s="230">
        <v>3701</v>
      </c>
      <c r="CX42" s="230">
        <v>3618</v>
      </c>
      <c r="CY42" s="228">
        <v>83</v>
      </c>
      <c r="CZ42" s="229">
        <v>2.29E-2</v>
      </c>
      <c r="DA42" s="228">
        <v>34.299999999999997</v>
      </c>
      <c r="DB42" s="228">
        <v>34.22</v>
      </c>
      <c r="DC42" s="228">
        <v>0.08</v>
      </c>
      <c r="DD42" s="228">
        <v>0.08</v>
      </c>
      <c r="DE42" s="228">
        <v>45.55</v>
      </c>
      <c r="DF42" s="228">
        <v>45.66</v>
      </c>
      <c r="DG42" s="228">
        <v>-11.25</v>
      </c>
      <c r="DH42" s="228">
        <v>-0.11</v>
      </c>
      <c r="DI42" s="228">
        <v>33.729999999999997</v>
      </c>
      <c r="DJ42" s="228">
        <v>33.57</v>
      </c>
      <c r="DK42" s="228">
        <v>0.16</v>
      </c>
      <c r="DL42" s="228">
        <v>0.16</v>
      </c>
      <c r="DM42" s="228">
        <v>35.770000000000003</v>
      </c>
      <c r="DN42" s="228">
        <v>36.33</v>
      </c>
      <c r="DO42" s="228">
        <v>-0.56000000000000005</v>
      </c>
      <c r="DP42" s="228">
        <v>-0.56000000000000005</v>
      </c>
      <c r="DQ42" s="228">
        <v>0.7</v>
      </c>
      <c r="DR42" s="228">
        <v>0.7</v>
      </c>
      <c r="DS42" s="228">
        <v>0</v>
      </c>
      <c r="DT42" s="229">
        <v>0</v>
      </c>
      <c r="DU42" s="231">
        <v>1400</v>
      </c>
      <c r="DV42" s="231">
        <v>1400</v>
      </c>
      <c r="DW42" s="228">
        <v>0.39</v>
      </c>
      <c r="DX42" s="228">
        <v>0.31</v>
      </c>
      <c r="DY42" s="228">
        <v>0.08</v>
      </c>
      <c r="DZ42" s="229">
        <v>0.2581</v>
      </c>
      <c r="EA42" s="229">
        <v>0.187</v>
      </c>
      <c r="EB42" s="230">
        <v>2060550</v>
      </c>
      <c r="EC42" s="229">
        <v>-5.9999999999999995E-4</v>
      </c>
      <c r="ED42" s="229">
        <v>0.187</v>
      </c>
      <c r="EE42" s="228">
        <v>-1</v>
      </c>
      <c r="EF42" s="229">
        <v>-6.9999999999999999E-4</v>
      </c>
      <c r="EG42" s="230">
        <v>414549</v>
      </c>
      <c r="EH42" s="230">
        <v>686111</v>
      </c>
      <c r="EI42" s="229">
        <v>-0.39579999999999999</v>
      </c>
      <c r="EJ42" s="229">
        <v>0.31830000000000003</v>
      </c>
      <c r="EK42" s="231">
        <v>1467.46</v>
      </c>
      <c r="EL42" s="228">
        <v>536.23</v>
      </c>
      <c r="EM42" s="228">
        <v>270.08999999999997</v>
      </c>
      <c r="EN42" s="228">
        <v>64.209999999999994</v>
      </c>
      <c r="EO42" s="231">
        <v>2273.79</v>
      </c>
      <c r="EP42" s="231">
        <v>5260.15</v>
      </c>
      <c r="EQ42" s="231">
        <v>-2986.37</v>
      </c>
      <c r="ER42" s="229">
        <v>-0.56769999999999998</v>
      </c>
      <c r="ES42" s="231">
        <v>1229.6300000000001</v>
      </c>
      <c r="ET42" s="228">
        <v>809.15</v>
      </c>
      <c r="EU42" s="231">
        <v>1647.08</v>
      </c>
      <c r="EV42" s="231">
        <v>26647500</v>
      </c>
      <c r="EW42" s="231">
        <v>3685.86</v>
      </c>
      <c r="EX42" s="231">
        <v>3601.6</v>
      </c>
      <c r="EY42" s="228">
        <v>84.26</v>
      </c>
      <c r="EZ42" s="229">
        <v>2.3400000000000001E-2</v>
      </c>
      <c r="FA42" s="229">
        <v>0.99270000000000003</v>
      </c>
      <c r="FB42" s="227" t="s">
        <v>567</v>
      </c>
      <c r="FC42">
        <f t="shared" si="0"/>
        <v>308</v>
      </c>
    </row>
    <row r="43" spans="1:159" ht="17.25" hidden="1" thickBot="1" x14ac:dyDescent="0.3">
      <c r="A43" s="226">
        <v>46064</v>
      </c>
      <c r="B43" s="227" t="s">
        <v>161</v>
      </c>
      <c r="C43" s="227" t="s">
        <v>612</v>
      </c>
      <c r="D43" s="228">
        <v>850</v>
      </c>
      <c r="E43" s="228">
        <v>13</v>
      </c>
      <c r="F43" s="228">
        <v>684.75</v>
      </c>
      <c r="G43" s="228">
        <v>682</v>
      </c>
      <c r="H43" s="228">
        <v>2.75</v>
      </c>
      <c r="I43" s="229">
        <v>4.0000000000000001E-3</v>
      </c>
      <c r="J43" s="228">
        <v>685.6</v>
      </c>
      <c r="K43" s="228">
        <v>681.55</v>
      </c>
      <c r="L43" s="228">
        <v>4.05</v>
      </c>
      <c r="M43" s="229">
        <v>5.8999999999999999E-3</v>
      </c>
      <c r="N43" s="228">
        <v>684.75</v>
      </c>
      <c r="O43" s="228">
        <v>682</v>
      </c>
      <c r="P43" s="228">
        <v>2.75</v>
      </c>
      <c r="Q43" s="229">
        <v>4.0000000000000001E-3</v>
      </c>
      <c r="R43" s="228">
        <v>687.55</v>
      </c>
      <c r="S43" s="228">
        <v>685.2</v>
      </c>
      <c r="T43" s="228">
        <v>2.35</v>
      </c>
      <c r="U43" s="229">
        <v>3.3999999999999998E-3</v>
      </c>
      <c r="V43" s="228">
        <v>692.7</v>
      </c>
      <c r="W43" s="228">
        <v>688.1</v>
      </c>
      <c r="X43" s="228">
        <v>4.5999999999999996</v>
      </c>
      <c r="Y43" s="229">
        <v>6.7000000000000002E-3</v>
      </c>
      <c r="Z43" s="228">
        <v>-0.85</v>
      </c>
      <c r="AA43" s="228">
        <v>0.45</v>
      </c>
      <c r="AB43" s="228">
        <v>-1.3</v>
      </c>
      <c r="AC43" s="229">
        <v>-1.1999999999999999E-3</v>
      </c>
      <c r="AD43" s="228">
        <v>-0.85</v>
      </c>
      <c r="AE43" s="228">
        <v>0.45</v>
      </c>
      <c r="AF43" s="228">
        <v>-1.3</v>
      </c>
      <c r="AG43" s="229">
        <v>-1.1999999999999999E-3</v>
      </c>
      <c r="AH43" s="228">
        <v>1.95</v>
      </c>
      <c r="AI43" s="228">
        <v>3.65</v>
      </c>
      <c r="AJ43" s="228">
        <v>-1.7</v>
      </c>
      <c r="AK43" s="229">
        <v>2.8E-3</v>
      </c>
      <c r="AL43" s="228">
        <v>7.1</v>
      </c>
      <c r="AM43" s="228">
        <v>6.55</v>
      </c>
      <c r="AN43" s="228">
        <v>0.55000000000000004</v>
      </c>
      <c r="AO43" s="229">
        <v>1.04E-2</v>
      </c>
      <c r="AP43" s="228">
        <v>681.7</v>
      </c>
      <c r="AQ43" s="228">
        <v>683.56</v>
      </c>
      <c r="AR43" s="228">
        <v>0</v>
      </c>
      <c r="AS43" s="228">
        <v>145</v>
      </c>
      <c r="AT43" s="228">
        <v>198</v>
      </c>
      <c r="AU43" s="228">
        <v>-54</v>
      </c>
      <c r="AV43" s="229">
        <v>-0.27010000000000001</v>
      </c>
      <c r="AW43" s="228">
        <v>137</v>
      </c>
      <c r="AX43" s="228">
        <v>179</v>
      </c>
      <c r="AY43" s="228">
        <v>-42</v>
      </c>
      <c r="AZ43" s="229">
        <v>-0.2334</v>
      </c>
      <c r="BA43" s="228">
        <v>6</v>
      </c>
      <c r="BB43" s="228">
        <v>16</v>
      </c>
      <c r="BC43" s="228">
        <v>-9</v>
      </c>
      <c r="BD43" s="229">
        <v>-0.59699999999999998</v>
      </c>
      <c r="BE43" s="228">
        <v>1</v>
      </c>
      <c r="BF43" s="228">
        <v>3</v>
      </c>
      <c r="BG43" s="228">
        <v>-2</v>
      </c>
      <c r="BH43" s="229">
        <v>-0.70689999999999997</v>
      </c>
      <c r="BI43" s="228">
        <v>352</v>
      </c>
      <c r="BJ43" s="228">
        <v>568</v>
      </c>
      <c r="BK43" s="228">
        <v>-217</v>
      </c>
      <c r="BL43" s="229">
        <v>-0.38129999999999997</v>
      </c>
      <c r="BM43" s="228">
        <v>193</v>
      </c>
      <c r="BN43" s="228">
        <v>423</v>
      </c>
      <c r="BO43" s="228">
        <v>-230</v>
      </c>
      <c r="BP43" s="229">
        <v>-0.5444</v>
      </c>
      <c r="BQ43" s="228">
        <v>689</v>
      </c>
      <c r="BR43" s="230">
        <v>1189</v>
      </c>
      <c r="BS43" s="228">
        <v>-500</v>
      </c>
      <c r="BT43" s="229">
        <v>-0.42070000000000002</v>
      </c>
      <c r="BU43" s="230">
        <v>2210755</v>
      </c>
      <c r="BV43" s="230">
        <v>3653066</v>
      </c>
      <c r="BW43" s="230">
        <v>-1442311</v>
      </c>
      <c r="BX43" s="229">
        <v>-0.39479999999999998</v>
      </c>
      <c r="BY43" s="230">
        <v>1018</v>
      </c>
      <c r="BZ43" s="230">
        <v>1020</v>
      </c>
      <c r="CA43" s="228">
        <v>-1</v>
      </c>
      <c r="CB43" s="229">
        <v>-1.4E-3</v>
      </c>
      <c r="CC43" s="228">
        <v>980</v>
      </c>
      <c r="CD43" s="228">
        <v>982</v>
      </c>
      <c r="CE43" s="228">
        <v>-2</v>
      </c>
      <c r="CF43" s="229">
        <v>-2.0999999999999999E-3</v>
      </c>
      <c r="CG43" s="228">
        <v>35</v>
      </c>
      <c r="CH43" s="228">
        <v>35</v>
      </c>
      <c r="CI43" s="228">
        <v>0</v>
      </c>
      <c r="CJ43" s="229">
        <v>1.01E-2</v>
      </c>
      <c r="CK43" s="228">
        <v>3</v>
      </c>
      <c r="CL43" s="228">
        <v>3</v>
      </c>
      <c r="CM43" s="228">
        <v>0</v>
      </c>
      <c r="CN43" s="229">
        <v>8.5099999999999995E-2</v>
      </c>
      <c r="CO43" s="228">
        <v>515</v>
      </c>
      <c r="CP43" s="228">
        <v>546</v>
      </c>
      <c r="CQ43" s="228">
        <v>-31</v>
      </c>
      <c r="CR43" s="229">
        <v>-5.6000000000000001E-2</v>
      </c>
      <c r="CS43" s="228">
        <v>457</v>
      </c>
      <c r="CT43" s="228">
        <v>453</v>
      </c>
      <c r="CU43" s="228">
        <v>4</v>
      </c>
      <c r="CV43" s="229">
        <v>9.7999999999999997E-3</v>
      </c>
      <c r="CW43" s="230">
        <v>1990</v>
      </c>
      <c r="CX43" s="230">
        <v>2018</v>
      </c>
      <c r="CY43" s="228">
        <v>-28</v>
      </c>
      <c r="CZ43" s="229">
        <v>-1.37E-2</v>
      </c>
      <c r="DA43" s="228">
        <v>34.26</v>
      </c>
      <c r="DB43" s="228">
        <v>34.5</v>
      </c>
      <c r="DC43" s="228">
        <v>-0.24</v>
      </c>
      <c r="DD43" s="228">
        <v>-0.24</v>
      </c>
      <c r="DE43" s="228">
        <v>42.01</v>
      </c>
      <c r="DF43" s="228">
        <v>42.11</v>
      </c>
      <c r="DG43" s="228">
        <v>-7.75</v>
      </c>
      <c r="DH43" s="228">
        <v>-0.1</v>
      </c>
      <c r="DI43" s="228">
        <v>32.57</v>
      </c>
      <c r="DJ43" s="228">
        <v>33.31</v>
      </c>
      <c r="DK43" s="228">
        <v>-0.74</v>
      </c>
      <c r="DL43" s="228">
        <v>-0.74</v>
      </c>
      <c r="DM43" s="228">
        <v>37.35</v>
      </c>
      <c r="DN43" s="228">
        <v>36.090000000000003</v>
      </c>
      <c r="DO43" s="228">
        <v>1.26</v>
      </c>
      <c r="DP43" s="228">
        <v>1.26</v>
      </c>
      <c r="DQ43" s="228">
        <v>0.89</v>
      </c>
      <c r="DR43" s="228">
        <v>0.83</v>
      </c>
      <c r="DS43" s="228">
        <v>0.06</v>
      </c>
      <c r="DT43" s="229">
        <v>7.2300000000000003E-2</v>
      </c>
      <c r="DU43" s="228">
        <v>700</v>
      </c>
      <c r="DV43" s="228">
        <v>650</v>
      </c>
      <c r="DW43" s="228">
        <v>0.55000000000000004</v>
      </c>
      <c r="DX43" s="228">
        <v>0.74</v>
      </c>
      <c r="DY43" s="228">
        <v>-0.19</v>
      </c>
      <c r="DZ43" s="229">
        <v>-0.25679999999999997</v>
      </c>
      <c r="EA43" s="229">
        <v>3.73E-2</v>
      </c>
      <c r="EB43" s="230">
        <v>546550</v>
      </c>
      <c r="EC43" s="229">
        <v>4.1000000000000003E-3</v>
      </c>
      <c r="ED43" s="229">
        <v>3.73E-2</v>
      </c>
      <c r="EE43" s="228">
        <v>1.86</v>
      </c>
      <c r="EF43" s="229">
        <v>2.7000000000000001E-3</v>
      </c>
      <c r="EG43" s="230">
        <v>1260231</v>
      </c>
      <c r="EH43" s="230">
        <v>1862221</v>
      </c>
      <c r="EI43" s="229">
        <v>-0.32329999999999998</v>
      </c>
      <c r="EJ43" s="229">
        <v>0.56999999999999995</v>
      </c>
      <c r="EK43" s="228">
        <v>364.19</v>
      </c>
      <c r="EL43" s="228">
        <v>184.82</v>
      </c>
      <c r="EM43" s="228">
        <v>144.08000000000001</v>
      </c>
      <c r="EN43" s="228">
        <v>36.880000000000003</v>
      </c>
      <c r="EO43" s="228">
        <v>693.08</v>
      </c>
      <c r="EP43" s="231">
        <v>1197.6400000000001</v>
      </c>
      <c r="EQ43" s="228">
        <v>-504.56</v>
      </c>
      <c r="ER43" s="229">
        <v>-0.42130000000000001</v>
      </c>
      <c r="ES43" s="228">
        <v>498.09</v>
      </c>
      <c r="ET43" s="228">
        <v>405.07</v>
      </c>
      <c r="EU43" s="231">
        <v>1018.45</v>
      </c>
      <c r="EV43" s="231">
        <v>103060454</v>
      </c>
      <c r="EW43" s="231">
        <v>1921.61</v>
      </c>
      <c r="EX43" s="231">
        <v>1943.93</v>
      </c>
      <c r="EY43" s="228">
        <v>-22.32</v>
      </c>
      <c r="EZ43" s="229">
        <v>-1.15E-2</v>
      </c>
      <c r="FA43" s="229">
        <v>0.28199999999999997</v>
      </c>
      <c r="FB43" s="227" t="s">
        <v>556</v>
      </c>
      <c r="FC43">
        <f t="shared" si="0"/>
        <v>38</v>
      </c>
    </row>
    <row r="44" spans="1:159" ht="17.25" hidden="1" thickBot="1" x14ac:dyDescent="0.3">
      <c r="A44" s="226">
        <v>46064</v>
      </c>
      <c r="B44" s="227" t="s">
        <v>175</v>
      </c>
      <c r="C44" s="227" t="s">
        <v>198</v>
      </c>
      <c r="D44" s="228">
        <v>625</v>
      </c>
      <c r="E44" s="228">
        <v>13</v>
      </c>
      <c r="F44" s="231">
        <v>1724.6</v>
      </c>
      <c r="G44" s="231">
        <v>1731.9</v>
      </c>
      <c r="H44" s="228">
        <v>-7.3</v>
      </c>
      <c r="I44" s="229">
        <v>-4.1999999999999997E-3</v>
      </c>
      <c r="J44" s="231">
        <v>1723</v>
      </c>
      <c r="K44" s="231">
        <v>1726.2</v>
      </c>
      <c r="L44" s="228">
        <v>-3.2</v>
      </c>
      <c r="M44" s="229">
        <v>-1.9E-3</v>
      </c>
      <c r="N44" s="231">
        <v>1724.6</v>
      </c>
      <c r="O44" s="231">
        <v>1731.9</v>
      </c>
      <c r="P44" s="228">
        <v>-7.3</v>
      </c>
      <c r="Q44" s="229">
        <v>-4.1999999999999997E-3</v>
      </c>
      <c r="R44" s="231">
        <v>1731.4</v>
      </c>
      <c r="S44" s="231">
        <v>1739.6</v>
      </c>
      <c r="T44" s="228">
        <v>-8.1999999999999993</v>
      </c>
      <c r="U44" s="229">
        <v>-4.7000000000000002E-3</v>
      </c>
      <c r="V44" s="231">
        <v>1750</v>
      </c>
      <c r="W44" s="231">
        <v>1746.5</v>
      </c>
      <c r="X44" s="228">
        <v>3.5</v>
      </c>
      <c r="Y44" s="229">
        <v>2E-3</v>
      </c>
      <c r="Z44" s="228">
        <v>1.6</v>
      </c>
      <c r="AA44" s="228">
        <v>5.7</v>
      </c>
      <c r="AB44" s="228">
        <v>-4.0999999999999996</v>
      </c>
      <c r="AC44" s="229">
        <v>8.9999999999999998E-4</v>
      </c>
      <c r="AD44" s="228">
        <v>1.6</v>
      </c>
      <c r="AE44" s="228">
        <v>5.7</v>
      </c>
      <c r="AF44" s="228">
        <v>-4.0999999999999996</v>
      </c>
      <c r="AG44" s="229">
        <v>8.9999999999999998E-4</v>
      </c>
      <c r="AH44" s="228">
        <v>8.4</v>
      </c>
      <c r="AI44" s="228">
        <v>13.4</v>
      </c>
      <c r="AJ44" s="228">
        <v>-5</v>
      </c>
      <c r="AK44" s="229">
        <v>4.8999999999999998E-3</v>
      </c>
      <c r="AL44" s="228">
        <v>27</v>
      </c>
      <c r="AM44" s="228">
        <v>20.3</v>
      </c>
      <c r="AN44" s="228">
        <v>6.7</v>
      </c>
      <c r="AO44" s="229">
        <v>1.5699999999999999E-2</v>
      </c>
      <c r="AP44" s="231">
        <v>1727.66</v>
      </c>
      <c r="AQ44" s="231">
        <v>1735.98</v>
      </c>
      <c r="AR44" s="228">
        <v>0</v>
      </c>
      <c r="AS44" s="228">
        <v>163</v>
      </c>
      <c r="AT44" s="228">
        <v>301</v>
      </c>
      <c r="AU44" s="228">
        <v>-137</v>
      </c>
      <c r="AV44" s="229">
        <v>-0.45700000000000002</v>
      </c>
      <c r="AW44" s="228">
        <v>155</v>
      </c>
      <c r="AX44" s="228">
        <v>280</v>
      </c>
      <c r="AY44" s="228">
        <v>-125</v>
      </c>
      <c r="AZ44" s="229">
        <v>-0.44729999999999998</v>
      </c>
      <c r="BA44" s="228">
        <v>8</v>
      </c>
      <c r="BB44" s="228">
        <v>19</v>
      </c>
      <c r="BC44" s="228">
        <v>-11</v>
      </c>
      <c r="BD44" s="229">
        <v>-0.56899999999999995</v>
      </c>
      <c r="BE44" s="228">
        <v>0</v>
      </c>
      <c r="BF44" s="228">
        <v>2</v>
      </c>
      <c r="BG44" s="228">
        <v>-1</v>
      </c>
      <c r="BH44" s="229">
        <v>-0.8125</v>
      </c>
      <c r="BI44" s="228">
        <v>310</v>
      </c>
      <c r="BJ44" s="228">
        <v>641</v>
      </c>
      <c r="BK44" s="228">
        <v>-331</v>
      </c>
      <c r="BL44" s="229">
        <v>-0.51659999999999995</v>
      </c>
      <c r="BM44" s="228">
        <v>174</v>
      </c>
      <c r="BN44" s="228">
        <v>536</v>
      </c>
      <c r="BO44" s="228">
        <v>-363</v>
      </c>
      <c r="BP44" s="229">
        <v>-0.67589999999999995</v>
      </c>
      <c r="BQ44" s="228">
        <v>647</v>
      </c>
      <c r="BR44" s="230">
        <v>1478</v>
      </c>
      <c r="BS44" s="228">
        <v>-831</v>
      </c>
      <c r="BT44" s="229">
        <v>-0.56230000000000002</v>
      </c>
      <c r="BU44" s="230">
        <v>332847</v>
      </c>
      <c r="BV44" s="230">
        <v>1182720</v>
      </c>
      <c r="BW44" s="230">
        <v>-849873</v>
      </c>
      <c r="BX44" s="229">
        <v>-0.71860000000000002</v>
      </c>
      <c r="BY44" s="230">
        <v>2243</v>
      </c>
      <c r="BZ44" s="230">
        <v>2270</v>
      </c>
      <c r="CA44" s="228">
        <v>-27</v>
      </c>
      <c r="CB44" s="229">
        <v>-1.1900000000000001E-2</v>
      </c>
      <c r="CC44" s="230">
        <v>2206</v>
      </c>
      <c r="CD44" s="230">
        <v>2235</v>
      </c>
      <c r="CE44" s="228">
        <v>-29</v>
      </c>
      <c r="CF44" s="229">
        <v>-1.3100000000000001E-2</v>
      </c>
      <c r="CG44" s="228">
        <v>34</v>
      </c>
      <c r="CH44" s="228">
        <v>31</v>
      </c>
      <c r="CI44" s="228">
        <v>2</v>
      </c>
      <c r="CJ44" s="229">
        <v>7.1900000000000006E-2</v>
      </c>
      <c r="CK44" s="228">
        <v>3</v>
      </c>
      <c r="CL44" s="228">
        <v>3</v>
      </c>
      <c r="CM44" s="228">
        <v>0</v>
      </c>
      <c r="CN44" s="229">
        <v>0</v>
      </c>
      <c r="CO44" s="228">
        <v>564</v>
      </c>
      <c r="CP44" s="228">
        <v>552</v>
      </c>
      <c r="CQ44" s="228">
        <v>12</v>
      </c>
      <c r="CR44" s="229">
        <v>2.1499999999999998E-2</v>
      </c>
      <c r="CS44" s="228">
        <v>497</v>
      </c>
      <c r="CT44" s="228">
        <v>504</v>
      </c>
      <c r="CU44" s="228">
        <v>-6</v>
      </c>
      <c r="CV44" s="229">
        <v>-1.2200000000000001E-2</v>
      </c>
      <c r="CW44" s="230">
        <v>3304</v>
      </c>
      <c r="CX44" s="230">
        <v>3325</v>
      </c>
      <c r="CY44" s="228">
        <v>-21</v>
      </c>
      <c r="CZ44" s="229">
        <v>-6.4000000000000003E-3</v>
      </c>
      <c r="DA44" s="228">
        <v>27.09</v>
      </c>
      <c r="DB44" s="228">
        <v>27.71</v>
      </c>
      <c r="DC44" s="228">
        <v>-0.62</v>
      </c>
      <c r="DD44" s="228">
        <v>-0.62</v>
      </c>
      <c r="DE44" s="228">
        <v>37.479999999999997</v>
      </c>
      <c r="DF44" s="228">
        <v>37.57</v>
      </c>
      <c r="DG44" s="228">
        <v>-10.39</v>
      </c>
      <c r="DH44" s="228">
        <v>-0.09</v>
      </c>
      <c r="DI44" s="228">
        <v>26.39</v>
      </c>
      <c r="DJ44" s="228">
        <v>26.83</v>
      </c>
      <c r="DK44" s="228">
        <v>-0.44</v>
      </c>
      <c r="DL44" s="228">
        <v>-0.44</v>
      </c>
      <c r="DM44" s="228">
        <v>28.34</v>
      </c>
      <c r="DN44" s="228">
        <v>28.77</v>
      </c>
      <c r="DO44" s="228">
        <v>-0.43</v>
      </c>
      <c r="DP44" s="228">
        <v>-0.43</v>
      </c>
      <c r="DQ44" s="228">
        <v>0.88</v>
      </c>
      <c r="DR44" s="228">
        <v>0.91</v>
      </c>
      <c r="DS44" s="228">
        <v>-0.03</v>
      </c>
      <c r="DT44" s="229">
        <v>-3.3000000000000002E-2</v>
      </c>
      <c r="DU44" s="231">
        <v>1840</v>
      </c>
      <c r="DV44" s="231">
        <v>1700</v>
      </c>
      <c r="DW44" s="228">
        <v>0.56000000000000005</v>
      </c>
      <c r="DX44" s="228">
        <v>0.84</v>
      </c>
      <c r="DY44" s="228">
        <v>-0.28000000000000003</v>
      </c>
      <c r="DZ44" s="229">
        <v>-0.33329999999999999</v>
      </c>
      <c r="EA44" s="229">
        <v>1.6400000000000001E-2</v>
      </c>
      <c r="EB44" s="230">
        <v>200625</v>
      </c>
      <c r="EC44" s="229">
        <v>3.8999999999999998E-3</v>
      </c>
      <c r="ED44" s="229">
        <v>1.6400000000000001E-2</v>
      </c>
      <c r="EE44" s="228">
        <v>8.32</v>
      </c>
      <c r="EF44" s="229">
        <v>4.7999999999999996E-3</v>
      </c>
      <c r="EG44" s="230">
        <v>169389</v>
      </c>
      <c r="EH44" s="230">
        <v>798063</v>
      </c>
      <c r="EI44" s="229">
        <v>-0.78769999999999996</v>
      </c>
      <c r="EJ44" s="229">
        <v>0.50890000000000002</v>
      </c>
      <c r="EK44" s="228">
        <v>324.69</v>
      </c>
      <c r="EL44" s="228">
        <v>170.85</v>
      </c>
      <c r="EM44" s="228">
        <v>163.52000000000001</v>
      </c>
      <c r="EN44" s="228">
        <v>34.86</v>
      </c>
      <c r="EO44" s="228">
        <v>659.06</v>
      </c>
      <c r="EP44" s="231">
        <v>1507.53</v>
      </c>
      <c r="EQ44" s="228">
        <v>-848.47</v>
      </c>
      <c r="ER44" s="229">
        <v>-0.56279999999999997</v>
      </c>
      <c r="ES44" s="228">
        <v>575.14</v>
      </c>
      <c r="ET44" s="228">
        <v>468.6</v>
      </c>
      <c r="EU44" s="231">
        <v>2242.91</v>
      </c>
      <c r="EV44" s="231">
        <v>63257923</v>
      </c>
      <c r="EW44" s="231">
        <v>3286.65</v>
      </c>
      <c r="EX44" s="231">
        <v>3317.42</v>
      </c>
      <c r="EY44" s="228">
        <v>-30.77</v>
      </c>
      <c r="EZ44" s="229">
        <v>-9.2999999999999992E-3</v>
      </c>
      <c r="FA44" s="229">
        <v>0.3029</v>
      </c>
      <c r="FB44" s="227" t="s">
        <v>568</v>
      </c>
      <c r="FC44">
        <f t="shared" si="0"/>
        <v>37</v>
      </c>
    </row>
    <row r="45" spans="1:159" ht="17.25" hidden="1" thickBot="1" x14ac:dyDescent="0.3">
      <c r="A45" s="226">
        <v>46064</v>
      </c>
      <c r="B45" s="227" t="s">
        <v>170</v>
      </c>
      <c r="C45" s="227" t="s">
        <v>199</v>
      </c>
      <c r="D45" s="228">
        <v>375</v>
      </c>
      <c r="E45" s="228">
        <v>13</v>
      </c>
      <c r="F45" s="231">
        <v>1350.8</v>
      </c>
      <c r="G45" s="231">
        <v>1346.3</v>
      </c>
      <c r="H45" s="228">
        <v>4.5</v>
      </c>
      <c r="I45" s="229">
        <v>3.3E-3</v>
      </c>
      <c r="J45" s="231">
        <v>1349.9</v>
      </c>
      <c r="K45" s="231">
        <v>1342.1</v>
      </c>
      <c r="L45" s="228">
        <v>7.8</v>
      </c>
      <c r="M45" s="229">
        <v>5.7999999999999996E-3</v>
      </c>
      <c r="N45" s="231">
        <v>1350.8</v>
      </c>
      <c r="O45" s="231">
        <v>1346.3</v>
      </c>
      <c r="P45" s="228">
        <v>4.5</v>
      </c>
      <c r="Q45" s="229">
        <v>3.3E-3</v>
      </c>
      <c r="R45" s="231">
        <v>1360.2</v>
      </c>
      <c r="S45" s="231">
        <v>1354.6</v>
      </c>
      <c r="T45" s="228">
        <v>5.6</v>
      </c>
      <c r="U45" s="229">
        <v>4.1000000000000003E-3</v>
      </c>
      <c r="V45" s="231">
        <v>1368.2</v>
      </c>
      <c r="W45" s="231">
        <v>1362.5</v>
      </c>
      <c r="X45" s="228">
        <v>5.7</v>
      </c>
      <c r="Y45" s="229">
        <v>4.1999999999999997E-3</v>
      </c>
      <c r="Z45" s="228">
        <v>0.9</v>
      </c>
      <c r="AA45" s="228">
        <v>4.2</v>
      </c>
      <c r="AB45" s="228">
        <v>-3.3</v>
      </c>
      <c r="AC45" s="229">
        <v>6.9999999999999999E-4</v>
      </c>
      <c r="AD45" s="228">
        <v>0.9</v>
      </c>
      <c r="AE45" s="228">
        <v>4.2</v>
      </c>
      <c r="AF45" s="228">
        <v>-3.3</v>
      </c>
      <c r="AG45" s="229">
        <v>6.9999999999999999E-4</v>
      </c>
      <c r="AH45" s="228">
        <v>10.3</v>
      </c>
      <c r="AI45" s="228">
        <v>12.5</v>
      </c>
      <c r="AJ45" s="228">
        <v>-2.2000000000000002</v>
      </c>
      <c r="AK45" s="229">
        <v>7.6E-3</v>
      </c>
      <c r="AL45" s="228">
        <v>18.3</v>
      </c>
      <c r="AM45" s="228">
        <v>20.399999999999999</v>
      </c>
      <c r="AN45" s="228">
        <v>-2.1</v>
      </c>
      <c r="AO45" s="229">
        <v>1.3599999999999999E-2</v>
      </c>
      <c r="AP45" s="231">
        <v>1348.75</v>
      </c>
      <c r="AQ45" s="231">
        <v>1357.54</v>
      </c>
      <c r="AR45" s="228">
        <v>0</v>
      </c>
      <c r="AS45" s="228">
        <v>106</v>
      </c>
      <c r="AT45" s="228">
        <v>179</v>
      </c>
      <c r="AU45" s="228">
        <v>-74</v>
      </c>
      <c r="AV45" s="229">
        <v>-0.41149999999999998</v>
      </c>
      <c r="AW45" s="228">
        <v>92</v>
      </c>
      <c r="AX45" s="228">
        <v>163</v>
      </c>
      <c r="AY45" s="228">
        <v>-70</v>
      </c>
      <c r="AZ45" s="229">
        <v>-0.43230000000000002</v>
      </c>
      <c r="BA45" s="228">
        <v>11</v>
      </c>
      <c r="BB45" s="228">
        <v>15</v>
      </c>
      <c r="BC45" s="228">
        <v>-3</v>
      </c>
      <c r="BD45" s="229">
        <v>-0.2253</v>
      </c>
      <c r="BE45" s="228">
        <v>2</v>
      </c>
      <c r="BF45" s="228">
        <v>2</v>
      </c>
      <c r="BG45" s="228">
        <v>0</v>
      </c>
      <c r="BH45" s="229">
        <v>-8.1100000000000005E-2</v>
      </c>
      <c r="BI45" s="228">
        <v>568</v>
      </c>
      <c r="BJ45" s="230">
        <v>1253</v>
      </c>
      <c r="BK45" s="228">
        <v>-685</v>
      </c>
      <c r="BL45" s="229">
        <v>-0.54679999999999995</v>
      </c>
      <c r="BM45" s="228">
        <v>206</v>
      </c>
      <c r="BN45" s="228">
        <v>393</v>
      </c>
      <c r="BO45" s="228">
        <v>-187</v>
      </c>
      <c r="BP45" s="229">
        <v>-0.4763</v>
      </c>
      <c r="BQ45" s="228">
        <v>879</v>
      </c>
      <c r="BR45" s="230">
        <v>1826</v>
      </c>
      <c r="BS45" s="228">
        <v>-946</v>
      </c>
      <c r="BT45" s="229">
        <v>-0.51829999999999998</v>
      </c>
      <c r="BU45" s="230">
        <v>871586</v>
      </c>
      <c r="BV45" s="230">
        <v>1079464</v>
      </c>
      <c r="BW45" s="230">
        <v>-207878</v>
      </c>
      <c r="BX45" s="229">
        <v>-0.19259999999999999</v>
      </c>
      <c r="BY45" s="230">
        <v>1914</v>
      </c>
      <c r="BZ45" s="230">
        <v>1931</v>
      </c>
      <c r="CA45" s="228">
        <v>-18</v>
      </c>
      <c r="CB45" s="229">
        <v>-9.1000000000000004E-3</v>
      </c>
      <c r="CC45" s="230">
        <v>1838</v>
      </c>
      <c r="CD45" s="230">
        <v>1857</v>
      </c>
      <c r="CE45" s="228">
        <v>-19</v>
      </c>
      <c r="CF45" s="229">
        <v>-1.01E-2</v>
      </c>
      <c r="CG45" s="228">
        <v>70</v>
      </c>
      <c r="CH45" s="228">
        <v>69</v>
      </c>
      <c r="CI45" s="228">
        <v>1</v>
      </c>
      <c r="CJ45" s="229">
        <v>1.4E-2</v>
      </c>
      <c r="CK45" s="228">
        <v>6</v>
      </c>
      <c r="CL45" s="228">
        <v>6</v>
      </c>
      <c r="CM45" s="228">
        <v>0</v>
      </c>
      <c r="CN45" s="229">
        <v>3.6400000000000002E-2</v>
      </c>
      <c r="CO45" s="228">
        <v>893</v>
      </c>
      <c r="CP45" s="228">
        <v>903</v>
      </c>
      <c r="CQ45" s="228">
        <v>-10</v>
      </c>
      <c r="CR45" s="229">
        <v>-1.12E-2</v>
      </c>
      <c r="CS45" s="228">
        <v>560</v>
      </c>
      <c r="CT45" s="228">
        <v>560</v>
      </c>
      <c r="CU45" s="228">
        <v>0</v>
      </c>
      <c r="CV45" s="229">
        <v>8.0000000000000004E-4</v>
      </c>
      <c r="CW45" s="230">
        <v>3367</v>
      </c>
      <c r="CX45" s="230">
        <v>3394</v>
      </c>
      <c r="CY45" s="228">
        <v>-27</v>
      </c>
      <c r="CZ45" s="229">
        <v>-8.0000000000000002E-3</v>
      </c>
      <c r="DA45" s="228">
        <v>21.69</v>
      </c>
      <c r="DB45" s="228">
        <v>21.71</v>
      </c>
      <c r="DC45" s="228">
        <v>-0.02</v>
      </c>
      <c r="DD45" s="228">
        <v>-0.02</v>
      </c>
      <c r="DE45" s="228">
        <v>25.49</v>
      </c>
      <c r="DF45" s="228">
        <v>25.55</v>
      </c>
      <c r="DG45" s="228">
        <v>-3.8</v>
      </c>
      <c r="DH45" s="228">
        <v>-0.06</v>
      </c>
      <c r="DI45" s="228">
        <v>21.6</v>
      </c>
      <c r="DJ45" s="228">
        <v>21.49</v>
      </c>
      <c r="DK45" s="228">
        <v>0.11</v>
      </c>
      <c r="DL45" s="228">
        <v>0.11</v>
      </c>
      <c r="DM45" s="228">
        <v>21.96</v>
      </c>
      <c r="DN45" s="228">
        <v>22.43</v>
      </c>
      <c r="DO45" s="228">
        <v>-0.47</v>
      </c>
      <c r="DP45" s="228">
        <v>-0.47</v>
      </c>
      <c r="DQ45" s="228">
        <v>0.63</v>
      </c>
      <c r="DR45" s="228">
        <v>0.62</v>
      </c>
      <c r="DS45" s="228">
        <v>0.01</v>
      </c>
      <c r="DT45" s="229">
        <v>1.61E-2</v>
      </c>
      <c r="DU45" s="231">
        <v>1400</v>
      </c>
      <c r="DV45" s="231">
        <v>1300</v>
      </c>
      <c r="DW45" s="228">
        <v>0.36</v>
      </c>
      <c r="DX45" s="228">
        <v>0.31</v>
      </c>
      <c r="DY45" s="228">
        <v>0.05</v>
      </c>
      <c r="DZ45" s="229">
        <v>0.1613</v>
      </c>
      <c r="EA45" s="229">
        <v>3.9399999999999998E-2</v>
      </c>
      <c r="EB45" s="230">
        <v>549000</v>
      </c>
      <c r="EC45" s="229">
        <v>7.0000000000000001E-3</v>
      </c>
      <c r="ED45" s="229">
        <v>3.9399999999999998E-2</v>
      </c>
      <c r="EE45" s="228">
        <v>8.7899999999999991</v>
      </c>
      <c r="EF45" s="229">
        <v>6.4999999999999997E-3</v>
      </c>
      <c r="EG45" s="230">
        <v>437513</v>
      </c>
      <c r="EH45" s="230">
        <v>464554</v>
      </c>
      <c r="EI45" s="229">
        <v>-5.8200000000000002E-2</v>
      </c>
      <c r="EJ45" s="229">
        <v>0.502</v>
      </c>
      <c r="EK45" s="228">
        <v>583.92999999999995</v>
      </c>
      <c r="EL45" s="228">
        <v>203.86</v>
      </c>
      <c r="EM45" s="228">
        <v>105.55</v>
      </c>
      <c r="EN45" s="228">
        <v>36.44</v>
      </c>
      <c r="EO45" s="228">
        <v>893.34</v>
      </c>
      <c r="EP45" s="231">
        <v>1852.52</v>
      </c>
      <c r="EQ45" s="228">
        <v>-959.18</v>
      </c>
      <c r="ER45" s="229">
        <v>-0.51780000000000004</v>
      </c>
      <c r="ES45" s="228">
        <v>927.88</v>
      </c>
      <c r="ET45" s="228">
        <v>543.45000000000005</v>
      </c>
      <c r="EU45" s="231">
        <v>1914.35</v>
      </c>
      <c r="EV45" s="231">
        <v>59297360</v>
      </c>
      <c r="EW45" s="231">
        <v>3385.68</v>
      </c>
      <c r="EX45" s="231">
        <v>3405.68</v>
      </c>
      <c r="EY45" s="228">
        <v>-20</v>
      </c>
      <c r="EZ45" s="229">
        <v>-5.8999999999999999E-3</v>
      </c>
      <c r="FA45" s="229">
        <v>0.42030000000000001</v>
      </c>
      <c r="FB45" s="227" t="s">
        <v>556</v>
      </c>
      <c r="FC45">
        <f t="shared" si="0"/>
        <v>76</v>
      </c>
    </row>
    <row r="46" spans="1:159" ht="17.25" hidden="1" thickBot="1" x14ac:dyDescent="0.3">
      <c r="A46" s="226">
        <v>46064</v>
      </c>
      <c r="B46" s="227" t="s">
        <v>227</v>
      </c>
      <c r="C46" s="227" t="s">
        <v>200</v>
      </c>
      <c r="D46" s="228">
        <v>1350</v>
      </c>
      <c r="E46" s="228">
        <v>13</v>
      </c>
      <c r="F46" s="228">
        <v>417.5</v>
      </c>
      <c r="G46" s="228">
        <v>427.35</v>
      </c>
      <c r="H46" s="228">
        <v>-9.85</v>
      </c>
      <c r="I46" s="229">
        <v>-2.3E-2</v>
      </c>
      <c r="J46" s="228">
        <v>423.25</v>
      </c>
      <c r="K46" s="228">
        <v>430.95</v>
      </c>
      <c r="L46" s="228">
        <v>-7.7</v>
      </c>
      <c r="M46" s="229">
        <v>-1.7899999999999999E-2</v>
      </c>
      <c r="N46" s="228">
        <v>417.5</v>
      </c>
      <c r="O46" s="228">
        <v>427.35</v>
      </c>
      <c r="P46" s="228">
        <v>-9.85</v>
      </c>
      <c r="Q46" s="229">
        <v>-2.3E-2</v>
      </c>
      <c r="R46" s="228">
        <v>420.35</v>
      </c>
      <c r="S46" s="228">
        <v>430.05</v>
      </c>
      <c r="T46" s="228">
        <v>-9.6999999999999993</v>
      </c>
      <c r="U46" s="229">
        <v>-2.2599999999999999E-2</v>
      </c>
      <c r="V46" s="228">
        <v>422.85</v>
      </c>
      <c r="W46" s="228">
        <v>432.7</v>
      </c>
      <c r="X46" s="228">
        <v>-9.85</v>
      </c>
      <c r="Y46" s="229">
        <v>-2.2800000000000001E-2</v>
      </c>
      <c r="Z46" s="228">
        <v>-5.75</v>
      </c>
      <c r="AA46" s="228">
        <v>-3.6</v>
      </c>
      <c r="AB46" s="228">
        <v>-2.15</v>
      </c>
      <c r="AC46" s="229">
        <v>-1.3599999999999999E-2</v>
      </c>
      <c r="AD46" s="228">
        <v>-5.75</v>
      </c>
      <c r="AE46" s="228">
        <v>-3.6</v>
      </c>
      <c r="AF46" s="228">
        <v>-2.15</v>
      </c>
      <c r="AG46" s="229">
        <v>-1.3599999999999999E-2</v>
      </c>
      <c r="AH46" s="228">
        <v>-2.9</v>
      </c>
      <c r="AI46" s="228">
        <v>-0.9</v>
      </c>
      <c r="AJ46" s="228">
        <v>-2</v>
      </c>
      <c r="AK46" s="229">
        <v>-6.8999999999999999E-3</v>
      </c>
      <c r="AL46" s="228">
        <v>-0.4</v>
      </c>
      <c r="AM46" s="228">
        <v>1.75</v>
      </c>
      <c r="AN46" s="228">
        <v>-2.15</v>
      </c>
      <c r="AO46" s="229">
        <v>-8.9999999999999998E-4</v>
      </c>
      <c r="AP46" s="228">
        <v>417.61</v>
      </c>
      <c r="AQ46" s="228">
        <v>420.23</v>
      </c>
      <c r="AR46" s="228">
        <v>0</v>
      </c>
      <c r="AS46" s="228">
        <v>330</v>
      </c>
      <c r="AT46" s="228">
        <v>203</v>
      </c>
      <c r="AU46" s="228">
        <v>127</v>
      </c>
      <c r="AV46" s="229">
        <v>0.62870000000000004</v>
      </c>
      <c r="AW46" s="228">
        <v>291</v>
      </c>
      <c r="AX46" s="228">
        <v>182</v>
      </c>
      <c r="AY46" s="228">
        <v>108</v>
      </c>
      <c r="AZ46" s="229">
        <v>0.59470000000000001</v>
      </c>
      <c r="BA46" s="228">
        <v>35</v>
      </c>
      <c r="BB46" s="228">
        <v>18</v>
      </c>
      <c r="BC46" s="228">
        <v>17</v>
      </c>
      <c r="BD46" s="229">
        <v>0.90549999999999997</v>
      </c>
      <c r="BE46" s="228">
        <v>4</v>
      </c>
      <c r="BF46" s="228">
        <v>2</v>
      </c>
      <c r="BG46" s="228">
        <v>2</v>
      </c>
      <c r="BH46" s="229">
        <v>1.2121</v>
      </c>
      <c r="BI46" s="230">
        <v>1691</v>
      </c>
      <c r="BJ46" s="228">
        <v>711</v>
      </c>
      <c r="BK46" s="228">
        <v>980</v>
      </c>
      <c r="BL46" s="229">
        <v>1.3792</v>
      </c>
      <c r="BM46" s="228">
        <v>786</v>
      </c>
      <c r="BN46" s="228">
        <v>227</v>
      </c>
      <c r="BO46" s="228">
        <v>559</v>
      </c>
      <c r="BP46" s="229">
        <v>2.4653</v>
      </c>
      <c r="BQ46" s="230">
        <v>2808</v>
      </c>
      <c r="BR46" s="230">
        <v>1140</v>
      </c>
      <c r="BS46" s="230">
        <v>1667</v>
      </c>
      <c r="BT46" s="229">
        <v>1.4618</v>
      </c>
      <c r="BU46" s="230">
        <v>6334113</v>
      </c>
      <c r="BV46" s="230">
        <v>5251206</v>
      </c>
      <c r="BW46" s="230">
        <v>1082907</v>
      </c>
      <c r="BX46" s="229">
        <v>0.20619999999999999</v>
      </c>
      <c r="BY46" s="230">
        <v>2097</v>
      </c>
      <c r="BZ46" s="230">
        <v>2020</v>
      </c>
      <c r="CA46" s="228">
        <v>77</v>
      </c>
      <c r="CB46" s="229">
        <v>3.7999999999999999E-2</v>
      </c>
      <c r="CC46" s="230">
        <v>2005</v>
      </c>
      <c r="CD46" s="230">
        <v>1941</v>
      </c>
      <c r="CE46" s="228">
        <v>65</v>
      </c>
      <c r="CF46" s="229">
        <v>3.3500000000000002E-2</v>
      </c>
      <c r="CG46" s="228">
        <v>79</v>
      </c>
      <c r="CH46" s="228">
        <v>68</v>
      </c>
      <c r="CI46" s="228">
        <v>10</v>
      </c>
      <c r="CJ46" s="229">
        <v>0.15290000000000001</v>
      </c>
      <c r="CK46" s="228">
        <v>13</v>
      </c>
      <c r="CL46" s="228">
        <v>11</v>
      </c>
      <c r="CM46" s="228">
        <v>1</v>
      </c>
      <c r="CN46" s="229">
        <v>0.12379999999999999</v>
      </c>
      <c r="CO46" s="230">
        <v>1857</v>
      </c>
      <c r="CP46" s="230">
        <v>1810</v>
      </c>
      <c r="CQ46" s="228">
        <v>47</v>
      </c>
      <c r="CR46" s="229">
        <v>2.6200000000000001E-2</v>
      </c>
      <c r="CS46" s="228">
        <v>939</v>
      </c>
      <c r="CT46" s="228">
        <v>899</v>
      </c>
      <c r="CU46" s="228">
        <v>40</v>
      </c>
      <c r="CV46" s="229">
        <v>4.48E-2</v>
      </c>
      <c r="CW46" s="230">
        <v>4893</v>
      </c>
      <c r="CX46" s="230">
        <v>4728</v>
      </c>
      <c r="CY46" s="228">
        <v>164</v>
      </c>
      <c r="CZ46" s="229">
        <v>3.4799999999999998E-2</v>
      </c>
      <c r="DA46" s="228">
        <v>32.44</v>
      </c>
      <c r="DB46" s="228">
        <v>30.35</v>
      </c>
      <c r="DC46" s="228">
        <v>2.09</v>
      </c>
      <c r="DD46" s="228">
        <v>2.09</v>
      </c>
      <c r="DE46" s="228">
        <v>29.8</v>
      </c>
      <c r="DF46" s="228">
        <v>29.71</v>
      </c>
      <c r="DG46" s="228">
        <v>2.64</v>
      </c>
      <c r="DH46" s="228">
        <v>0.09</v>
      </c>
      <c r="DI46" s="228">
        <v>33.47</v>
      </c>
      <c r="DJ46" s="228">
        <v>30.65</v>
      </c>
      <c r="DK46" s="228">
        <v>2.82</v>
      </c>
      <c r="DL46" s="228">
        <v>2.82</v>
      </c>
      <c r="DM46" s="228">
        <v>30.23</v>
      </c>
      <c r="DN46" s="228">
        <v>29.43</v>
      </c>
      <c r="DO46" s="228">
        <v>0.8</v>
      </c>
      <c r="DP46" s="228">
        <v>0.8</v>
      </c>
      <c r="DQ46" s="228">
        <v>0.51</v>
      </c>
      <c r="DR46" s="228">
        <v>0.5</v>
      </c>
      <c r="DS46" s="228">
        <v>0.01</v>
      </c>
      <c r="DT46" s="229">
        <v>0.02</v>
      </c>
      <c r="DU46" s="228">
        <v>440</v>
      </c>
      <c r="DV46" s="228">
        <v>420</v>
      </c>
      <c r="DW46" s="228">
        <v>0.46</v>
      </c>
      <c r="DX46" s="228">
        <v>0.32</v>
      </c>
      <c r="DY46" s="228">
        <v>0.14000000000000001</v>
      </c>
      <c r="DZ46" s="229">
        <v>0.4375</v>
      </c>
      <c r="EA46" s="229">
        <v>4.36E-2</v>
      </c>
      <c r="EB46" s="230">
        <v>1906200</v>
      </c>
      <c r="EC46" s="229">
        <v>6.7999999999999996E-3</v>
      </c>
      <c r="ED46" s="229">
        <v>4.36E-2</v>
      </c>
      <c r="EE46" s="228">
        <v>2.62</v>
      </c>
      <c r="EF46" s="229">
        <v>6.3E-3</v>
      </c>
      <c r="EG46" s="230">
        <v>2881883</v>
      </c>
      <c r="EH46" s="230">
        <v>2635234</v>
      </c>
      <c r="EI46" s="229">
        <v>9.3600000000000003E-2</v>
      </c>
      <c r="EJ46" s="229">
        <v>0.45500000000000002</v>
      </c>
      <c r="EK46" s="231">
        <v>1803.77</v>
      </c>
      <c r="EL46" s="228">
        <v>786.02</v>
      </c>
      <c r="EM46" s="228">
        <v>330.65</v>
      </c>
      <c r="EN46" s="228">
        <v>53.42</v>
      </c>
      <c r="EO46" s="231">
        <v>2920.44</v>
      </c>
      <c r="EP46" s="231">
        <v>1204.99</v>
      </c>
      <c r="EQ46" s="231">
        <v>1715.45</v>
      </c>
      <c r="ER46" s="229">
        <v>1.4236</v>
      </c>
      <c r="ES46" s="231">
        <v>2007.53</v>
      </c>
      <c r="ET46" s="228">
        <v>930.26</v>
      </c>
      <c r="EU46" s="231">
        <v>2097.61</v>
      </c>
      <c r="EV46" s="231">
        <v>278206904</v>
      </c>
      <c r="EW46" s="231">
        <v>5035.3999999999996</v>
      </c>
      <c r="EX46" s="231">
        <v>4924.8999999999996</v>
      </c>
      <c r="EY46" s="228">
        <v>110.5</v>
      </c>
      <c r="EZ46" s="229">
        <v>2.24E-2</v>
      </c>
      <c r="FA46" s="229">
        <v>0.42130000000000001</v>
      </c>
      <c r="FB46" s="227" t="s">
        <v>567</v>
      </c>
      <c r="FC46">
        <f t="shared" si="0"/>
        <v>92</v>
      </c>
    </row>
    <row r="47" spans="1:159" ht="17.25" hidden="1" thickBot="1" x14ac:dyDescent="0.3">
      <c r="A47" s="226">
        <v>46064</v>
      </c>
      <c r="B47" s="227" t="s">
        <v>221</v>
      </c>
      <c r="C47" s="227" t="s">
        <v>470</v>
      </c>
      <c r="D47" s="228">
        <v>375</v>
      </c>
      <c r="E47" s="228">
        <v>13</v>
      </c>
      <c r="F47" s="231">
        <v>1520.8</v>
      </c>
      <c r="G47" s="231">
        <v>1556.1</v>
      </c>
      <c r="H47" s="228">
        <v>-35.299999999999997</v>
      </c>
      <c r="I47" s="229">
        <v>-2.2700000000000001E-2</v>
      </c>
      <c r="J47" s="231">
        <v>1520.4</v>
      </c>
      <c r="K47" s="231">
        <v>1551</v>
      </c>
      <c r="L47" s="228">
        <v>-30.6</v>
      </c>
      <c r="M47" s="229">
        <v>-1.9699999999999999E-2</v>
      </c>
      <c r="N47" s="231">
        <v>1520.8</v>
      </c>
      <c r="O47" s="231">
        <v>1556.1</v>
      </c>
      <c r="P47" s="228">
        <v>-35.299999999999997</v>
      </c>
      <c r="Q47" s="229">
        <v>-2.2700000000000001E-2</v>
      </c>
      <c r="R47" s="231">
        <v>1526.1</v>
      </c>
      <c r="S47" s="231">
        <v>1563.7</v>
      </c>
      <c r="T47" s="228">
        <v>-37.6</v>
      </c>
      <c r="U47" s="229">
        <v>-2.4E-2</v>
      </c>
      <c r="V47" s="231">
        <v>1535.5</v>
      </c>
      <c r="W47" s="231">
        <v>1572</v>
      </c>
      <c r="X47" s="228">
        <v>-36.5</v>
      </c>
      <c r="Y47" s="229">
        <v>-2.3199999999999998E-2</v>
      </c>
      <c r="Z47" s="228">
        <v>0.4</v>
      </c>
      <c r="AA47" s="228">
        <v>5.0999999999999996</v>
      </c>
      <c r="AB47" s="228">
        <v>-4.7</v>
      </c>
      <c r="AC47" s="229">
        <v>2.9999999999999997E-4</v>
      </c>
      <c r="AD47" s="228">
        <v>0.4</v>
      </c>
      <c r="AE47" s="228">
        <v>5.0999999999999996</v>
      </c>
      <c r="AF47" s="228">
        <v>-4.7</v>
      </c>
      <c r="AG47" s="229">
        <v>2.9999999999999997E-4</v>
      </c>
      <c r="AH47" s="228">
        <v>5.7</v>
      </c>
      <c r="AI47" s="228">
        <v>12.7</v>
      </c>
      <c r="AJ47" s="228">
        <v>-7</v>
      </c>
      <c r="AK47" s="229">
        <v>3.7000000000000002E-3</v>
      </c>
      <c r="AL47" s="228">
        <v>15.1</v>
      </c>
      <c r="AM47" s="228">
        <v>21</v>
      </c>
      <c r="AN47" s="228">
        <v>-5.9</v>
      </c>
      <c r="AO47" s="229">
        <v>9.9000000000000008E-3</v>
      </c>
      <c r="AP47" s="231">
        <v>1531.04</v>
      </c>
      <c r="AQ47" s="231">
        <v>1538.21</v>
      </c>
      <c r="AR47" s="228">
        <v>0</v>
      </c>
      <c r="AS47" s="228">
        <v>381</v>
      </c>
      <c r="AT47" s="228">
        <v>477</v>
      </c>
      <c r="AU47" s="228">
        <v>-95</v>
      </c>
      <c r="AV47" s="229">
        <v>-0.2001</v>
      </c>
      <c r="AW47" s="228">
        <v>334</v>
      </c>
      <c r="AX47" s="228">
        <v>444</v>
      </c>
      <c r="AY47" s="228">
        <v>-111</v>
      </c>
      <c r="AZ47" s="229">
        <v>-0.249</v>
      </c>
      <c r="BA47" s="228">
        <v>43</v>
      </c>
      <c r="BB47" s="228">
        <v>28</v>
      </c>
      <c r="BC47" s="228">
        <v>15</v>
      </c>
      <c r="BD47" s="229">
        <v>0.55900000000000005</v>
      </c>
      <c r="BE47" s="228">
        <v>5</v>
      </c>
      <c r="BF47" s="228">
        <v>5</v>
      </c>
      <c r="BG47" s="228">
        <v>0</v>
      </c>
      <c r="BH47" s="229">
        <v>-2.4400000000000002E-2</v>
      </c>
      <c r="BI47" s="230">
        <v>1407</v>
      </c>
      <c r="BJ47" s="230">
        <v>1655</v>
      </c>
      <c r="BK47" s="228">
        <v>-248</v>
      </c>
      <c r="BL47" s="229">
        <v>-0.1497</v>
      </c>
      <c r="BM47" s="228">
        <v>679</v>
      </c>
      <c r="BN47" s="228">
        <v>613</v>
      </c>
      <c r="BO47" s="228">
        <v>66</v>
      </c>
      <c r="BP47" s="229">
        <v>0.1074</v>
      </c>
      <c r="BQ47" s="230">
        <v>2468</v>
      </c>
      <c r="BR47" s="230">
        <v>2745</v>
      </c>
      <c r="BS47" s="228">
        <v>-277</v>
      </c>
      <c r="BT47" s="229">
        <v>-0.10100000000000001</v>
      </c>
      <c r="BU47" s="230">
        <v>1734273</v>
      </c>
      <c r="BV47" s="230">
        <v>3203982</v>
      </c>
      <c r="BW47" s="230">
        <v>-1469709</v>
      </c>
      <c r="BX47" s="229">
        <v>-0.4587</v>
      </c>
      <c r="BY47" s="230">
        <v>2054</v>
      </c>
      <c r="BZ47" s="230">
        <v>2014</v>
      </c>
      <c r="CA47" s="228">
        <v>40</v>
      </c>
      <c r="CB47" s="229">
        <v>1.9900000000000001E-2</v>
      </c>
      <c r="CC47" s="230">
        <v>1938</v>
      </c>
      <c r="CD47" s="230">
        <v>1921</v>
      </c>
      <c r="CE47" s="228">
        <v>18</v>
      </c>
      <c r="CF47" s="229">
        <v>9.1000000000000004E-3</v>
      </c>
      <c r="CG47" s="228">
        <v>95</v>
      </c>
      <c r="CH47" s="228">
        <v>76</v>
      </c>
      <c r="CI47" s="228">
        <v>19</v>
      </c>
      <c r="CJ47" s="229">
        <v>0.25259999999999999</v>
      </c>
      <c r="CK47" s="228">
        <v>21</v>
      </c>
      <c r="CL47" s="228">
        <v>17</v>
      </c>
      <c r="CM47" s="228">
        <v>3</v>
      </c>
      <c r="CN47" s="229">
        <v>0.2</v>
      </c>
      <c r="CO47" s="230">
        <v>1387</v>
      </c>
      <c r="CP47" s="230">
        <v>1323</v>
      </c>
      <c r="CQ47" s="228">
        <v>64</v>
      </c>
      <c r="CR47" s="229">
        <v>4.8500000000000001E-2</v>
      </c>
      <c r="CS47" s="228">
        <v>596</v>
      </c>
      <c r="CT47" s="228">
        <v>560</v>
      </c>
      <c r="CU47" s="228">
        <v>36</v>
      </c>
      <c r="CV47" s="229">
        <v>6.3700000000000007E-2</v>
      </c>
      <c r="CW47" s="230">
        <v>4037</v>
      </c>
      <c r="CX47" s="230">
        <v>3897</v>
      </c>
      <c r="CY47" s="228">
        <v>140</v>
      </c>
      <c r="CZ47" s="229">
        <v>3.5900000000000001E-2</v>
      </c>
      <c r="DA47" s="228">
        <v>40.71</v>
      </c>
      <c r="DB47" s="228">
        <v>37.61</v>
      </c>
      <c r="DC47" s="228">
        <v>3.1</v>
      </c>
      <c r="DD47" s="228">
        <v>3.1</v>
      </c>
      <c r="DE47" s="228">
        <v>40.99</v>
      </c>
      <c r="DF47" s="228">
        <v>41.01</v>
      </c>
      <c r="DG47" s="228">
        <v>-0.28000000000000003</v>
      </c>
      <c r="DH47" s="228">
        <v>-0.02</v>
      </c>
      <c r="DI47" s="228">
        <v>41.14</v>
      </c>
      <c r="DJ47" s="228">
        <v>37.520000000000003</v>
      </c>
      <c r="DK47" s="228">
        <v>3.62</v>
      </c>
      <c r="DL47" s="228">
        <v>3.62</v>
      </c>
      <c r="DM47" s="228">
        <v>39.81</v>
      </c>
      <c r="DN47" s="228">
        <v>37.86</v>
      </c>
      <c r="DO47" s="228">
        <v>1.95</v>
      </c>
      <c r="DP47" s="228">
        <v>1.95</v>
      </c>
      <c r="DQ47" s="228">
        <v>0.43</v>
      </c>
      <c r="DR47" s="228">
        <v>0.42</v>
      </c>
      <c r="DS47" s="228">
        <v>0.01</v>
      </c>
      <c r="DT47" s="229">
        <v>2.3800000000000002E-2</v>
      </c>
      <c r="DU47" s="231">
        <v>1600</v>
      </c>
      <c r="DV47" s="231">
        <v>1600</v>
      </c>
      <c r="DW47" s="228">
        <v>0.48</v>
      </c>
      <c r="DX47" s="228">
        <v>0.37</v>
      </c>
      <c r="DY47" s="228">
        <v>0.11</v>
      </c>
      <c r="DZ47" s="229">
        <v>0.29730000000000001</v>
      </c>
      <c r="EA47" s="229">
        <v>5.6300000000000003E-2</v>
      </c>
      <c r="EB47" s="230">
        <v>611250</v>
      </c>
      <c r="EC47" s="229">
        <v>3.5000000000000001E-3</v>
      </c>
      <c r="ED47" s="229">
        <v>5.6300000000000003E-2</v>
      </c>
      <c r="EE47" s="228">
        <v>7.17</v>
      </c>
      <c r="EF47" s="229">
        <v>4.7000000000000002E-3</v>
      </c>
      <c r="EG47" s="230">
        <v>921191</v>
      </c>
      <c r="EH47" s="230">
        <v>2220275</v>
      </c>
      <c r="EI47" s="229">
        <v>-0.58509999999999995</v>
      </c>
      <c r="EJ47" s="229">
        <v>0.53120000000000001</v>
      </c>
      <c r="EK47" s="231">
        <v>1516.42</v>
      </c>
      <c r="EL47" s="228">
        <v>687.24</v>
      </c>
      <c r="EM47" s="228">
        <v>384.11</v>
      </c>
      <c r="EN47" s="228">
        <v>99.69</v>
      </c>
      <c r="EO47" s="231">
        <v>2587.7600000000002</v>
      </c>
      <c r="EP47" s="231">
        <v>2907.06</v>
      </c>
      <c r="EQ47" s="228">
        <v>-319.3</v>
      </c>
      <c r="ER47" s="229">
        <v>-0.10979999999999999</v>
      </c>
      <c r="ES47" s="231">
        <v>1518.48</v>
      </c>
      <c r="ET47" s="228">
        <v>616.33000000000004</v>
      </c>
      <c r="EU47" s="231">
        <v>2054.52</v>
      </c>
      <c r="EV47" s="231">
        <v>50189409</v>
      </c>
      <c r="EW47" s="231">
        <v>4189.34</v>
      </c>
      <c r="EX47" s="231">
        <v>4097.51</v>
      </c>
      <c r="EY47" s="228">
        <v>91.83</v>
      </c>
      <c r="EZ47" s="229">
        <v>2.24E-2</v>
      </c>
      <c r="FA47" s="229">
        <v>0.52890000000000004</v>
      </c>
      <c r="FB47" s="227" t="s">
        <v>567</v>
      </c>
      <c r="FC47">
        <f t="shared" si="0"/>
        <v>116</v>
      </c>
    </row>
    <row r="48" spans="1:159" ht="17.25" hidden="1" thickBot="1" x14ac:dyDescent="0.3">
      <c r="A48" s="226">
        <v>46064</v>
      </c>
      <c r="B48" s="227" t="s">
        <v>168</v>
      </c>
      <c r="C48" s="227" t="s">
        <v>201</v>
      </c>
      <c r="D48" s="228">
        <v>225</v>
      </c>
      <c r="E48" s="228">
        <v>13</v>
      </c>
      <c r="F48" s="231">
        <v>2174.8000000000002</v>
      </c>
      <c r="G48" s="231">
        <v>2190.1</v>
      </c>
      <c r="H48" s="228">
        <v>-15.3</v>
      </c>
      <c r="I48" s="229">
        <v>-7.0000000000000001E-3</v>
      </c>
      <c r="J48" s="231">
        <v>2173.4</v>
      </c>
      <c r="K48" s="231">
        <v>2183</v>
      </c>
      <c r="L48" s="228">
        <v>-9.6</v>
      </c>
      <c r="M48" s="229">
        <v>-4.4000000000000003E-3</v>
      </c>
      <c r="N48" s="231">
        <v>2174.8000000000002</v>
      </c>
      <c r="O48" s="231">
        <v>2190.1</v>
      </c>
      <c r="P48" s="228">
        <v>-15.3</v>
      </c>
      <c r="Q48" s="229">
        <v>-7.0000000000000001E-3</v>
      </c>
      <c r="R48" s="231">
        <v>2180.9</v>
      </c>
      <c r="S48" s="231">
        <v>2196.8000000000002</v>
      </c>
      <c r="T48" s="228">
        <v>-15.9</v>
      </c>
      <c r="U48" s="229">
        <v>-7.1999999999999998E-3</v>
      </c>
      <c r="V48" s="231">
        <v>2190</v>
      </c>
      <c r="W48" s="231">
        <v>2210.3000000000002</v>
      </c>
      <c r="X48" s="228">
        <v>-20.3</v>
      </c>
      <c r="Y48" s="229">
        <v>-9.1999999999999998E-3</v>
      </c>
      <c r="Z48" s="228">
        <v>1.4</v>
      </c>
      <c r="AA48" s="228">
        <v>7.1</v>
      </c>
      <c r="AB48" s="228">
        <v>-5.7</v>
      </c>
      <c r="AC48" s="229">
        <v>5.9999999999999995E-4</v>
      </c>
      <c r="AD48" s="228">
        <v>1.4</v>
      </c>
      <c r="AE48" s="228">
        <v>7.1</v>
      </c>
      <c r="AF48" s="228">
        <v>-5.7</v>
      </c>
      <c r="AG48" s="229">
        <v>5.9999999999999995E-4</v>
      </c>
      <c r="AH48" s="228">
        <v>7.5</v>
      </c>
      <c r="AI48" s="228">
        <v>13.8</v>
      </c>
      <c r="AJ48" s="228">
        <v>-6.3</v>
      </c>
      <c r="AK48" s="229">
        <v>3.5000000000000001E-3</v>
      </c>
      <c r="AL48" s="228">
        <v>16.600000000000001</v>
      </c>
      <c r="AM48" s="228">
        <v>27.3</v>
      </c>
      <c r="AN48" s="228">
        <v>-10.7</v>
      </c>
      <c r="AO48" s="229">
        <v>7.6E-3</v>
      </c>
      <c r="AP48" s="231">
        <v>2178.21</v>
      </c>
      <c r="AQ48" s="231">
        <v>2182.08</v>
      </c>
      <c r="AR48" s="228">
        <v>0</v>
      </c>
      <c r="AS48" s="228">
        <v>151</v>
      </c>
      <c r="AT48" s="228">
        <v>148</v>
      </c>
      <c r="AU48" s="228">
        <v>3</v>
      </c>
      <c r="AV48" s="229">
        <v>1.8499999999999999E-2</v>
      </c>
      <c r="AW48" s="228">
        <v>116</v>
      </c>
      <c r="AX48" s="228">
        <v>121</v>
      </c>
      <c r="AY48" s="228">
        <v>-5</v>
      </c>
      <c r="AZ48" s="229">
        <v>-4.1399999999999999E-2</v>
      </c>
      <c r="BA48" s="228">
        <v>32</v>
      </c>
      <c r="BB48" s="228">
        <v>26</v>
      </c>
      <c r="BC48" s="228">
        <v>5</v>
      </c>
      <c r="BD48" s="229">
        <v>0.2059</v>
      </c>
      <c r="BE48" s="228">
        <v>4</v>
      </c>
      <c r="BF48" s="228">
        <v>1</v>
      </c>
      <c r="BG48" s="228">
        <v>2</v>
      </c>
      <c r="BH48" s="229">
        <v>1.6207</v>
      </c>
      <c r="BI48" s="228">
        <v>770</v>
      </c>
      <c r="BJ48" s="228">
        <v>833</v>
      </c>
      <c r="BK48" s="228">
        <v>-62</v>
      </c>
      <c r="BL48" s="229">
        <v>-7.4999999999999997E-2</v>
      </c>
      <c r="BM48" s="228">
        <v>152</v>
      </c>
      <c r="BN48" s="228">
        <v>222</v>
      </c>
      <c r="BO48" s="228">
        <v>-70</v>
      </c>
      <c r="BP48" s="229">
        <v>-0.31519999999999998</v>
      </c>
      <c r="BQ48" s="230">
        <v>1073</v>
      </c>
      <c r="BR48" s="230">
        <v>1203</v>
      </c>
      <c r="BS48" s="228">
        <v>-130</v>
      </c>
      <c r="BT48" s="229">
        <v>-0.10780000000000001</v>
      </c>
      <c r="BU48" s="230">
        <v>160384</v>
      </c>
      <c r="BV48" s="230">
        <v>361388</v>
      </c>
      <c r="BW48" s="230">
        <v>-201004</v>
      </c>
      <c r="BX48" s="229">
        <v>-0.55620000000000003</v>
      </c>
      <c r="BY48" s="230">
        <v>1394</v>
      </c>
      <c r="BZ48" s="230">
        <v>1370</v>
      </c>
      <c r="CA48" s="228">
        <v>24</v>
      </c>
      <c r="CB48" s="229">
        <v>1.7500000000000002E-2</v>
      </c>
      <c r="CC48" s="230">
        <v>1315</v>
      </c>
      <c r="CD48" s="230">
        <v>1294</v>
      </c>
      <c r="CE48" s="228">
        <v>22</v>
      </c>
      <c r="CF48" s="229">
        <v>1.67E-2</v>
      </c>
      <c r="CG48" s="228">
        <v>70</v>
      </c>
      <c r="CH48" s="228">
        <v>69</v>
      </c>
      <c r="CI48" s="228">
        <v>1</v>
      </c>
      <c r="CJ48" s="229">
        <v>1.34E-2</v>
      </c>
      <c r="CK48" s="228">
        <v>8</v>
      </c>
      <c r="CL48" s="228">
        <v>7</v>
      </c>
      <c r="CM48" s="228">
        <v>1</v>
      </c>
      <c r="CN48" s="229">
        <v>0.20979999999999999</v>
      </c>
      <c r="CO48" s="228">
        <v>633</v>
      </c>
      <c r="CP48" s="228">
        <v>512</v>
      </c>
      <c r="CQ48" s="228">
        <v>120</v>
      </c>
      <c r="CR48" s="229">
        <v>0.2346</v>
      </c>
      <c r="CS48" s="228">
        <v>330</v>
      </c>
      <c r="CT48" s="228">
        <v>304</v>
      </c>
      <c r="CU48" s="228">
        <v>26</v>
      </c>
      <c r="CV48" s="229">
        <v>8.43E-2</v>
      </c>
      <c r="CW48" s="230">
        <v>2356</v>
      </c>
      <c r="CX48" s="230">
        <v>2186</v>
      </c>
      <c r="CY48" s="228">
        <v>170</v>
      </c>
      <c r="CZ48" s="229">
        <v>7.7700000000000005E-2</v>
      </c>
      <c r="DA48" s="228">
        <v>26.14</v>
      </c>
      <c r="DB48" s="228">
        <v>25.17</v>
      </c>
      <c r="DC48" s="228">
        <v>0.97</v>
      </c>
      <c r="DD48" s="228">
        <v>0.97</v>
      </c>
      <c r="DE48" s="228">
        <v>26.48</v>
      </c>
      <c r="DF48" s="228">
        <v>26.53</v>
      </c>
      <c r="DG48" s="228">
        <v>-0.34</v>
      </c>
      <c r="DH48" s="228">
        <v>-0.05</v>
      </c>
      <c r="DI48" s="228">
        <v>26.35</v>
      </c>
      <c r="DJ48" s="228">
        <v>25.03</v>
      </c>
      <c r="DK48" s="228">
        <v>1.32</v>
      </c>
      <c r="DL48" s="228">
        <v>1.32</v>
      </c>
      <c r="DM48" s="228">
        <v>25.06</v>
      </c>
      <c r="DN48" s="228">
        <v>25.72</v>
      </c>
      <c r="DO48" s="228">
        <v>-0.66</v>
      </c>
      <c r="DP48" s="228">
        <v>-0.66</v>
      </c>
      <c r="DQ48" s="228">
        <v>0.52</v>
      </c>
      <c r="DR48" s="228">
        <v>0.59</v>
      </c>
      <c r="DS48" s="228">
        <v>-7.0000000000000007E-2</v>
      </c>
      <c r="DT48" s="229">
        <v>-0.1186</v>
      </c>
      <c r="DU48" s="231">
        <v>2200</v>
      </c>
      <c r="DV48" s="231">
        <v>2200</v>
      </c>
      <c r="DW48" s="228">
        <v>0.2</v>
      </c>
      <c r="DX48" s="228">
        <v>0.27</v>
      </c>
      <c r="DY48" s="228">
        <v>-7.0000000000000007E-2</v>
      </c>
      <c r="DZ48" s="229">
        <v>-0.25929999999999997</v>
      </c>
      <c r="EA48" s="229">
        <v>5.6399999999999999E-2</v>
      </c>
      <c r="EB48" s="230">
        <v>350325</v>
      </c>
      <c r="EC48" s="229">
        <v>2.8E-3</v>
      </c>
      <c r="ED48" s="229">
        <v>5.6399999999999999E-2</v>
      </c>
      <c r="EE48" s="228">
        <v>3.87</v>
      </c>
      <c r="EF48" s="229">
        <v>1.8E-3</v>
      </c>
      <c r="EG48" s="230">
        <v>74158</v>
      </c>
      <c r="EH48" s="230">
        <v>197066</v>
      </c>
      <c r="EI48" s="229">
        <v>-0.62370000000000003</v>
      </c>
      <c r="EJ48" s="229">
        <v>0.46239999999999998</v>
      </c>
      <c r="EK48" s="228">
        <v>800.28</v>
      </c>
      <c r="EL48" s="228">
        <v>149.56</v>
      </c>
      <c r="EM48" s="228">
        <v>151.47999999999999</v>
      </c>
      <c r="EN48" s="228">
        <v>27.12</v>
      </c>
      <c r="EO48" s="231">
        <v>1101.32</v>
      </c>
      <c r="EP48" s="231">
        <v>1225.97</v>
      </c>
      <c r="EQ48" s="228">
        <v>-124.65</v>
      </c>
      <c r="ER48" s="229">
        <v>-0.1017</v>
      </c>
      <c r="ES48" s="228">
        <v>651.24</v>
      </c>
      <c r="ET48" s="228">
        <v>319.75</v>
      </c>
      <c r="EU48" s="231">
        <v>1393.97</v>
      </c>
      <c r="EV48" s="231">
        <v>19546143</v>
      </c>
      <c r="EW48" s="231">
        <v>2364.9499999999998</v>
      </c>
      <c r="EX48" s="231">
        <v>2201.31</v>
      </c>
      <c r="EY48" s="228">
        <v>163.63999999999999</v>
      </c>
      <c r="EZ48" s="229">
        <v>7.4300000000000005E-2</v>
      </c>
      <c r="FA48" s="229">
        <v>0.55420000000000003</v>
      </c>
      <c r="FB48" s="227" t="s">
        <v>567</v>
      </c>
      <c r="FC48">
        <f t="shared" si="0"/>
        <v>79</v>
      </c>
    </row>
    <row r="49" spans="1:159" ht="17.25" hidden="1" thickBot="1" x14ac:dyDescent="0.3">
      <c r="A49" s="226">
        <v>46064</v>
      </c>
      <c r="B49" s="227" t="s">
        <v>215</v>
      </c>
      <c r="C49" s="227" t="s">
        <v>202</v>
      </c>
      <c r="D49" s="228">
        <v>1250</v>
      </c>
      <c r="E49" s="228">
        <v>13</v>
      </c>
      <c r="F49" s="228">
        <v>515.79999999999995</v>
      </c>
      <c r="G49" s="228">
        <v>515.54999999999995</v>
      </c>
      <c r="H49" s="228">
        <v>0.25</v>
      </c>
      <c r="I49" s="229">
        <v>5.0000000000000001E-4</v>
      </c>
      <c r="J49" s="228">
        <v>515.15</v>
      </c>
      <c r="K49" s="228">
        <v>513.6</v>
      </c>
      <c r="L49" s="228">
        <v>1.55</v>
      </c>
      <c r="M49" s="229">
        <v>3.0000000000000001E-3</v>
      </c>
      <c r="N49" s="228">
        <v>515.79999999999995</v>
      </c>
      <c r="O49" s="228">
        <v>515.54999999999995</v>
      </c>
      <c r="P49" s="228">
        <v>0.25</v>
      </c>
      <c r="Q49" s="229">
        <v>5.0000000000000001E-4</v>
      </c>
      <c r="R49" s="228">
        <v>519.29999999999995</v>
      </c>
      <c r="S49" s="228">
        <v>518.75</v>
      </c>
      <c r="T49" s="228">
        <v>0.55000000000000004</v>
      </c>
      <c r="U49" s="229">
        <v>1.1000000000000001E-3</v>
      </c>
      <c r="V49" s="228">
        <v>522.54999999999995</v>
      </c>
      <c r="W49" s="228">
        <v>522.45000000000005</v>
      </c>
      <c r="X49" s="228">
        <v>0.1</v>
      </c>
      <c r="Y49" s="229">
        <v>2.0000000000000001E-4</v>
      </c>
      <c r="Z49" s="228">
        <v>0.65</v>
      </c>
      <c r="AA49" s="228">
        <v>1.95</v>
      </c>
      <c r="AB49" s="228">
        <v>-1.3</v>
      </c>
      <c r="AC49" s="229">
        <v>1.2999999999999999E-3</v>
      </c>
      <c r="AD49" s="228">
        <v>0.65</v>
      </c>
      <c r="AE49" s="228">
        <v>1.95</v>
      </c>
      <c r="AF49" s="228">
        <v>-1.3</v>
      </c>
      <c r="AG49" s="229">
        <v>1.2999999999999999E-3</v>
      </c>
      <c r="AH49" s="228">
        <v>4.1500000000000004</v>
      </c>
      <c r="AI49" s="228">
        <v>5.15</v>
      </c>
      <c r="AJ49" s="228">
        <v>-1</v>
      </c>
      <c r="AK49" s="229">
        <v>8.0999999999999996E-3</v>
      </c>
      <c r="AL49" s="228">
        <v>7.4</v>
      </c>
      <c r="AM49" s="228">
        <v>8.85</v>
      </c>
      <c r="AN49" s="228">
        <v>-1.45</v>
      </c>
      <c r="AO49" s="229">
        <v>1.44E-2</v>
      </c>
      <c r="AP49" s="228">
        <v>514.07000000000005</v>
      </c>
      <c r="AQ49" s="228">
        <v>517.02</v>
      </c>
      <c r="AR49" s="228">
        <v>0</v>
      </c>
      <c r="AS49" s="228">
        <v>122</v>
      </c>
      <c r="AT49" s="228">
        <v>200</v>
      </c>
      <c r="AU49" s="228">
        <v>-78</v>
      </c>
      <c r="AV49" s="229">
        <v>-0.38879999999999998</v>
      </c>
      <c r="AW49" s="228">
        <v>101</v>
      </c>
      <c r="AX49" s="228">
        <v>170</v>
      </c>
      <c r="AY49" s="228">
        <v>-69</v>
      </c>
      <c r="AZ49" s="229">
        <v>-0.40649999999999997</v>
      </c>
      <c r="BA49" s="228">
        <v>21</v>
      </c>
      <c r="BB49" s="228">
        <v>28</v>
      </c>
      <c r="BC49" s="228">
        <v>-7</v>
      </c>
      <c r="BD49" s="229">
        <v>-0.25230000000000002</v>
      </c>
      <c r="BE49" s="228">
        <v>1</v>
      </c>
      <c r="BF49" s="228">
        <v>3</v>
      </c>
      <c r="BG49" s="228">
        <v>-2</v>
      </c>
      <c r="BH49" s="229">
        <v>-0.65910000000000002</v>
      </c>
      <c r="BI49" s="228">
        <v>284</v>
      </c>
      <c r="BJ49" s="228">
        <v>412</v>
      </c>
      <c r="BK49" s="228">
        <v>-129</v>
      </c>
      <c r="BL49" s="229">
        <v>-0.31190000000000001</v>
      </c>
      <c r="BM49" s="228">
        <v>105</v>
      </c>
      <c r="BN49" s="228">
        <v>163</v>
      </c>
      <c r="BO49" s="228">
        <v>-58</v>
      </c>
      <c r="BP49" s="229">
        <v>-0.35820000000000002</v>
      </c>
      <c r="BQ49" s="228">
        <v>511</v>
      </c>
      <c r="BR49" s="228">
        <v>775</v>
      </c>
      <c r="BS49" s="228">
        <v>-265</v>
      </c>
      <c r="BT49" s="229">
        <v>-0.34150000000000003</v>
      </c>
      <c r="BU49" s="230">
        <v>719165</v>
      </c>
      <c r="BV49" s="230">
        <v>1781696</v>
      </c>
      <c r="BW49" s="230">
        <v>-1062531</v>
      </c>
      <c r="BX49" s="229">
        <v>-0.59640000000000004</v>
      </c>
      <c r="BY49" s="230">
        <v>1769</v>
      </c>
      <c r="BZ49" s="230">
        <v>1761</v>
      </c>
      <c r="CA49" s="228">
        <v>9</v>
      </c>
      <c r="CB49" s="229">
        <v>5.0000000000000001E-3</v>
      </c>
      <c r="CC49" s="230">
        <v>1671</v>
      </c>
      <c r="CD49" s="230">
        <v>1672</v>
      </c>
      <c r="CE49" s="228">
        <v>-2</v>
      </c>
      <c r="CF49" s="229">
        <v>-1E-3</v>
      </c>
      <c r="CG49" s="228">
        <v>87</v>
      </c>
      <c r="CH49" s="228">
        <v>78</v>
      </c>
      <c r="CI49" s="228">
        <v>10</v>
      </c>
      <c r="CJ49" s="229">
        <v>0.1246</v>
      </c>
      <c r="CK49" s="228">
        <v>11</v>
      </c>
      <c r="CL49" s="228">
        <v>11</v>
      </c>
      <c r="CM49" s="228">
        <v>1</v>
      </c>
      <c r="CN49" s="229">
        <v>6.7100000000000007E-2</v>
      </c>
      <c r="CO49" s="228">
        <v>573</v>
      </c>
      <c r="CP49" s="228">
        <v>562</v>
      </c>
      <c r="CQ49" s="228">
        <v>11</v>
      </c>
      <c r="CR49" s="229">
        <v>1.95E-2</v>
      </c>
      <c r="CS49" s="228">
        <v>513</v>
      </c>
      <c r="CT49" s="228">
        <v>507</v>
      </c>
      <c r="CU49" s="228">
        <v>7</v>
      </c>
      <c r="CV49" s="229">
        <v>1.29E-2</v>
      </c>
      <c r="CW49" s="230">
        <v>2855</v>
      </c>
      <c r="CX49" s="230">
        <v>2829</v>
      </c>
      <c r="CY49" s="228">
        <v>26</v>
      </c>
      <c r="CZ49" s="229">
        <v>9.2999999999999992E-3</v>
      </c>
      <c r="DA49" s="228">
        <v>27.73</v>
      </c>
      <c r="DB49" s="228">
        <v>27.79</v>
      </c>
      <c r="DC49" s="228">
        <v>-0.06</v>
      </c>
      <c r="DD49" s="228">
        <v>-0.06</v>
      </c>
      <c r="DE49" s="228">
        <v>33.049999999999997</v>
      </c>
      <c r="DF49" s="228">
        <v>33.130000000000003</v>
      </c>
      <c r="DG49" s="228">
        <v>-5.32</v>
      </c>
      <c r="DH49" s="228">
        <v>-0.08</v>
      </c>
      <c r="DI49" s="228">
        <v>27.67</v>
      </c>
      <c r="DJ49" s="228">
        <v>27.81</v>
      </c>
      <c r="DK49" s="228">
        <v>-0.14000000000000001</v>
      </c>
      <c r="DL49" s="228">
        <v>-0.14000000000000001</v>
      </c>
      <c r="DM49" s="228">
        <v>27.87</v>
      </c>
      <c r="DN49" s="228">
        <v>27.73</v>
      </c>
      <c r="DO49" s="228">
        <v>0.14000000000000001</v>
      </c>
      <c r="DP49" s="228">
        <v>0.14000000000000001</v>
      </c>
      <c r="DQ49" s="228">
        <v>0.9</v>
      </c>
      <c r="DR49" s="228">
        <v>0.9</v>
      </c>
      <c r="DS49" s="228">
        <v>0</v>
      </c>
      <c r="DT49" s="229">
        <v>0</v>
      </c>
      <c r="DU49" s="228">
        <v>520</v>
      </c>
      <c r="DV49" s="228">
        <v>480</v>
      </c>
      <c r="DW49" s="228">
        <v>0.37</v>
      </c>
      <c r="DX49" s="228">
        <v>0.4</v>
      </c>
      <c r="DY49" s="228">
        <v>-0.03</v>
      </c>
      <c r="DZ49" s="229">
        <v>-7.4999999999999997E-2</v>
      </c>
      <c r="EA49" s="229">
        <v>5.57E-2</v>
      </c>
      <c r="EB49" s="230">
        <v>1710000</v>
      </c>
      <c r="EC49" s="229">
        <v>6.7999999999999996E-3</v>
      </c>
      <c r="ED49" s="229">
        <v>5.57E-2</v>
      </c>
      <c r="EE49" s="228">
        <v>2.95</v>
      </c>
      <c r="EF49" s="229">
        <v>5.7000000000000002E-3</v>
      </c>
      <c r="EG49" s="230">
        <v>331943</v>
      </c>
      <c r="EH49" s="230">
        <v>978432</v>
      </c>
      <c r="EI49" s="229">
        <v>-0.66069999999999995</v>
      </c>
      <c r="EJ49" s="229">
        <v>0.46160000000000001</v>
      </c>
      <c r="EK49" s="228">
        <v>294.27999999999997</v>
      </c>
      <c r="EL49" s="228">
        <v>103.76</v>
      </c>
      <c r="EM49" s="228">
        <v>121.97</v>
      </c>
      <c r="EN49" s="228">
        <v>29.78</v>
      </c>
      <c r="EO49" s="228">
        <v>520.01</v>
      </c>
      <c r="EP49" s="228">
        <v>795.36</v>
      </c>
      <c r="EQ49" s="228">
        <v>-275.35000000000002</v>
      </c>
      <c r="ER49" s="229">
        <v>-0.34620000000000001</v>
      </c>
      <c r="ES49" s="228">
        <v>590.46</v>
      </c>
      <c r="ET49" s="228">
        <v>500.44</v>
      </c>
      <c r="EU49" s="231">
        <v>1770.06</v>
      </c>
      <c r="EV49" s="231">
        <v>51639257</v>
      </c>
      <c r="EW49" s="231">
        <v>2860.97</v>
      </c>
      <c r="EX49" s="231">
        <v>2833.48</v>
      </c>
      <c r="EY49" s="228">
        <v>27.49</v>
      </c>
      <c r="EZ49" s="229">
        <v>9.7000000000000003E-3</v>
      </c>
      <c r="FA49" s="229">
        <v>1.0719000000000001</v>
      </c>
      <c r="FB49" s="227" t="s">
        <v>555</v>
      </c>
      <c r="FC49">
        <f t="shared" si="0"/>
        <v>98</v>
      </c>
    </row>
    <row r="50" spans="1:159" ht="17.25" hidden="1" thickBot="1" x14ac:dyDescent="0.3">
      <c r="A50" s="226">
        <v>46064</v>
      </c>
      <c r="B50" s="227" t="s">
        <v>184</v>
      </c>
      <c r="C50" s="227" t="s">
        <v>523</v>
      </c>
      <c r="D50" s="228">
        <v>1800</v>
      </c>
      <c r="E50" s="228">
        <v>13</v>
      </c>
      <c r="F50" s="228">
        <v>266.47000000000003</v>
      </c>
      <c r="G50" s="228">
        <v>261.91000000000003</v>
      </c>
      <c r="H50" s="228">
        <v>4.5599999999999996</v>
      </c>
      <c r="I50" s="229">
        <v>1.7399999999999999E-2</v>
      </c>
      <c r="J50" s="228">
        <v>266.04000000000002</v>
      </c>
      <c r="K50" s="228">
        <v>261.66000000000003</v>
      </c>
      <c r="L50" s="228">
        <v>4.38</v>
      </c>
      <c r="M50" s="229">
        <v>1.67E-2</v>
      </c>
      <c r="N50" s="228">
        <v>266.47000000000003</v>
      </c>
      <c r="O50" s="228">
        <v>261.91000000000003</v>
      </c>
      <c r="P50" s="228">
        <v>4.5599999999999996</v>
      </c>
      <c r="Q50" s="229">
        <v>1.7399999999999999E-2</v>
      </c>
      <c r="R50" s="228">
        <v>268.39999999999998</v>
      </c>
      <c r="S50" s="228">
        <v>263.62</v>
      </c>
      <c r="T50" s="228">
        <v>4.78</v>
      </c>
      <c r="U50" s="229">
        <v>1.8100000000000002E-2</v>
      </c>
      <c r="V50" s="228">
        <v>270.10000000000002</v>
      </c>
      <c r="W50" s="228">
        <v>265.20999999999998</v>
      </c>
      <c r="X50" s="228">
        <v>4.8899999999999997</v>
      </c>
      <c r="Y50" s="229">
        <v>1.84E-2</v>
      </c>
      <c r="Z50" s="228">
        <v>0.43</v>
      </c>
      <c r="AA50" s="228">
        <v>0.25</v>
      </c>
      <c r="AB50" s="228">
        <v>0.18</v>
      </c>
      <c r="AC50" s="229">
        <v>1.6000000000000001E-3</v>
      </c>
      <c r="AD50" s="228">
        <v>0.43</v>
      </c>
      <c r="AE50" s="228">
        <v>0.25</v>
      </c>
      <c r="AF50" s="228">
        <v>0.18</v>
      </c>
      <c r="AG50" s="229">
        <v>1.6000000000000001E-3</v>
      </c>
      <c r="AH50" s="228">
        <v>2.36</v>
      </c>
      <c r="AI50" s="228">
        <v>1.96</v>
      </c>
      <c r="AJ50" s="228">
        <v>0.4</v>
      </c>
      <c r="AK50" s="229">
        <v>8.8999999999999999E-3</v>
      </c>
      <c r="AL50" s="228">
        <v>4.0599999999999996</v>
      </c>
      <c r="AM50" s="228">
        <v>3.55</v>
      </c>
      <c r="AN50" s="228">
        <v>0.51</v>
      </c>
      <c r="AO50" s="229">
        <v>1.5299999999999999E-2</v>
      </c>
      <c r="AP50" s="228">
        <v>265.64999999999998</v>
      </c>
      <c r="AQ50" s="228">
        <v>267.39</v>
      </c>
      <c r="AR50" s="228">
        <v>0</v>
      </c>
      <c r="AS50" s="228">
        <v>170</v>
      </c>
      <c r="AT50" s="228">
        <v>300</v>
      </c>
      <c r="AU50" s="228">
        <v>-130</v>
      </c>
      <c r="AV50" s="229">
        <v>-0.43180000000000002</v>
      </c>
      <c r="AW50" s="228">
        <v>156</v>
      </c>
      <c r="AX50" s="228">
        <v>278</v>
      </c>
      <c r="AY50" s="228">
        <v>-122</v>
      </c>
      <c r="AZ50" s="229">
        <v>-0.43840000000000001</v>
      </c>
      <c r="BA50" s="228">
        <v>13</v>
      </c>
      <c r="BB50" s="228">
        <v>20</v>
      </c>
      <c r="BC50" s="228">
        <v>-7</v>
      </c>
      <c r="BD50" s="229">
        <v>-0.33889999999999998</v>
      </c>
      <c r="BE50" s="228">
        <v>1</v>
      </c>
      <c r="BF50" s="228">
        <v>2</v>
      </c>
      <c r="BG50" s="228">
        <v>-1</v>
      </c>
      <c r="BH50" s="229">
        <v>-0.44679999999999997</v>
      </c>
      <c r="BI50" s="228">
        <v>530</v>
      </c>
      <c r="BJ50" s="228">
        <v>624</v>
      </c>
      <c r="BK50" s="228">
        <v>-94</v>
      </c>
      <c r="BL50" s="229">
        <v>-0.15060000000000001</v>
      </c>
      <c r="BM50" s="228">
        <v>303</v>
      </c>
      <c r="BN50" s="228">
        <v>505</v>
      </c>
      <c r="BO50" s="228">
        <v>-202</v>
      </c>
      <c r="BP50" s="229">
        <v>-0.4</v>
      </c>
      <c r="BQ50" s="230">
        <v>1004</v>
      </c>
      <c r="BR50" s="230">
        <v>1429</v>
      </c>
      <c r="BS50" s="228">
        <v>-426</v>
      </c>
      <c r="BT50" s="229">
        <v>-0.29780000000000001</v>
      </c>
      <c r="BU50" s="230">
        <v>2914215</v>
      </c>
      <c r="BV50" s="230">
        <v>6066413</v>
      </c>
      <c r="BW50" s="230">
        <v>-3152198</v>
      </c>
      <c r="BX50" s="229">
        <v>-0.51959999999999995</v>
      </c>
      <c r="BY50" s="230">
        <v>1465</v>
      </c>
      <c r="BZ50" s="230">
        <v>1479</v>
      </c>
      <c r="CA50" s="228">
        <v>-15</v>
      </c>
      <c r="CB50" s="229">
        <v>-9.9000000000000008E-3</v>
      </c>
      <c r="CC50" s="230">
        <v>1412</v>
      </c>
      <c r="CD50" s="230">
        <v>1428</v>
      </c>
      <c r="CE50" s="228">
        <v>-16</v>
      </c>
      <c r="CF50" s="229">
        <v>-1.1299999999999999E-2</v>
      </c>
      <c r="CG50" s="228">
        <v>46</v>
      </c>
      <c r="CH50" s="228">
        <v>45</v>
      </c>
      <c r="CI50" s="228">
        <v>1</v>
      </c>
      <c r="CJ50" s="229">
        <v>2.46E-2</v>
      </c>
      <c r="CK50" s="228">
        <v>6</v>
      </c>
      <c r="CL50" s="228">
        <v>6</v>
      </c>
      <c r="CM50" s="228">
        <v>0</v>
      </c>
      <c r="CN50" s="229">
        <v>5.6000000000000001E-2</v>
      </c>
      <c r="CO50" s="228">
        <v>467</v>
      </c>
      <c r="CP50" s="228">
        <v>472</v>
      </c>
      <c r="CQ50" s="228">
        <v>-5</v>
      </c>
      <c r="CR50" s="229">
        <v>-1.03E-2</v>
      </c>
      <c r="CS50" s="228">
        <v>442</v>
      </c>
      <c r="CT50" s="228">
        <v>454</v>
      </c>
      <c r="CU50" s="228">
        <v>-11</v>
      </c>
      <c r="CV50" s="229">
        <v>-2.53E-2</v>
      </c>
      <c r="CW50" s="230">
        <v>2374</v>
      </c>
      <c r="CX50" s="230">
        <v>2405</v>
      </c>
      <c r="CY50" s="228">
        <v>-31</v>
      </c>
      <c r="CZ50" s="229">
        <v>-1.29E-2</v>
      </c>
      <c r="DA50" s="228">
        <v>33.909999999999997</v>
      </c>
      <c r="DB50" s="228">
        <v>34.5</v>
      </c>
      <c r="DC50" s="228">
        <v>-0.59</v>
      </c>
      <c r="DD50" s="228">
        <v>-0.59</v>
      </c>
      <c r="DE50" s="228">
        <v>32.81</v>
      </c>
      <c r="DF50" s="228">
        <v>32.81</v>
      </c>
      <c r="DG50" s="228">
        <v>1.1000000000000001</v>
      </c>
      <c r="DH50" s="228">
        <v>0</v>
      </c>
      <c r="DI50" s="228">
        <v>32.53</v>
      </c>
      <c r="DJ50" s="228">
        <v>33.36</v>
      </c>
      <c r="DK50" s="228">
        <v>-0.83</v>
      </c>
      <c r="DL50" s="228">
        <v>-0.83</v>
      </c>
      <c r="DM50" s="228">
        <v>36.32</v>
      </c>
      <c r="DN50" s="228">
        <v>35.909999999999997</v>
      </c>
      <c r="DO50" s="228">
        <v>0.41</v>
      </c>
      <c r="DP50" s="228">
        <v>0.41</v>
      </c>
      <c r="DQ50" s="228">
        <v>0.95</v>
      </c>
      <c r="DR50" s="228">
        <v>0.96</v>
      </c>
      <c r="DS50" s="228">
        <v>-0.01</v>
      </c>
      <c r="DT50" s="229">
        <v>-1.04E-2</v>
      </c>
      <c r="DU50" s="228">
        <v>270</v>
      </c>
      <c r="DV50" s="228">
        <v>250</v>
      </c>
      <c r="DW50" s="228">
        <v>0.56999999999999995</v>
      </c>
      <c r="DX50" s="228">
        <v>0.81</v>
      </c>
      <c r="DY50" s="228">
        <v>-0.24</v>
      </c>
      <c r="DZ50" s="229">
        <v>-0.29630000000000001</v>
      </c>
      <c r="EA50" s="229">
        <v>3.5700000000000003E-2</v>
      </c>
      <c r="EB50" s="230">
        <v>1909800</v>
      </c>
      <c r="EC50" s="229">
        <v>7.1999999999999998E-3</v>
      </c>
      <c r="ED50" s="229">
        <v>3.5700000000000003E-2</v>
      </c>
      <c r="EE50" s="228">
        <v>1.74</v>
      </c>
      <c r="EF50" s="229">
        <v>6.4999999999999997E-3</v>
      </c>
      <c r="EG50" s="230">
        <v>1276539</v>
      </c>
      <c r="EH50" s="230">
        <v>2659912</v>
      </c>
      <c r="EI50" s="229">
        <v>-0.52010000000000001</v>
      </c>
      <c r="EJ50" s="229">
        <v>0.438</v>
      </c>
      <c r="EK50" s="228">
        <v>546.80999999999995</v>
      </c>
      <c r="EL50" s="228">
        <v>290.27</v>
      </c>
      <c r="EM50" s="228">
        <v>170.04</v>
      </c>
      <c r="EN50" s="228">
        <v>98.76</v>
      </c>
      <c r="EO50" s="231">
        <v>1007.13</v>
      </c>
      <c r="EP50" s="231">
        <v>1429.53</v>
      </c>
      <c r="EQ50" s="228">
        <v>-422.41</v>
      </c>
      <c r="ER50" s="229">
        <v>-0.29549999999999998</v>
      </c>
      <c r="ES50" s="228">
        <v>453.61</v>
      </c>
      <c r="ET50" s="228">
        <v>402.72</v>
      </c>
      <c r="EU50" s="231">
        <v>1464.92</v>
      </c>
      <c r="EV50" s="231">
        <v>96587231</v>
      </c>
      <c r="EW50" s="231">
        <v>2321.25</v>
      </c>
      <c r="EX50" s="231">
        <v>2323.41</v>
      </c>
      <c r="EY50" s="228">
        <v>-2.16</v>
      </c>
      <c r="EZ50" s="229">
        <v>-8.9999999999999998E-4</v>
      </c>
      <c r="FA50" s="229">
        <v>0.92249999999999999</v>
      </c>
      <c r="FB50" s="227" t="s">
        <v>556</v>
      </c>
      <c r="FC50">
        <f t="shared" si="0"/>
        <v>53</v>
      </c>
    </row>
    <row r="51" spans="1:159" ht="17.25" hidden="1" thickBot="1" x14ac:dyDescent="0.3">
      <c r="A51" s="226">
        <v>46064</v>
      </c>
      <c r="B51" s="227" t="s">
        <v>184</v>
      </c>
      <c r="C51" s="227" t="s">
        <v>203</v>
      </c>
      <c r="D51" s="228">
        <v>200</v>
      </c>
      <c r="E51" s="228">
        <v>13</v>
      </c>
      <c r="F51" s="231">
        <v>4376.3999999999996</v>
      </c>
      <c r="G51" s="231">
        <v>4409.7</v>
      </c>
      <c r="H51" s="228">
        <v>-33.299999999999997</v>
      </c>
      <c r="I51" s="229">
        <v>-7.6E-3</v>
      </c>
      <c r="J51" s="231">
        <v>4363.2</v>
      </c>
      <c r="K51" s="231">
        <v>4418.3</v>
      </c>
      <c r="L51" s="228">
        <v>-55.1</v>
      </c>
      <c r="M51" s="229">
        <v>-1.2500000000000001E-2</v>
      </c>
      <c r="N51" s="231">
        <v>4376.3999999999996</v>
      </c>
      <c r="O51" s="231">
        <v>4409.7</v>
      </c>
      <c r="P51" s="228">
        <v>-33.299999999999997</v>
      </c>
      <c r="Q51" s="229">
        <v>-7.6E-3</v>
      </c>
      <c r="R51" s="231">
        <v>4399.3999999999996</v>
      </c>
      <c r="S51" s="231">
        <v>4427.7</v>
      </c>
      <c r="T51" s="228">
        <v>-28.3</v>
      </c>
      <c r="U51" s="229">
        <v>-6.4000000000000003E-3</v>
      </c>
      <c r="V51" s="231">
        <v>4414.8999999999996</v>
      </c>
      <c r="W51" s="231">
        <v>4439.2</v>
      </c>
      <c r="X51" s="228">
        <v>-24.3</v>
      </c>
      <c r="Y51" s="229">
        <v>-5.4999999999999997E-3</v>
      </c>
      <c r="Z51" s="228">
        <v>13.2</v>
      </c>
      <c r="AA51" s="228">
        <v>-8.6</v>
      </c>
      <c r="AB51" s="228">
        <v>21.8</v>
      </c>
      <c r="AC51" s="229">
        <v>3.0000000000000001E-3</v>
      </c>
      <c r="AD51" s="228">
        <v>13.2</v>
      </c>
      <c r="AE51" s="228">
        <v>-8.6</v>
      </c>
      <c r="AF51" s="228">
        <v>21.8</v>
      </c>
      <c r="AG51" s="229">
        <v>3.0000000000000001E-3</v>
      </c>
      <c r="AH51" s="228">
        <v>36.200000000000003</v>
      </c>
      <c r="AI51" s="228">
        <v>9.4</v>
      </c>
      <c r="AJ51" s="228">
        <v>26.8</v>
      </c>
      <c r="AK51" s="229">
        <v>8.3000000000000001E-3</v>
      </c>
      <c r="AL51" s="228">
        <v>51.7</v>
      </c>
      <c r="AM51" s="228">
        <v>20.9</v>
      </c>
      <c r="AN51" s="228">
        <v>30.8</v>
      </c>
      <c r="AO51" s="229">
        <v>1.18E-2</v>
      </c>
      <c r="AP51" s="231">
        <v>4419.9399999999996</v>
      </c>
      <c r="AQ51" s="231">
        <v>4444.13</v>
      </c>
      <c r="AR51" s="228">
        <v>0</v>
      </c>
      <c r="AS51" s="228">
        <v>230</v>
      </c>
      <c r="AT51" s="228">
        <v>325</v>
      </c>
      <c r="AU51" s="228">
        <v>-95</v>
      </c>
      <c r="AV51" s="229">
        <v>-0.29239999999999999</v>
      </c>
      <c r="AW51" s="228">
        <v>216</v>
      </c>
      <c r="AX51" s="228">
        <v>311</v>
      </c>
      <c r="AY51" s="228">
        <v>-95</v>
      </c>
      <c r="AZ51" s="229">
        <v>-0.30669999999999997</v>
      </c>
      <c r="BA51" s="228">
        <v>13</v>
      </c>
      <c r="BB51" s="228">
        <v>13</v>
      </c>
      <c r="BC51" s="228">
        <v>0</v>
      </c>
      <c r="BD51" s="229">
        <v>3.4700000000000002E-2</v>
      </c>
      <c r="BE51" s="228">
        <v>2</v>
      </c>
      <c r="BF51" s="228">
        <v>2</v>
      </c>
      <c r="BG51" s="228">
        <v>0</v>
      </c>
      <c r="BH51" s="229">
        <v>-0.1</v>
      </c>
      <c r="BI51" s="228">
        <v>942</v>
      </c>
      <c r="BJ51" s="228">
        <v>686</v>
      </c>
      <c r="BK51" s="228">
        <v>256</v>
      </c>
      <c r="BL51" s="229">
        <v>0.37269999999999998</v>
      </c>
      <c r="BM51" s="228">
        <v>477</v>
      </c>
      <c r="BN51" s="228">
        <v>510</v>
      </c>
      <c r="BO51" s="228">
        <v>-33</v>
      </c>
      <c r="BP51" s="229">
        <v>-6.5199999999999994E-2</v>
      </c>
      <c r="BQ51" s="230">
        <v>1650</v>
      </c>
      <c r="BR51" s="230">
        <v>1522</v>
      </c>
      <c r="BS51" s="228">
        <v>127</v>
      </c>
      <c r="BT51" s="229">
        <v>8.3699999999999997E-2</v>
      </c>
      <c r="BU51" s="230">
        <v>298928</v>
      </c>
      <c r="BV51" s="230">
        <v>670927</v>
      </c>
      <c r="BW51" s="230">
        <v>-371999</v>
      </c>
      <c r="BX51" s="229">
        <v>-0.55449999999999999</v>
      </c>
      <c r="BY51" s="230">
        <v>1517</v>
      </c>
      <c r="BZ51" s="230">
        <v>1534</v>
      </c>
      <c r="CA51" s="228">
        <v>-17</v>
      </c>
      <c r="CB51" s="229">
        <v>-1.0800000000000001E-2</v>
      </c>
      <c r="CC51" s="230">
        <v>1491</v>
      </c>
      <c r="CD51" s="230">
        <v>1510</v>
      </c>
      <c r="CE51" s="228">
        <v>-19</v>
      </c>
      <c r="CF51" s="229">
        <v>-1.2500000000000001E-2</v>
      </c>
      <c r="CG51" s="228">
        <v>25</v>
      </c>
      <c r="CH51" s="228">
        <v>23</v>
      </c>
      <c r="CI51" s="228">
        <v>2</v>
      </c>
      <c r="CJ51" s="229">
        <v>8.1100000000000005E-2</v>
      </c>
      <c r="CK51" s="228">
        <v>2</v>
      </c>
      <c r="CL51" s="228">
        <v>1</v>
      </c>
      <c r="CM51" s="228">
        <v>0</v>
      </c>
      <c r="CN51" s="229">
        <v>0.28570000000000001</v>
      </c>
      <c r="CO51" s="228">
        <v>490</v>
      </c>
      <c r="CP51" s="228">
        <v>473</v>
      </c>
      <c r="CQ51" s="228">
        <v>17</v>
      </c>
      <c r="CR51" s="229">
        <v>3.6799999999999999E-2</v>
      </c>
      <c r="CS51" s="228">
        <v>437</v>
      </c>
      <c r="CT51" s="228">
        <v>447</v>
      </c>
      <c r="CU51" s="228">
        <v>-10</v>
      </c>
      <c r="CV51" s="229">
        <v>-2.2100000000000002E-2</v>
      </c>
      <c r="CW51" s="230">
        <v>2445</v>
      </c>
      <c r="CX51" s="230">
        <v>2454</v>
      </c>
      <c r="CY51" s="228">
        <v>-9</v>
      </c>
      <c r="CZ51" s="229">
        <v>-3.7000000000000002E-3</v>
      </c>
      <c r="DA51" s="228">
        <v>30.2</v>
      </c>
      <c r="DB51" s="228">
        <v>31.37</v>
      </c>
      <c r="DC51" s="228">
        <v>-1.17</v>
      </c>
      <c r="DD51" s="228">
        <v>-1.17</v>
      </c>
      <c r="DE51" s="228">
        <v>33.840000000000003</v>
      </c>
      <c r="DF51" s="228">
        <v>33.909999999999997</v>
      </c>
      <c r="DG51" s="228">
        <v>-3.64</v>
      </c>
      <c r="DH51" s="228">
        <v>-7.0000000000000007E-2</v>
      </c>
      <c r="DI51" s="228">
        <v>29.46</v>
      </c>
      <c r="DJ51" s="228">
        <v>30.09</v>
      </c>
      <c r="DK51" s="228">
        <v>-0.63</v>
      </c>
      <c r="DL51" s="228">
        <v>-0.63</v>
      </c>
      <c r="DM51" s="228">
        <v>31.66</v>
      </c>
      <c r="DN51" s="228">
        <v>33.1</v>
      </c>
      <c r="DO51" s="228">
        <v>-1.44</v>
      </c>
      <c r="DP51" s="228">
        <v>-1.44</v>
      </c>
      <c r="DQ51" s="228">
        <v>0.89</v>
      </c>
      <c r="DR51" s="228">
        <v>0.95</v>
      </c>
      <c r="DS51" s="228">
        <v>-0.06</v>
      </c>
      <c r="DT51" s="229">
        <v>-6.3200000000000006E-2</v>
      </c>
      <c r="DU51" s="231">
        <v>4400</v>
      </c>
      <c r="DV51" s="231">
        <v>4000</v>
      </c>
      <c r="DW51" s="228">
        <v>0.51</v>
      </c>
      <c r="DX51" s="228">
        <v>0.74</v>
      </c>
      <c r="DY51" s="228">
        <v>-0.23</v>
      </c>
      <c r="DZ51" s="229">
        <v>-0.31080000000000002</v>
      </c>
      <c r="EA51" s="229">
        <v>1.72E-2</v>
      </c>
      <c r="EB51" s="230">
        <v>54600</v>
      </c>
      <c r="EC51" s="229">
        <v>5.3E-3</v>
      </c>
      <c r="ED51" s="229">
        <v>1.72E-2</v>
      </c>
      <c r="EE51" s="228">
        <v>24.19</v>
      </c>
      <c r="EF51" s="229">
        <v>5.4999999999999997E-3</v>
      </c>
      <c r="EG51" s="230">
        <v>129122</v>
      </c>
      <c r="EH51" s="230">
        <v>393955</v>
      </c>
      <c r="EI51" s="229">
        <v>-0.67220000000000002</v>
      </c>
      <c r="EJ51" s="229">
        <v>0.432</v>
      </c>
      <c r="EK51" s="228">
        <v>989.64</v>
      </c>
      <c r="EL51" s="228">
        <v>467.71</v>
      </c>
      <c r="EM51" s="228">
        <v>232.66</v>
      </c>
      <c r="EN51" s="228">
        <v>77.180000000000007</v>
      </c>
      <c r="EO51" s="231">
        <v>1690.01</v>
      </c>
      <c r="EP51" s="231">
        <v>1534.9</v>
      </c>
      <c r="EQ51" s="228">
        <v>155.11000000000001</v>
      </c>
      <c r="ER51" s="229">
        <v>0.1011</v>
      </c>
      <c r="ES51" s="228">
        <v>502.96</v>
      </c>
      <c r="ET51" s="228">
        <v>402.52</v>
      </c>
      <c r="EU51" s="231">
        <v>1517.62</v>
      </c>
      <c r="EV51" s="231">
        <v>19131188</v>
      </c>
      <c r="EW51" s="231">
        <v>2423.09</v>
      </c>
      <c r="EX51" s="231">
        <v>2441.96</v>
      </c>
      <c r="EY51" s="228">
        <v>-18.87</v>
      </c>
      <c r="EZ51" s="229">
        <v>-7.7000000000000002E-3</v>
      </c>
      <c r="FA51" s="229">
        <v>0.29199999999999998</v>
      </c>
      <c r="FB51" s="227" t="s">
        <v>568</v>
      </c>
      <c r="FC51">
        <f t="shared" si="0"/>
        <v>26</v>
      </c>
    </row>
    <row r="52" spans="1:159" ht="17.25" hidden="1" thickBot="1" x14ac:dyDescent="0.3">
      <c r="A52" s="226">
        <v>46064</v>
      </c>
      <c r="B52" s="227" t="s">
        <v>168</v>
      </c>
      <c r="C52" s="227" t="s">
        <v>204</v>
      </c>
      <c r="D52" s="228">
        <v>1250</v>
      </c>
      <c r="E52" s="228">
        <v>13</v>
      </c>
      <c r="F52" s="228">
        <v>523.29999999999995</v>
      </c>
      <c r="G52" s="228">
        <v>520</v>
      </c>
      <c r="H52" s="228">
        <v>3.3</v>
      </c>
      <c r="I52" s="229">
        <v>6.3E-3</v>
      </c>
      <c r="J52" s="228">
        <v>522.35</v>
      </c>
      <c r="K52" s="228">
        <v>519.70000000000005</v>
      </c>
      <c r="L52" s="228">
        <v>2.65</v>
      </c>
      <c r="M52" s="229">
        <v>5.1000000000000004E-3</v>
      </c>
      <c r="N52" s="228">
        <v>523.29999999999995</v>
      </c>
      <c r="O52" s="228">
        <v>520</v>
      </c>
      <c r="P52" s="228">
        <v>3.3</v>
      </c>
      <c r="Q52" s="229">
        <v>6.3E-3</v>
      </c>
      <c r="R52" s="228">
        <v>525.65</v>
      </c>
      <c r="S52" s="228">
        <v>522.70000000000005</v>
      </c>
      <c r="T52" s="228">
        <v>2.95</v>
      </c>
      <c r="U52" s="229">
        <v>5.5999999999999999E-3</v>
      </c>
      <c r="V52" s="228">
        <v>528.9</v>
      </c>
      <c r="W52" s="228">
        <v>525.4</v>
      </c>
      <c r="X52" s="228">
        <v>3.5</v>
      </c>
      <c r="Y52" s="229">
        <v>6.7000000000000002E-3</v>
      </c>
      <c r="Z52" s="228">
        <v>0.95</v>
      </c>
      <c r="AA52" s="228">
        <v>0.3</v>
      </c>
      <c r="AB52" s="228">
        <v>0.65</v>
      </c>
      <c r="AC52" s="229">
        <v>1.8E-3</v>
      </c>
      <c r="AD52" s="228">
        <v>0.95</v>
      </c>
      <c r="AE52" s="228">
        <v>0.3</v>
      </c>
      <c r="AF52" s="228">
        <v>0.65</v>
      </c>
      <c r="AG52" s="229">
        <v>1.8E-3</v>
      </c>
      <c r="AH52" s="228">
        <v>3.3</v>
      </c>
      <c r="AI52" s="228">
        <v>3</v>
      </c>
      <c r="AJ52" s="228">
        <v>0.3</v>
      </c>
      <c r="AK52" s="229">
        <v>6.3E-3</v>
      </c>
      <c r="AL52" s="228">
        <v>6.55</v>
      </c>
      <c r="AM52" s="228">
        <v>5.7</v>
      </c>
      <c r="AN52" s="228">
        <v>0.85</v>
      </c>
      <c r="AO52" s="229">
        <v>1.2500000000000001E-2</v>
      </c>
      <c r="AP52" s="228">
        <v>521.47</v>
      </c>
      <c r="AQ52" s="228">
        <v>524.08000000000004</v>
      </c>
      <c r="AR52" s="228">
        <v>0</v>
      </c>
      <c r="AS52" s="228">
        <v>83</v>
      </c>
      <c r="AT52" s="228">
        <v>108</v>
      </c>
      <c r="AU52" s="228">
        <v>-25</v>
      </c>
      <c r="AV52" s="229">
        <v>-0.23169999999999999</v>
      </c>
      <c r="AW52" s="228">
        <v>74</v>
      </c>
      <c r="AX52" s="228">
        <v>101</v>
      </c>
      <c r="AY52" s="228">
        <v>-26</v>
      </c>
      <c r="AZ52" s="229">
        <v>-0.26200000000000001</v>
      </c>
      <c r="BA52" s="228">
        <v>8</v>
      </c>
      <c r="BB52" s="228">
        <v>7</v>
      </c>
      <c r="BC52" s="228">
        <v>1</v>
      </c>
      <c r="BD52" s="229">
        <v>0.10580000000000001</v>
      </c>
      <c r="BE52" s="228">
        <v>2</v>
      </c>
      <c r="BF52" s="228">
        <v>1</v>
      </c>
      <c r="BG52" s="228">
        <v>1</v>
      </c>
      <c r="BH52" s="229">
        <v>0.5333</v>
      </c>
      <c r="BI52" s="228">
        <v>680</v>
      </c>
      <c r="BJ52" s="228">
        <v>650</v>
      </c>
      <c r="BK52" s="228">
        <v>30</v>
      </c>
      <c r="BL52" s="229">
        <v>4.6199999999999998E-2</v>
      </c>
      <c r="BM52" s="228">
        <v>347</v>
      </c>
      <c r="BN52" s="228">
        <v>254</v>
      </c>
      <c r="BO52" s="228">
        <v>94</v>
      </c>
      <c r="BP52" s="229">
        <v>0.37019999999999997</v>
      </c>
      <c r="BQ52" s="230">
        <v>1111</v>
      </c>
      <c r="BR52" s="230">
        <v>1012</v>
      </c>
      <c r="BS52" s="228">
        <v>99</v>
      </c>
      <c r="BT52" s="229">
        <v>9.7600000000000006E-2</v>
      </c>
      <c r="BU52" s="230">
        <v>1340395</v>
      </c>
      <c r="BV52" s="230">
        <v>1183856</v>
      </c>
      <c r="BW52" s="230">
        <v>156539</v>
      </c>
      <c r="BX52" s="229">
        <v>0.13220000000000001</v>
      </c>
      <c r="BY52" s="230">
        <v>1336</v>
      </c>
      <c r="BZ52" s="230">
        <v>1350</v>
      </c>
      <c r="CA52" s="228">
        <v>-14</v>
      </c>
      <c r="CB52" s="229">
        <v>-1.0200000000000001E-2</v>
      </c>
      <c r="CC52" s="230">
        <v>1316</v>
      </c>
      <c r="CD52" s="230">
        <v>1329</v>
      </c>
      <c r="CE52" s="228">
        <v>-13</v>
      </c>
      <c r="CF52" s="229">
        <v>-0.01</v>
      </c>
      <c r="CG52" s="228">
        <v>17</v>
      </c>
      <c r="CH52" s="228">
        <v>18</v>
      </c>
      <c r="CI52" s="228">
        <v>0</v>
      </c>
      <c r="CJ52" s="229">
        <v>-7.4000000000000003E-3</v>
      </c>
      <c r="CK52" s="228">
        <v>3</v>
      </c>
      <c r="CL52" s="228">
        <v>3</v>
      </c>
      <c r="CM52" s="228">
        <v>0</v>
      </c>
      <c r="CN52" s="229">
        <v>-0.10639999999999999</v>
      </c>
      <c r="CO52" s="228">
        <v>688</v>
      </c>
      <c r="CP52" s="228">
        <v>666</v>
      </c>
      <c r="CQ52" s="228">
        <v>22</v>
      </c>
      <c r="CR52" s="229">
        <v>3.3500000000000002E-2</v>
      </c>
      <c r="CS52" s="228">
        <v>396</v>
      </c>
      <c r="CT52" s="228">
        <v>396</v>
      </c>
      <c r="CU52" s="228">
        <v>0</v>
      </c>
      <c r="CV52" s="229">
        <v>1E-3</v>
      </c>
      <c r="CW52" s="230">
        <v>2420</v>
      </c>
      <c r="CX52" s="230">
        <v>2411</v>
      </c>
      <c r="CY52" s="228">
        <v>9</v>
      </c>
      <c r="CZ52" s="229">
        <v>3.7000000000000002E-3</v>
      </c>
      <c r="DA52" s="228">
        <v>22.76</v>
      </c>
      <c r="DB52" s="228">
        <v>23.53</v>
      </c>
      <c r="DC52" s="228">
        <v>-0.77</v>
      </c>
      <c r="DD52" s="228">
        <v>-0.77</v>
      </c>
      <c r="DE52" s="228">
        <v>24.11</v>
      </c>
      <c r="DF52" s="228">
        <v>24.16</v>
      </c>
      <c r="DG52" s="228">
        <v>-1.35</v>
      </c>
      <c r="DH52" s="228">
        <v>-0.05</v>
      </c>
      <c r="DI52" s="228">
        <v>22.39</v>
      </c>
      <c r="DJ52" s="228">
        <v>23.21</v>
      </c>
      <c r="DK52" s="228">
        <v>-0.82</v>
      </c>
      <c r="DL52" s="228">
        <v>-0.82</v>
      </c>
      <c r="DM52" s="228">
        <v>23.48</v>
      </c>
      <c r="DN52" s="228">
        <v>24.37</v>
      </c>
      <c r="DO52" s="228">
        <v>-0.89</v>
      </c>
      <c r="DP52" s="228">
        <v>-0.89</v>
      </c>
      <c r="DQ52" s="228">
        <v>0.57999999999999996</v>
      </c>
      <c r="DR52" s="228">
        <v>0.59</v>
      </c>
      <c r="DS52" s="228">
        <v>-0.01</v>
      </c>
      <c r="DT52" s="229">
        <v>-1.6899999999999998E-2</v>
      </c>
      <c r="DU52" s="228">
        <v>550</v>
      </c>
      <c r="DV52" s="228">
        <v>490</v>
      </c>
      <c r="DW52" s="228">
        <v>0.51</v>
      </c>
      <c r="DX52" s="228">
        <v>0.39</v>
      </c>
      <c r="DY52" s="228">
        <v>0.12</v>
      </c>
      <c r="DZ52" s="229">
        <v>0.30769999999999997</v>
      </c>
      <c r="EA52" s="229">
        <v>1.5100000000000001E-2</v>
      </c>
      <c r="EB52" s="230">
        <v>395000</v>
      </c>
      <c r="EC52" s="229">
        <v>4.4999999999999997E-3</v>
      </c>
      <c r="ED52" s="229">
        <v>1.5100000000000001E-2</v>
      </c>
      <c r="EE52" s="228">
        <v>2.61</v>
      </c>
      <c r="EF52" s="229">
        <v>5.0000000000000001E-3</v>
      </c>
      <c r="EG52" s="230">
        <v>797040</v>
      </c>
      <c r="EH52" s="230">
        <v>688183</v>
      </c>
      <c r="EI52" s="229">
        <v>0.15820000000000001</v>
      </c>
      <c r="EJ52" s="229">
        <v>0.59460000000000002</v>
      </c>
      <c r="EK52" s="228">
        <v>701.01</v>
      </c>
      <c r="EL52" s="228">
        <v>331.05</v>
      </c>
      <c r="EM52" s="228">
        <v>83.03</v>
      </c>
      <c r="EN52" s="228">
        <v>19.34</v>
      </c>
      <c r="EO52" s="231">
        <v>1115.0899999999999</v>
      </c>
      <c r="EP52" s="231">
        <v>1011.29</v>
      </c>
      <c r="EQ52" s="228">
        <v>103.8</v>
      </c>
      <c r="ER52" s="229">
        <v>0.1026</v>
      </c>
      <c r="ES52" s="228">
        <v>711.8</v>
      </c>
      <c r="ET52" s="228">
        <v>372.66</v>
      </c>
      <c r="EU52" s="231">
        <v>1335.9</v>
      </c>
      <c r="EV52" s="231">
        <v>89873278</v>
      </c>
      <c r="EW52" s="231">
        <v>2420.36</v>
      </c>
      <c r="EX52" s="231">
        <v>2398.86</v>
      </c>
      <c r="EY52" s="228">
        <v>21.5</v>
      </c>
      <c r="EZ52" s="229">
        <v>8.9999999999999993E-3</v>
      </c>
      <c r="FA52" s="229">
        <v>0.51470000000000005</v>
      </c>
      <c r="FB52" s="227" t="s">
        <v>556</v>
      </c>
      <c r="FC52">
        <f t="shared" si="0"/>
        <v>20</v>
      </c>
    </row>
    <row r="53" spans="1:159" ht="17.25" hidden="1" thickBot="1" x14ac:dyDescent="0.3">
      <c r="A53" s="226">
        <v>46064</v>
      </c>
      <c r="B53" s="227" t="s">
        <v>157</v>
      </c>
      <c r="C53" s="227" t="s">
        <v>524</v>
      </c>
      <c r="D53" s="228">
        <v>325</v>
      </c>
      <c r="E53" s="228">
        <v>13</v>
      </c>
      <c r="F53" s="231">
        <v>2181.6999999999998</v>
      </c>
      <c r="G53" s="231">
        <v>2194.5</v>
      </c>
      <c r="H53" s="228">
        <v>-12.8</v>
      </c>
      <c r="I53" s="229">
        <v>-5.7999999999999996E-3</v>
      </c>
      <c r="J53" s="231">
        <v>2175.1999999999998</v>
      </c>
      <c r="K53" s="231">
        <v>2191.4</v>
      </c>
      <c r="L53" s="228">
        <v>-16.2</v>
      </c>
      <c r="M53" s="229">
        <v>-7.4000000000000003E-3</v>
      </c>
      <c r="N53" s="231">
        <v>2181.6999999999998</v>
      </c>
      <c r="O53" s="231">
        <v>2194.5</v>
      </c>
      <c r="P53" s="228">
        <v>-12.8</v>
      </c>
      <c r="Q53" s="229">
        <v>-5.7999999999999996E-3</v>
      </c>
      <c r="R53" s="231">
        <v>2194.6</v>
      </c>
      <c r="S53" s="231">
        <v>2207.6999999999998</v>
      </c>
      <c r="T53" s="228">
        <v>-13.1</v>
      </c>
      <c r="U53" s="229">
        <v>-5.8999999999999999E-3</v>
      </c>
      <c r="V53" s="231">
        <v>2207.9</v>
      </c>
      <c r="W53" s="231">
        <v>2230.6</v>
      </c>
      <c r="X53" s="228">
        <v>-22.7</v>
      </c>
      <c r="Y53" s="229">
        <v>-1.0200000000000001E-2</v>
      </c>
      <c r="Z53" s="228">
        <v>6.5</v>
      </c>
      <c r="AA53" s="228">
        <v>3.1</v>
      </c>
      <c r="AB53" s="228">
        <v>3.4</v>
      </c>
      <c r="AC53" s="229">
        <v>3.0000000000000001E-3</v>
      </c>
      <c r="AD53" s="228">
        <v>6.5</v>
      </c>
      <c r="AE53" s="228">
        <v>3.1</v>
      </c>
      <c r="AF53" s="228">
        <v>3.4</v>
      </c>
      <c r="AG53" s="229">
        <v>3.0000000000000001E-3</v>
      </c>
      <c r="AH53" s="228">
        <v>19.399999999999999</v>
      </c>
      <c r="AI53" s="228">
        <v>16.3</v>
      </c>
      <c r="AJ53" s="228">
        <v>3.1</v>
      </c>
      <c r="AK53" s="229">
        <v>8.8999999999999999E-3</v>
      </c>
      <c r="AL53" s="228">
        <v>32.700000000000003</v>
      </c>
      <c r="AM53" s="228">
        <v>39.200000000000003</v>
      </c>
      <c r="AN53" s="228">
        <v>-6.5</v>
      </c>
      <c r="AO53" s="229">
        <v>1.4999999999999999E-2</v>
      </c>
      <c r="AP53" s="231">
        <v>2178.34</v>
      </c>
      <c r="AQ53" s="231">
        <v>2192.64</v>
      </c>
      <c r="AR53" s="228">
        <v>0</v>
      </c>
      <c r="AS53" s="228">
        <v>94</v>
      </c>
      <c r="AT53" s="228">
        <v>88</v>
      </c>
      <c r="AU53" s="228">
        <v>6</v>
      </c>
      <c r="AV53" s="229">
        <v>7.0800000000000002E-2</v>
      </c>
      <c r="AW53" s="228">
        <v>85</v>
      </c>
      <c r="AX53" s="228">
        <v>80</v>
      </c>
      <c r="AY53" s="228">
        <v>4</v>
      </c>
      <c r="AZ53" s="229">
        <v>5.3900000000000003E-2</v>
      </c>
      <c r="BA53" s="228">
        <v>10</v>
      </c>
      <c r="BB53" s="228">
        <v>8</v>
      </c>
      <c r="BC53" s="228">
        <v>2</v>
      </c>
      <c r="BD53" s="229">
        <v>0.23849999999999999</v>
      </c>
      <c r="BE53" s="228">
        <v>0</v>
      </c>
      <c r="BF53" s="228">
        <v>0</v>
      </c>
      <c r="BG53" s="228">
        <v>0</v>
      </c>
      <c r="BH53" s="229">
        <v>0.33329999999999999</v>
      </c>
      <c r="BI53" s="228">
        <v>68</v>
      </c>
      <c r="BJ53" s="228">
        <v>178</v>
      </c>
      <c r="BK53" s="228">
        <v>-110</v>
      </c>
      <c r="BL53" s="229">
        <v>-0.61760000000000004</v>
      </c>
      <c r="BM53" s="228">
        <v>77</v>
      </c>
      <c r="BN53" s="228">
        <v>65</v>
      </c>
      <c r="BO53" s="228">
        <v>13</v>
      </c>
      <c r="BP53" s="229">
        <v>0.19869999999999999</v>
      </c>
      <c r="BQ53" s="228">
        <v>240</v>
      </c>
      <c r="BR53" s="228">
        <v>331</v>
      </c>
      <c r="BS53" s="228">
        <v>-91</v>
      </c>
      <c r="BT53" s="229">
        <v>-0.2752</v>
      </c>
      <c r="BU53" s="230">
        <v>160265</v>
      </c>
      <c r="BV53" s="230">
        <v>209957</v>
      </c>
      <c r="BW53" s="230">
        <v>-49692</v>
      </c>
      <c r="BX53" s="229">
        <v>-0.23669999999999999</v>
      </c>
      <c r="BY53" s="228">
        <v>606</v>
      </c>
      <c r="BZ53" s="228">
        <v>583</v>
      </c>
      <c r="CA53" s="228">
        <v>23</v>
      </c>
      <c r="CB53" s="229">
        <v>3.9399999999999998E-2</v>
      </c>
      <c r="CC53" s="228">
        <v>589</v>
      </c>
      <c r="CD53" s="228">
        <v>572</v>
      </c>
      <c r="CE53" s="228">
        <v>17</v>
      </c>
      <c r="CF53" s="229">
        <v>3.0499999999999999E-2</v>
      </c>
      <c r="CG53" s="228">
        <v>16</v>
      </c>
      <c r="CH53" s="228">
        <v>10</v>
      </c>
      <c r="CI53" s="228">
        <v>5</v>
      </c>
      <c r="CJ53" s="229">
        <v>0.51700000000000002</v>
      </c>
      <c r="CK53" s="228">
        <v>1</v>
      </c>
      <c r="CL53" s="228">
        <v>1</v>
      </c>
      <c r="CM53" s="228">
        <v>0</v>
      </c>
      <c r="CN53" s="229">
        <v>0.16669999999999999</v>
      </c>
      <c r="CO53" s="228">
        <v>190</v>
      </c>
      <c r="CP53" s="228">
        <v>184</v>
      </c>
      <c r="CQ53" s="228">
        <v>6</v>
      </c>
      <c r="CR53" s="229">
        <v>3.1600000000000003E-2</v>
      </c>
      <c r="CS53" s="228">
        <v>402</v>
      </c>
      <c r="CT53" s="228">
        <v>393</v>
      </c>
      <c r="CU53" s="228">
        <v>9</v>
      </c>
      <c r="CV53" s="229">
        <v>2.1999999999999999E-2</v>
      </c>
      <c r="CW53" s="230">
        <v>1198</v>
      </c>
      <c r="CX53" s="230">
        <v>1160</v>
      </c>
      <c r="CY53" s="228">
        <v>37</v>
      </c>
      <c r="CZ53" s="229">
        <v>3.2300000000000002E-2</v>
      </c>
      <c r="DA53" s="228">
        <v>31.88</v>
      </c>
      <c r="DB53" s="228">
        <v>32.36</v>
      </c>
      <c r="DC53" s="228">
        <v>-0.48</v>
      </c>
      <c r="DD53" s="228">
        <v>-0.48</v>
      </c>
      <c r="DE53" s="228">
        <v>30.49</v>
      </c>
      <c r="DF53" s="228">
        <v>30.55</v>
      </c>
      <c r="DG53" s="228">
        <v>1.39</v>
      </c>
      <c r="DH53" s="228">
        <v>-0.06</v>
      </c>
      <c r="DI53" s="228">
        <v>30.32</v>
      </c>
      <c r="DJ53" s="228">
        <v>31.13</v>
      </c>
      <c r="DK53" s="228">
        <v>-0.81</v>
      </c>
      <c r="DL53" s="228">
        <v>-0.81</v>
      </c>
      <c r="DM53" s="228">
        <v>33.26</v>
      </c>
      <c r="DN53" s="228">
        <v>35.75</v>
      </c>
      <c r="DO53" s="228">
        <v>-2.4900000000000002</v>
      </c>
      <c r="DP53" s="228">
        <v>-2.4900000000000002</v>
      </c>
      <c r="DQ53" s="228">
        <v>2.12</v>
      </c>
      <c r="DR53" s="228">
        <v>2.14</v>
      </c>
      <c r="DS53" s="228">
        <v>-0.02</v>
      </c>
      <c r="DT53" s="229">
        <v>-9.2999999999999992E-3</v>
      </c>
      <c r="DU53" s="231">
        <v>2300</v>
      </c>
      <c r="DV53" s="231">
        <v>2000</v>
      </c>
      <c r="DW53" s="228">
        <v>1.1399999999999999</v>
      </c>
      <c r="DX53" s="228">
        <v>0.36</v>
      </c>
      <c r="DY53" s="228">
        <v>0.78</v>
      </c>
      <c r="DZ53" s="229">
        <v>2.1667000000000001</v>
      </c>
      <c r="EA53" s="229">
        <v>2.7699999999999999E-2</v>
      </c>
      <c r="EB53" s="230">
        <v>51675</v>
      </c>
      <c r="EC53" s="229">
        <v>5.8999999999999999E-3</v>
      </c>
      <c r="ED53" s="229">
        <v>2.7699999999999999E-2</v>
      </c>
      <c r="EE53" s="228">
        <v>14.3</v>
      </c>
      <c r="EF53" s="229">
        <v>6.6E-3</v>
      </c>
      <c r="EG53" s="230">
        <v>97803</v>
      </c>
      <c r="EH53" s="230">
        <v>127024</v>
      </c>
      <c r="EI53" s="229">
        <v>-0.23</v>
      </c>
      <c r="EJ53" s="229">
        <v>0.61029999999999995</v>
      </c>
      <c r="EK53" s="228">
        <v>71.66</v>
      </c>
      <c r="EL53" s="228">
        <v>75.33</v>
      </c>
      <c r="EM53" s="228">
        <v>94.3</v>
      </c>
      <c r="EN53" s="228">
        <v>11.77</v>
      </c>
      <c r="EO53" s="228">
        <v>241.28</v>
      </c>
      <c r="EP53" s="228">
        <v>339.89</v>
      </c>
      <c r="EQ53" s="228">
        <v>-98.6</v>
      </c>
      <c r="ER53" s="229">
        <v>-0.29010000000000002</v>
      </c>
      <c r="ES53" s="228">
        <v>194.43</v>
      </c>
      <c r="ET53" s="228">
        <v>368.49</v>
      </c>
      <c r="EU53" s="228">
        <v>606.27</v>
      </c>
      <c r="EV53" s="231">
        <v>12425041</v>
      </c>
      <c r="EW53" s="231">
        <v>1169.2</v>
      </c>
      <c r="EX53" s="231">
        <v>1135.3399999999999</v>
      </c>
      <c r="EY53" s="228">
        <v>33.86</v>
      </c>
      <c r="EZ53" s="229">
        <v>2.98E-2</v>
      </c>
      <c r="FA53" s="229">
        <v>0.44180000000000003</v>
      </c>
      <c r="FB53" s="227" t="s">
        <v>567</v>
      </c>
      <c r="FC53">
        <f t="shared" si="0"/>
        <v>17</v>
      </c>
    </row>
    <row r="54" spans="1:159" ht="17.25" hidden="1" thickBot="1" x14ac:dyDescent="0.3">
      <c r="A54" s="226">
        <v>46064</v>
      </c>
      <c r="B54" s="227" t="s">
        <v>615</v>
      </c>
      <c r="C54" s="227" t="s">
        <v>600</v>
      </c>
      <c r="D54" s="228">
        <v>2075</v>
      </c>
      <c r="E54" s="228">
        <v>13</v>
      </c>
      <c r="F54" s="228">
        <v>430.15</v>
      </c>
      <c r="G54" s="228">
        <v>436.75</v>
      </c>
      <c r="H54" s="228">
        <v>-6.6</v>
      </c>
      <c r="I54" s="229">
        <v>-1.5100000000000001E-2</v>
      </c>
      <c r="J54" s="228">
        <v>429.5</v>
      </c>
      <c r="K54" s="228">
        <v>435.95</v>
      </c>
      <c r="L54" s="228">
        <v>-6.45</v>
      </c>
      <c r="M54" s="229">
        <v>-1.4800000000000001E-2</v>
      </c>
      <c r="N54" s="228">
        <v>430.15</v>
      </c>
      <c r="O54" s="228">
        <v>436.75</v>
      </c>
      <c r="P54" s="228">
        <v>-6.6</v>
      </c>
      <c r="Q54" s="229">
        <v>-1.5100000000000001E-2</v>
      </c>
      <c r="R54" s="228">
        <v>433.55</v>
      </c>
      <c r="S54" s="228">
        <v>439.4</v>
      </c>
      <c r="T54" s="228">
        <v>-5.85</v>
      </c>
      <c r="U54" s="229">
        <v>-1.3299999999999999E-2</v>
      </c>
      <c r="V54" s="228">
        <v>432</v>
      </c>
      <c r="W54" s="228">
        <v>443.9</v>
      </c>
      <c r="X54" s="228">
        <v>-11.9</v>
      </c>
      <c r="Y54" s="229">
        <v>-2.6800000000000001E-2</v>
      </c>
      <c r="Z54" s="228">
        <v>0.65</v>
      </c>
      <c r="AA54" s="228">
        <v>0.8</v>
      </c>
      <c r="AB54" s="228">
        <v>-0.15</v>
      </c>
      <c r="AC54" s="229">
        <v>1.5E-3</v>
      </c>
      <c r="AD54" s="228">
        <v>0.65</v>
      </c>
      <c r="AE54" s="228">
        <v>0.8</v>
      </c>
      <c r="AF54" s="228">
        <v>-0.15</v>
      </c>
      <c r="AG54" s="229">
        <v>1.5E-3</v>
      </c>
      <c r="AH54" s="228">
        <v>4.05</v>
      </c>
      <c r="AI54" s="228">
        <v>3.45</v>
      </c>
      <c r="AJ54" s="228">
        <v>0.6</v>
      </c>
      <c r="AK54" s="229">
        <v>9.4000000000000004E-3</v>
      </c>
      <c r="AL54" s="228">
        <v>2.5</v>
      </c>
      <c r="AM54" s="228">
        <v>7.95</v>
      </c>
      <c r="AN54" s="228">
        <v>-5.45</v>
      </c>
      <c r="AO54" s="229">
        <v>5.7999999999999996E-3</v>
      </c>
      <c r="AP54" s="228">
        <v>429.71</v>
      </c>
      <c r="AQ54" s="228">
        <v>432.39</v>
      </c>
      <c r="AR54" s="228">
        <v>0</v>
      </c>
      <c r="AS54" s="228">
        <v>242</v>
      </c>
      <c r="AT54" s="228">
        <v>321</v>
      </c>
      <c r="AU54" s="228">
        <v>-79</v>
      </c>
      <c r="AV54" s="229">
        <v>-0.24579999999999999</v>
      </c>
      <c r="AW54" s="228">
        <v>227</v>
      </c>
      <c r="AX54" s="228">
        <v>298</v>
      </c>
      <c r="AY54" s="228">
        <v>-71</v>
      </c>
      <c r="AZ54" s="229">
        <v>-0.23760000000000001</v>
      </c>
      <c r="BA54" s="228">
        <v>15</v>
      </c>
      <c r="BB54" s="228">
        <v>23</v>
      </c>
      <c r="BC54" s="228">
        <v>-8</v>
      </c>
      <c r="BD54" s="229">
        <v>-0.33989999999999998</v>
      </c>
      <c r="BE54" s="228">
        <v>0</v>
      </c>
      <c r="BF54" s="228">
        <v>1</v>
      </c>
      <c r="BG54" s="228">
        <v>-1</v>
      </c>
      <c r="BH54" s="229">
        <v>-0.6</v>
      </c>
      <c r="BI54" s="228">
        <v>434</v>
      </c>
      <c r="BJ54" s="228">
        <v>607</v>
      </c>
      <c r="BK54" s="228">
        <v>-173</v>
      </c>
      <c r="BL54" s="229">
        <v>-0.28520000000000001</v>
      </c>
      <c r="BM54" s="228">
        <v>171</v>
      </c>
      <c r="BN54" s="228">
        <v>222</v>
      </c>
      <c r="BO54" s="228">
        <v>-51</v>
      </c>
      <c r="BP54" s="229">
        <v>-0.2283</v>
      </c>
      <c r="BQ54" s="228">
        <v>847</v>
      </c>
      <c r="BR54" s="230">
        <v>1150</v>
      </c>
      <c r="BS54" s="228">
        <v>-303</v>
      </c>
      <c r="BT54" s="229">
        <v>-0.26319999999999999</v>
      </c>
      <c r="BU54" s="230">
        <v>4054312</v>
      </c>
      <c r="BV54" s="230">
        <v>5503714</v>
      </c>
      <c r="BW54" s="230">
        <v>-1449402</v>
      </c>
      <c r="BX54" s="229">
        <v>-0.26329999999999998</v>
      </c>
      <c r="BY54" s="230">
        <v>1056</v>
      </c>
      <c r="BZ54" s="230">
        <v>1021</v>
      </c>
      <c r="CA54" s="228">
        <v>35</v>
      </c>
      <c r="CB54" s="229">
        <v>3.4599999999999999E-2</v>
      </c>
      <c r="CC54" s="230">
        <v>1029</v>
      </c>
      <c r="CD54" s="228">
        <v>997</v>
      </c>
      <c r="CE54" s="228">
        <v>32</v>
      </c>
      <c r="CF54" s="229">
        <v>3.2099999999999997E-2</v>
      </c>
      <c r="CG54" s="228">
        <v>21</v>
      </c>
      <c r="CH54" s="228">
        <v>18</v>
      </c>
      <c r="CI54" s="228">
        <v>3</v>
      </c>
      <c r="CJ54" s="229">
        <v>0.17499999999999999</v>
      </c>
      <c r="CK54" s="228">
        <v>6</v>
      </c>
      <c r="CL54" s="228">
        <v>6</v>
      </c>
      <c r="CM54" s="228">
        <v>0</v>
      </c>
      <c r="CN54" s="229">
        <v>2.9000000000000001E-2</v>
      </c>
      <c r="CO54" s="228">
        <v>467</v>
      </c>
      <c r="CP54" s="228">
        <v>476</v>
      </c>
      <c r="CQ54" s="228">
        <v>-9</v>
      </c>
      <c r="CR54" s="229">
        <v>-1.9900000000000001E-2</v>
      </c>
      <c r="CS54" s="228">
        <v>267</v>
      </c>
      <c r="CT54" s="228">
        <v>273</v>
      </c>
      <c r="CU54" s="228">
        <v>-7</v>
      </c>
      <c r="CV54" s="229">
        <v>-2.4799999999999999E-2</v>
      </c>
      <c r="CW54" s="230">
        <v>1789</v>
      </c>
      <c r="CX54" s="230">
        <v>1770</v>
      </c>
      <c r="CY54" s="228">
        <v>19</v>
      </c>
      <c r="CZ54" s="229">
        <v>1.0800000000000001E-2</v>
      </c>
      <c r="DA54" s="228">
        <v>35.229999999999997</v>
      </c>
      <c r="DB54" s="228">
        <v>34.79</v>
      </c>
      <c r="DC54" s="228">
        <v>0.44</v>
      </c>
      <c r="DD54" s="228">
        <v>0.44</v>
      </c>
      <c r="DE54" s="228">
        <v>39.61</v>
      </c>
      <c r="DF54" s="228">
        <v>39.659999999999997</v>
      </c>
      <c r="DG54" s="228">
        <v>-4.38</v>
      </c>
      <c r="DH54" s="228">
        <v>-0.05</v>
      </c>
      <c r="DI54" s="228">
        <v>35.35</v>
      </c>
      <c r="DJ54" s="228">
        <v>34.479999999999997</v>
      </c>
      <c r="DK54" s="228">
        <v>0.87</v>
      </c>
      <c r="DL54" s="228">
        <v>0.87</v>
      </c>
      <c r="DM54" s="228">
        <v>34.92</v>
      </c>
      <c r="DN54" s="228">
        <v>35.630000000000003</v>
      </c>
      <c r="DO54" s="228">
        <v>-0.71</v>
      </c>
      <c r="DP54" s="228">
        <v>-0.71</v>
      </c>
      <c r="DQ54" s="228">
        <v>0.56999999999999995</v>
      </c>
      <c r="DR54" s="228">
        <v>0.56999999999999995</v>
      </c>
      <c r="DS54" s="228">
        <v>0</v>
      </c>
      <c r="DT54" s="229">
        <v>0</v>
      </c>
      <c r="DU54" s="228">
        <v>450</v>
      </c>
      <c r="DV54" s="228">
        <v>400</v>
      </c>
      <c r="DW54" s="228">
        <v>0.4</v>
      </c>
      <c r="DX54" s="228">
        <v>0.37</v>
      </c>
      <c r="DY54" s="228">
        <v>0.03</v>
      </c>
      <c r="DZ54" s="229">
        <v>8.1100000000000005E-2</v>
      </c>
      <c r="EA54" s="229">
        <v>2.5899999999999999E-2</v>
      </c>
      <c r="EB54" s="230">
        <v>558175</v>
      </c>
      <c r="EC54" s="229">
        <v>7.9000000000000008E-3</v>
      </c>
      <c r="ED54" s="229">
        <v>2.5899999999999999E-2</v>
      </c>
      <c r="EE54" s="228">
        <v>2.68</v>
      </c>
      <c r="EF54" s="229">
        <v>6.1999999999999998E-3</v>
      </c>
      <c r="EG54" s="230">
        <v>2721411</v>
      </c>
      <c r="EH54" s="230">
        <v>2826836</v>
      </c>
      <c r="EI54" s="229">
        <v>-3.73E-2</v>
      </c>
      <c r="EJ54" s="229">
        <v>0.67120000000000002</v>
      </c>
      <c r="EK54" s="228">
        <v>463.97</v>
      </c>
      <c r="EL54" s="228">
        <v>167.32</v>
      </c>
      <c r="EM54" s="228">
        <v>242.27</v>
      </c>
      <c r="EN54" s="228">
        <v>20.45</v>
      </c>
      <c r="EO54" s="228">
        <v>873.56</v>
      </c>
      <c r="EP54" s="231">
        <v>1198.48</v>
      </c>
      <c r="EQ54" s="228">
        <v>-324.91000000000003</v>
      </c>
      <c r="ER54" s="229">
        <v>-0.27110000000000001</v>
      </c>
      <c r="ES54" s="228">
        <v>494.92</v>
      </c>
      <c r="ET54" s="228">
        <v>253.58</v>
      </c>
      <c r="EU54" s="231">
        <v>1056.54</v>
      </c>
      <c r="EV54" s="231">
        <v>112112283</v>
      </c>
      <c r="EW54" s="231">
        <v>1805.05</v>
      </c>
      <c r="EX54" s="231">
        <v>1803.66</v>
      </c>
      <c r="EY54" s="228">
        <v>1.39</v>
      </c>
      <c r="EZ54" s="229">
        <v>8.0000000000000004E-4</v>
      </c>
      <c r="FA54" s="229">
        <v>0.37109999999999999</v>
      </c>
      <c r="FB54" s="227" t="s">
        <v>567</v>
      </c>
      <c r="FC54">
        <f t="shared" si="0"/>
        <v>27</v>
      </c>
    </row>
    <row r="55" spans="1:159" ht="17.25" hidden="1" thickBot="1" x14ac:dyDescent="0.3">
      <c r="A55" s="226">
        <v>46064</v>
      </c>
      <c r="B55" s="227" t="s">
        <v>170</v>
      </c>
      <c r="C55" s="227" t="s">
        <v>205</v>
      </c>
      <c r="D55" s="228">
        <v>100</v>
      </c>
      <c r="E55" s="228">
        <v>13</v>
      </c>
      <c r="F55" s="231">
        <v>6363</v>
      </c>
      <c r="G55" s="231">
        <v>6182</v>
      </c>
      <c r="H55" s="228">
        <v>181</v>
      </c>
      <c r="I55" s="229">
        <v>2.93E-2</v>
      </c>
      <c r="J55" s="231">
        <v>6386.5</v>
      </c>
      <c r="K55" s="231">
        <v>6175.5</v>
      </c>
      <c r="L55" s="228">
        <v>211</v>
      </c>
      <c r="M55" s="229">
        <v>3.4200000000000001E-2</v>
      </c>
      <c r="N55" s="231">
        <v>6363</v>
      </c>
      <c r="O55" s="231">
        <v>6182</v>
      </c>
      <c r="P55" s="228">
        <v>181</v>
      </c>
      <c r="Q55" s="229">
        <v>2.93E-2</v>
      </c>
      <c r="R55" s="231">
        <v>6401</v>
      </c>
      <c r="S55" s="231">
        <v>6219.5</v>
      </c>
      <c r="T55" s="228">
        <v>181.5</v>
      </c>
      <c r="U55" s="229">
        <v>2.92E-2</v>
      </c>
      <c r="V55" s="231">
        <v>6442.5</v>
      </c>
      <c r="W55" s="231">
        <v>6249</v>
      </c>
      <c r="X55" s="228">
        <v>193.5</v>
      </c>
      <c r="Y55" s="229">
        <v>3.1E-2</v>
      </c>
      <c r="Z55" s="228">
        <v>-23.5</v>
      </c>
      <c r="AA55" s="228">
        <v>6.5</v>
      </c>
      <c r="AB55" s="228">
        <v>-30</v>
      </c>
      <c r="AC55" s="229">
        <v>-3.7000000000000002E-3</v>
      </c>
      <c r="AD55" s="228">
        <v>-23.5</v>
      </c>
      <c r="AE55" s="228">
        <v>6.5</v>
      </c>
      <c r="AF55" s="228">
        <v>-30</v>
      </c>
      <c r="AG55" s="229">
        <v>-3.7000000000000002E-3</v>
      </c>
      <c r="AH55" s="228">
        <v>14.5</v>
      </c>
      <c r="AI55" s="228">
        <v>44</v>
      </c>
      <c r="AJ55" s="228">
        <v>-29.5</v>
      </c>
      <c r="AK55" s="229">
        <v>2.3E-3</v>
      </c>
      <c r="AL55" s="228">
        <v>56</v>
      </c>
      <c r="AM55" s="228">
        <v>73.5</v>
      </c>
      <c r="AN55" s="228">
        <v>-17.5</v>
      </c>
      <c r="AO55" s="229">
        <v>8.8000000000000005E-3</v>
      </c>
      <c r="AP55" s="231">
        <v>6269.32</v>
      </c>
      <c r="AQ55" s="231">
        <v>6317.27</v>
      </c>
      <c r="AR55" s="228">
        <v>0</v>
      </c>
      <c r="AS55" s="230">
        <v>1511</v>
      </c>
      <c r="AT55" s="228">
        <v>369</v>
      </c>
      <c r="AU55" s="230">
        <v>1142</v>
      </c>
      <c r="AV55" s="229">
        <v>3.0922000000000001</v>
      </c>
      <c r="AW55" s="230">
        <v>1441</v>
      </c>
      <c r="AX55" s="228">
        <v>357</v>
      </c>
      <c r="AY55" s="230">
        <v>1084</v>
      </c>
      <c r="AZ55" s="229">
        <v>3.0385</v>
      </c>
      <c r="BA55" s="228">
        <v>66</v>
      </c>
      <c r="BB55" s="228">
        <v>11</v>
      </c>
      <c r="BC55" s="228">
        <v>54</v>
      </c>
      <c r="BD55" s="229">
        <v>4.7389000000000001</v>
      </c>
      <c r="BE55" s="228">
        <v>5</v>
      </c>
      <c r="BF55" s="228">
        <v>1</v>
      </c>
      <c r="BG55" s="228">
        <v>4</v>
      </c>
      <c r="BH55" s="229">
        <v>3.3529</v>
      </c>
      <c r="BI55" s="230">
        <v>9104</v>
      </c>
      <c r="BJ55" s="230">
        <v>1423</v>
      </c>
      <c r="BK55" s="230">
        <v>7682</v>
      </c>
      <c r="BL55" s="229">
        <v>5.3998999999999997</v>
      </c>
      <c r="BM55" s="230">
        <v>3972</v>
      </c>
      <c r="BN55" s="228">
        <v>466</v>
      </c>
      <c r="BO55" s="230">
        <v>3507</v>
      </c>
      <c r="BP55" s="229">
        <v>7.53</v>
      </c>
      <c r="BQ55" s="230">
        <v>14588</v>
      </c>
      <c r="BR55" s="230">
        <v>2258</v>
      </c>
      <c r="BS55" s="230">
        <v>12330</v>
      </c>
      <c r="BT55" s="229">
        <v>5.4619</v>
      </c>
      <c r="BU55" s="230">
        <v>1314231</v>
      </c>
      <c r="BV55" s="230">
        <v>243838</v>
      </c>
      <c r="BW55" s="230">
        <v>1070393</v>
      </c>
      <c r="BX55" s="229">
        <v>4.3898000000000001</v>
      </c>
      <c r="BY55" s="230">
        <v>2222</v>
      </c>
      <c r="BZ55" s="230">
        <v>2246</v>
      </c>
      <c r="CA55" s="228">
        <v>-24</v>
      </c>
      <c r="CB55" s="229">
        <v>-1.06E-2</v>
      </c>
      <c r="CC55" s="230">
        <v>2168</v>
      </c>
      <c r="CD55" s="230">
        <v>2194</v>
      </c>
      <c r="CE55" s="228">
        <v>-26</v>
      </c>
      <c r="CF55" s="229">
        <v>-1.17E-2</v>
      </c>
      <c r="CG55" s="228">
        <v>51</v>
      </c>
      <c r="CH55" s="228">
        <v>49</v>
      </c>
      <c r="CI55" s="228">
        <v>2</v>
      </c>
      <c r="CJ55" s="229">
        <v>4.19E-2</v>
      </c>
      <c r="CK55" s="228">
        <v>4</v>
      </c>
      <c r="CL55" s="228">
        <v>4</v>
      </c>
      <c r="CM55" s="228">
        <v>0</v>
      </c>
      <c r="CN55" s="229">
        <v>-1.7500000000000002E-2</v>
      </c>
      <c r="CO55" s="230">
        <v>1144</v>
      </c>
      <c r="CP55" s="228">
        <v>820</v>
      </c>
      <c r="CQ55" s="228">
        <v>323</v>
      </c>
      <c r="CR55" s="229">
        <v>0.39439999999999997</v>
      </c>
      <c r="CS55" s="228">
        <v>727</v>
      </c>
      <c r="CT55" s="228">
        <v>543</v>
      </c>
      <c r="CU55" s="228">
        <v>184</v>
      </c>
      <c r="CV55" s="229">
        <v>0.33839999999999998</v>
      </c>
      <c r="CW55" s="230">
        <v>4093</v>
      </c>
      <c r="CX55" s="230">
        <v>3609</v>
      </c>
      <c r="CY55" s="228">
        <v>483</v>
      </c>
      <c r="CZ55" s="229">
        <v>0.13400000000000001</v>
      </c>
      <c r="DA55" s="228">
        <v>32.130000000000003</v>
      </c>
      <c r="DB55" s="228">
        <v>38.450000000000003</v>
      </c>
      <c r="DC55" s="228">
        <v>-6.32</v>
      </c>
      <c r="DD55" s="228">
        <v>-6.32</v>
      </c>
      <c r="DE55" s="228">
        <v>30.7</v>
      </c>
      <c r="DF55" s="228">
        <v>30.42</v>
      </c>
      <c r="DG55" s="228">
        <v>1.43</v>
      </c>
      <c r="DH55" s="228">
        <v>0.28000000000000003</v>
      </c>
      <c r="DI55" s="228">
        <v>31.34</v>
      </c>
      <c r="DJ55" s="228">
        <v>38.4</v>
      </c>
      <c r="DK55" s="228">
        <v>-7.06</v>
      </c>
      <c r="DL55" s="228">
        <v>-7.06</v>
      </c>
      <c r="DM55" s="228">
        <v>33.92</v>
      </c>
      <c r="DN55" s="228">
        <v>38.590000000000003</v>
      </c>
      <c r="DO55" s="228">
        <v>-4.67</v>
      </c>
      <c r="DP55" s="228">
        <v>-4.67</v>
      </c>
      <c r="DQ55" s="228">
        <v>0.64</v>
      </c>
      <c r="DR55" s="228">
        <v>0.66</v>
      </c>
      <c r="DS55" s="228">
        <v>-0.02</v>
      </c>
      <c r="DT55" s="229">
        <v>-3.0300000000000001E-2</v>
      </c>
      <c r="DU55" s="231">
        <v>7100</v>
      </c>
      <c r="DV55" s="231">
        <v>6200</v>
      </c>
      <c r="DW55" s="228">
        <v>0.44</v>
      </c>
      <c r="DX55" s="228">
        <v>0.33</v>
      </c>
      <c r="DY55" s="228">
        <v>0.11</v>
      </c>
      <c r="DZ55" s="229">
        <v>0.33329999999999999</v>
      </c>
      <c r="EA55" s="229">
        <v>2.4400000000000002E-2</v>
      </c>
      <c r="EB55" s="230">
        <v>82000</v>
      </c>
      <c r="EC55" s="229">
        <v>6.0000000000000001E-3</v>
      </c>
      <c r="ED55" s="229">
        <v>2.4400000000000002E-2</v>
      </c>
      <c r="EE55" s="228">
        <v>47.95</v>
      </c>
      <c r="EF55" s="229">
        <v>7.6E-3</v>
      </c>
      <c r="EG55" s="230">
        <v>316320</v>
      </c>
      <c r="EH55" s="230">
        <v>123147</v>
      </c>
      <c r="EI55" s="229">
        <v>1.5686</v>
      </c>
      <c r="EJ55" s="229">
        <v>0.2407</v>
      </c>
      <c r="EK55" s="231">
        <v>9423.7099999999991</v>
      </c>
      <c r="EL55" s="231">
        <v>3825.67</v>
      </c>
      <c r="EM55" s="231">
        <v>1489.33</v>
      </c>
      <c r="EN55" s="228">
        <v>64.8</v>
      </c>
      <c r="EO55" s="231">
        <v>14738.72</v>
      </c>
      <c r="EP55" s="231">
        <v>2263.54</v>
      </c>
      <c r="EQ55" s="231">
        <v>12475.17</v>
      </c>
      <c r="ER55" s="229">
        <v>5.5113000000000003</v>
      </c>
      <c r="ES55" s="231">
        <v>1180.5899999999999</v>
      </c>
      <c r="ET55" s="228">
        <v>678.84</v>
      </c>
      <c r="EU55" s="231">
        <v>2222.5</v>
      </c>
      <c r="EV55" s="231">
        <v>14898112</v>
      </c>
      <c r="EW55" s="231">
        <v>4081.93</v>
      </c>
      <c r="EX55" s="231">
        <v>3520.25</v>
      </c>
      <c r="EY55" s="228">
        <v>561.67999999999995</v>
      </c>
      <c r="EZ55" s="229">
        <v>0.15959999999999999</v>
      </c>
      <c r="FA55" s="229">
        <v>0.43169999999999997</v>
      </c>
      <c r="FB55" s="227" t="s">
        <v>556</v>
      </c>
      <c r="FC55">
        <f t="shared" si="0"/>
        <v>54</v>
      </c>
    </row>
    <row r="56" spans="1:159" ht="17.25" hidden="1" thickBot="1" x14ac:dyDescent="0.3">
      <c r="A56" s="226">
        <v>46064</v>
      </c>
      <c r="B56" s="227" t="s">
        <v>184</v>
      </c>
      <c r="C56" s="227" t="s">
        <v>512</v>
      </c>
      <c r="D56" s="228">
        <v>50</v>
      </c>
      <c r="E56" s="228">
        <v>13</v>
      </c>
      <c r="F56" s="231">
        <v>11776</v>
      </c>
      <c r="G56" s="231">
        <v>11621</v>
      </c>
      <c r="H56" s="228">
        <v>155</v>
      </c>
      <c r="I56" s="229">
        <v>1.3299999999999999E-2</v>
      </c>
      <c r="J56" s="231">
        <v>11741</v>
      </c>
      <c r="K56" s="231">
        <v>11609</v>
      </c>
      <c r="L56" s="228">
        <v>132</v>
      </c>
      <c r="M56" s="229">
        <v>1.14E-2</v>
      </c>
      <c r="N56" s="231">
        <v>11776</v>
      </c>
      <c r="O56" s="231">
        <v>11621</v>
      </c>
      <c r="P56" s="228">
        <v>155</v>
      </c>
      <c r="Q56" s="229">
        <v>1.3299999999999999E-2</v>
      </c>
      <c r="R56" s="231">
        <v>11827</v>
      </c>
      <c r="S56" s="231">
        <v>11685</v>
      </c>
      <c r="T56" s="228">
        <v>142</v>
      </c>
      <c r="U56" s="229">
        <v>1.2200000000000001E-2</v>
      </c>
      <c r="V56" s="231">
        <v>11905</v>
      </c>
      <c r="W56" s="231">
        <v>11761</v>
      </c>
      <c r="X56" s="228">
        <v>144</v>
      </c>
      <c r="Y56" s="229">
        <v>1.2200000000000001E-2</v>
      </c>
      <c r="Z56" s="228">
        <v>35</v>
      </c>
      <c r="AA56" s="228">
        <v>12</v>
      </c>
      <c r="AB56" s="228">
        <v>23</v>
      </c>
      <c r="AC56" s="229">
        <v>3.0000000000000001E-3</v>
      </c>
      <c r="AD56" s="228">
        <v>35</v>
      </c>
      <c r="AE56" s="228">
        <v>12</v>
      </c>
      <c r="AF56" s="228">
        <v>23</v>
      </c>
      <c r="AG56" s="229">
        <v>3.0000000000000001E-3</v>
      </c>
      <c r="AH56" s="228">
        <v>86</v>
      </c>
      <c r="AI56" s="228">
        <v>76</v>
      </c>
      <c r="AJ56" s="228">
        <v>10</v>
      </c>
      <c r="AK56" s="229">
        <v>7.3000000000000001E-3</v>
      </c>
      <c r="AL56" s="228">
        <v>164</v>
      </c>
      <c r="AM56" s="228">
        <v>152</v>
      </c>
      <c r="AN56" s="228">
        <v>12</v>
      </c>
      <c r="AO56" s="229">
        <v>1.4E-2</v>
      </c>
      <c r="AP56" s="231">
        <v>11686.31</v>
      </c>
      <c r="AQ56" s="231">
        <v>11739.27</v>
      </c>
      <c r="AR56" s="228">
        <v>0</v>
      </c>
      <c r="AS56" s="228">
        <v>736</v>
      </c>
      <c r="AT56" s="228">
        <v>780</v>
      </c>
      <c r="AU56" s="228">
        <v>-45</v>
      </c>
      <c r="AV56" s="229">
        <v>-5.7299999999999997E-2</v>
      </c>
      <c r="AW56" s="228">
        <v>630</v>
      </c>
      <c r="AX56" s="228">
        <v>651</v>
      </c>
      <c r="AY56" s="228">
        <v>-21</v>
      </c>
      <c r="AZ56" s="229">
        <v>-3.1699999999999999E-2</v>
      </c>
      <c r="BA56" s="228">
        <v>97</v>
      </c>
      <c r="BB56" s="228">
        <v>117</v>
      </c>
      <c r="BC56" s="228">
        <v>-20</v>
      </c>
      <c r="BD56" s="229">
        <v>-0.1724</v>
      </c>
      <c r="BE56" s="228">
        <v>9</v>
      </c>
      <c r="BF56" s="228">
        <v>13</v>
      </c>
      <c r="BG56" s="228">
        <v>-4</v>
      </c>
      <c r="BH56" s="229">
        <v>-0.31159999999999999</v>
      </c>
      <c r="BI56" s="230">
        <v>3901</v>
      </c>
      <c r="BJ56" s="230">
        <v>3800</v>
      </c>
      <c r="BK56" s="228">
        <v>101</v>
      </c>
      <c r="BL56" s="229">
        <v>2.6499999999999999E-2</v>
      </c>
      <c r="BM56" s="230">
        <v>1775</v>
      </c>
      <c r="BN56" s="230">
        <v>1897</v>
      </c>
      <c r="BO56" s="228">
        <v>-122</v>
      </c>
      <c r="BP56" s="229">
        <v>-6.4399999999999999E-2</v>
      </c>
      <c r="BQ56" s="230">
        <v>6412</v>
      </c>
      <c r="BR56" s="230">
        <v>6478</v>
      </c>
      <c r="BS56" s="228">
        <v>-66</v>
      </c>
      <c r="BT56" s="229">
        <v>-1.0200000000000001E-2</v>
      </c>
      <c r="BU56" s="230">
        <v>478989</v>
      </c>
      <c r="BV56" s="230">
        <v>596494</v>
      </c>
      <c r="BW56" s="230">
        <v>-117505</v>
      </c>
      <c r="BX56" s="229">
        <v>-0.19700000000000001</v>
      </c>
      <c r="BY56" s="230">
        <v>3027</v>
      </c>
      <c r="BZ56" s="230">
        <v>3046</v>
      </c>
      <c r="CA56" s="228">
        <v>-19</v>
      </c>
      <c r="CB56" s="229">
        <v>-6.4000000000000003E-3</v>
      </c>
      <c r="CC56" s="230">
        <v>2755</v>
      </c>
      <c r="CD56" s="230">
        <v>2774</v>
      </c>
      <c r="CE56" s="228">
        <v>-19</v>
      </c>
      <c r="CF56" s="229">
        <v>-7.0000000000000001E-3</v>
      </c>
      <c r="CG56" s="228">
        <v>238</v>
      </c>
      <c r="CH56" s="228">
        <v>239</v>
      </c>
      <c r="CI56" s="228">
        <v>-1</v>
      </c>
      <c r="CJ56" s="229">
        <v>-4.4000000000000003E-3</v>
      </c>
      <c r="CK56" s="228">
        <v>34</v>
      </c>
      <c r="CL56" s="228">
        <v>33</v>
      </c>
      <c r="CM56" s="228">
        <v>1</v>
      </c>
      <c r="CN56" s="229">
        <v>3.04E-2</v>
      </c>
      <c r="CO56" s="230">
        <v>2443</v>
      </c>
      <c r="CP56" s="230">
        <v>2517</v>
      </c>
      <c r="CQ56" s="228">
        <v>-74</v>
      </c>
      <c r="CR56" s="229">
        <v>-2.9399999999999999E-2</v>
      </c>
      <c r="CS56" s="230">
        <v>1901</v>
      </c>
      <c r="CT56" s="230">
        <v>1837</v>
      </c>
      <c r="CU56" s="228">
        <v>64</v>
      </c>
      <c r="CV56" s="229">
        <v>3.4799999999999998E-2</v>
      </c>
      <c r="CW56" s="230">
        <v>7370</v>
      </c>
      <c r="CX56" s="230">
        <v>7400</v>
      </c>
      <c r="CY56" s="228">
        <v>-29</v>
      </c>
      <c r="CZ56" s="229">
        <v>-4.0000000000000001E-3</v>
      </c>
      <c r="DA56" s="228">
        <v>42</v>
      </c>
      <c r="DB56" s="228">
        <v>44.43</v>
      </c>
      <c r="DC56" s="228">
        <v>-2.4300000000000002</v>
      </c>
      <c r="DD56" s="228">
        <v>-2.4300000000000002</v>
      </c>
      <c r="DE56" s="228">
        <v>45.22</v>
      </c>
      <c r="DF56" s="228">
        <v>45.31</v>
      </c>
      <c r="DG56" s="228">
        <v>-3.22</v>
      </c>
      <c r="DH56" s="228">
        <v>-0.09</v>
      </c>
      <c r="DI56" s="228">
        <v>41.02</v>
      </c>
      <c r="DJ56" s="228">
        <v>43.03</v>
      </c>
      <c r="DK56" s="228">
        <v>-2.0099999999999998</v>
      </c>
      <c r="DL56" s="228">
        <v>-2.0099999999999998</v>
      </c>
      <c r="DM56" s="228">
        <v>44.14</v>
      </c>
      <c r="DN56" s="228">
        <v>47.22</v>
      </c>
      <c r="DO56" s="228">
        <v>-3.08</v>
      </c>
      <c r="DP56" s="228">
        <v>-3.08</v>
      </c>
      <c r="DQ56" s="228">
        <v>0.78</v>
      </c>
      <c r="DR56" s="228">
        <v>0.73</v>
      </c>
      <c r="DS56" s="228">
        <v>0.05</v>
      </c>
      <c r="DT56" s="229">
        <v>6.8500000000000005E-2</v>
      </c>
      <c r="DU56" s="231">
        <v>12000</v>
      </c>
      <c r="DV56" s="231">
        <v>11000</v>
      </c>
      <c r="DW56" s="228">
        <v>0.45</v>
      </c>
      <c r="DX56" s="228">
        <v>0.5</v>
      </c>
      <c r="DY56" s="228">
        <v>-0.05</v>
      </c>
      <c r="DZ56" s="229">
        <v>-0.1</v>
      </c>
      <c r="EA56" s="229">
        <v>8.9899999999999994E-2</v>
      </c>
      <c r="EB56" s="230">
        <v>231250</v>
      </c>
      <c r="EC56" s="229">
        <v>4.3E-3</v>
      </c>
      <c r="ED56" s="229">
        <v>8.9899999999999994E-2</v>
      </c>
      <c r="EE56" s="228">
        <v>52.96</v>
      </c>
      <c r="EF56" s="229">
        <v>4.4999999999999997E-3</v>
      </c>
      <c r="EG56" s="230">
        <v>126851</v>
      </c>
      <c r="EH56" s="230">
        <v>177993</v>
      </c>
      <c r="EI56" s="229">
        <v>-0.2873</v>
      </c>
      <c r="EJ56" s="229">
        <v>0.26479999999999998</v>
      </c>
      <c r="EK56" s="231">
        <v>4111.8900000000003</v>
      </c>
      <c r="EL56" s="231">
        <v>1684.97</v>
      </c>
      <c r="EM56" s="228">
        <v>730.58</v>
      </c>
      <c r="EN56" s="228">
        <v>195.5</v>
      </c>
      <c r="EO56" s="231">
        <v>6527.43</v>
      </c>
      <c r="EP56" s="231">
        <v>6582.79</v>
      </c>
      <c r="EQ56" s="228">
        <v>-55.36</v>
      </c>
      <c r="ER56" s="229">
        <v>-8.3999999999999995E-3</v>
      </c>
      <c r="ES56" s="231">
        <v>2534.4699999999998</v>
      </c>
      <c r="ET56" s="231">
        <v>1722.67</v>
      </c>
      <c r="EU56" s="231">
        <v>3028.25</v>
      </c>
      <c r="EV56" s="231">
        <v>6452220</v>
      </c>
      <c r="EW56" s="231">
        <v>7285.39</v>
      </c>
      <c r="EX56" s="231">
        <v>7276.3</v>
      </c>
      <c r="EY56" s="228">
        <v>9.09</v>
      </c>
      <c r="EZ56" s="229">
        <v>1.1999999999999999E-3</v>
      </c>
      <c r="FA56" s="229">
        <v>0.97</v>
      </c>
      <c r="FB56" s="227" t="s">
        <v>556</v>
      </c>
      <c r="FC56">
        <f t="shared" si="0"/>
        <v>272</v>
      </c>
    </row>
    <row r="57" spans="1:159" ht="17.25" hidden="1" thickBot="1" x14ac:dyDescent="0.3">
      <c r="A57" s="226">
        <v>46064</v>
      </c>
      <c r="B57" s="227" t="s">
        <v>206</v>
      </c>
      <c r="C57" s="227" t="s">
        <v>207</v>
      </c>
      <c r="D57" s="228">
        <v>825</v>
      </c>
      <c r="E57" s="228">
        <v>13</v>
      </c>
      <c r="F57" s="228">
        <v>672.55</v>
      </c>
      <c r="G57" s="228">
        <v>674.15</v>
      </c>
      <c r="H57" s="228">
        <v>-1.6</v>
      </c>
      <c r="I57" s="229">
        <v>-2.3999999999999998E-3</v>
      </c>
      <c r="J57" s="228">
        <v>672.05</v>
      </c>
      <c r="K57" s="228">
        <v>671.8</v>
      </c>
      <c r="L57" s="228">
        <v>0.25</v>
      </c>
      <c r="M57" s="229">
        <v>4.0000000000000002E-4</v>
      </c>
      <c r="N57" s="228">
        <v>672.55</v>
      </c>
      <c r="O57" s="228">
        <v>674.15</v>
      </c>
      <c r="P57" s="228">
        <v>-1.6</v>
      </c>
      <c r="Q57" s="229">
        <v>-2.3999999999999998E-3</v>
      </c>
      <c r="R57" s="228">
        <v>676.8</v>
      </c>
      <c r="S57" s="228">
        <v>678</v>
      </c>
      <c r="T57" s="228">
        <v>-1.2</v>
      </c>
      <c r="U57" s="229">
        <v>-1.8E-3</v>
      </c>
      <c r="V57" s="228">
        <v>680.85</v>
      </c>
      <c r="W57" s="228">
        <v>682.25</v>
      </c>
      <c r="X57" s="228">
        <v>-1.4</v>
      </c>
      <c r="Y57" s="229">
        <v>-2.0999999999999999E-3</v>
      </c>
      <c r="Z57" s="228">
        <v>0.5</v>
      </c>
      <c r="AA57" s="228">
        <v>2.35</v>
      </c>
      <c r="AB57" s="228">
        <v>-1.85</v>
      </c>
      <c r="AC57" s="229">
        <v>6.9999999999999999E-4</v>
      </c>
      <c r="AD57" s="228">
        <v>0.5</v>
      </c>
      <c r="AE57" s="228">
        <v>2.35</v>
      </c>
      <c r="AF57" s="228">
        <v>-1.85</v>
      </c>
      <c r="AG57" s="229">
        <v>6.9999999999999999E-4</v>
      </c>
      <c r="AH57" s="228">
        <v>4.75</v>
      </c>
      <c r="AI57" s="228">
        <v>6.2</v>
      </c>
      <c r="AJ57" s="228">
        <v>-1.45</v>
      </c>
      <c r="AK57" s="229">
        <v>7.1000000000000004E-3</v>
      </c>
      <c r="AL57" s="228">
        <v>8.8000000000000007</v>
      </c>
      <c r="AM57" s="228">
        <v>10.45</v>
      </c>
      <c r="AN57" s="228">
        <v>-1.65</v>
      </c>
      <c r="AO57" s="229">
        <v>1.3100000000000001E-2</v>
      </c>
      <c r="AP57" s="228">
        <v>669.1</v>
      </c>
      <c r="AQ57" s="228">
        <v>672.85</v>
      </c>
      <c r="AR57" s="228">
        <v>0</v>
      </c>
      <c r="AS57" s="228">
        <v>283</v>
      </c>
      <c r="AT57" s="228">
        <v>310</v>
      </c>
      <c r="AU57" s="228">
        <v>-27</v>
      </c>
      <c r="AV57" s="229">
        <v>-8.7499999999999994E-2</v>
      </c>
      <c r="AW57" s="228">
        <v>250</v>
      </c>
      <c r="AX57" s="228">
        <v>266</v>
      </c>
      <c r="AY57" s="228">
        <v>-15</v>
      </c>
      <c r="AZ57" s="229">
        <v>-5.8000000000000003E-2</v>
      </c>
      <c r="BA57" s="228">
        <v>29</v>
      </c>
      <c r="BB57" s="228">
        <v>41</v>
      </c>
      <c r="BC57" s="228">
        <v>-12</v>
      </c>
      <c r="BD57" s="229">
        <v>-0.29420000000000002</v>
      </c>
      <c r="BE57" s="228">
        <v>3</v>
      </c>
      <c r="BF57" s="228">
        <v>3</v>
      </c>
      <c r="BG57" s="228">
        <v>0</v>
      </c>
      <c r="BH57" s="229">
        <v>0.12959999999999999</v>
      </c>
      <c r="BI57" s="228">
        <v>803</v>
      </c>
      <c r="BJ57" s="228">
        <v>837</v>
      </c>
      <c r="BK57" s="228">
        <v>-35</v>
      </c>
      <c r="BL57" s="229">
        <v>-4.1399999999999999E-2</v>
      </c>
      <c r="BM57" s="228">
        <v>508</v>
      </c>
      <c r="BN57" s="228">
        <v>368</v>
      </c>
      <c r="BO57" s="228">
        <v>140</v>
      </c>
      <c r="BP57" s="229">
        <v>0.38109999999999999</v>
      </c>
      <c r="BQ57" s="230">
        <v>1594</v>
      </c>
      <c r="BR57" s="230">
        <v>1515</v>
      </c>
      <c r="BS57" s="228">
        <v>78</v>
      </c>
      <c r="BT57" s="229">
        <v>5.1799999999999999E-2</v>
      </c>
      <c r="BU57" s="230">
        <v>2052114</v>
      </c>
      <c r="BV57" s="230">
        <v>2973986</v>
      </c>
      <c r="BW57" s="230">
        <v>-921872</v>
      </c>
      <c r="BX57" s="229">
        <v>-0.31</v>
      </c>
      <c r="BY57" s="230">
        <v>3476</v>
      </c>
      <c r="BZ57" s="230">
        <v>3478</v>
      </c>
      <c r="CA57" s="228">
        <v>-2</v>
      </c>
      <c r="CB57" s="229">
        <v>-5.0000000000000001E-4</v>
      </c>
      <c r="CC57" s="230">
        <v>3351</v>
      </c>
      <c r="CD57" s="230">
        <v>3362</v>
      </c>
      <c r="CE57" s="228">
        <v>-11</v>
      </c>
      <c r="CF57" s="229">
        <v>-3.3E-3</v>
      </c>
      <c r="CG57" s="228">
        <v>116</v>
      </c>
      <c r="CH57" s="228">
        <v>106</v>
      </c>
      <c r="CI57" s="228">
        <v>9</v>
      </c>
      <c r="CJ57" s="229">
        <v>8.8300000000000003E-2</v>
      </c>
      <c r="CK57" s="228">
        <v>10</v>
      </c>
      <c r="CL57" s="228">
        <v>10</v>
      </c>
      <c r="CM57" s="228">
        <v>0</v>
      </c>
      <c r="CN57" s="229">
        <v>0</v>
      </c>
      <c r="CO57" s="228">
        <v>873</v>
      </c>
      <c r="CP57" s="228">
        <v>883</v>
      </c>
      <c r="CQ57" s="228">
        <v>-10</v>
      </c>
      <c r="CR57" s="229">
        <v>-1.11E-2</v>
      </c>
      <c r="CS57" s="228">
        <v>764</v>
      </c>
      <c r="CT57" s="228">
        <v>748</v>
      </c>
      <c r="CU57" s="228">
        <v>16</v>
      </c>
      <c r="CV57" s="229">
        <v>2.1100000000000001E-2</v>
      </c>
      <c r="CW57" s="230">
        <v>5113</v>
      </c>
      <c r="CX57" s="230">
        <v>5108</v>
      </c>
      <c r="CY57" s="228">
        <v>4</v>
      </c>
      <c r="CZ57" s="229">
        <v>8.0000000000000004E-4</v>
      </c>
      <c r="DA57" s="228">
        <v>28.62</v>
      </c>
      <c r="DB57" s="228">
        <v>27.86</v>
      </c>
      <c r="DC57" s="228">
        <v>0.76</v>
      </c>
      <c r="DD57" s="228">
        <v>0.76</v>
      </c>
      <c r="DE57" s="228">
        <v>35.130000000000003</v>
      </c>
      <c r="DF57" s="228">
        <v>35.21</v>
      </c>
      <c r="DG57" s="228">
        <v>-6.51</v>
      </c>
      <c r="DH57" s="228">
        <v>-0.08</v>
      </c>
      <c r="DI57" s="228">
        <v>27.49</v>
      </c>
      <c r="DJ57" s="228">
        <v>26.74</v>
      </c>
      <c r="DK57" s="228">
        <v>0.75</v>
      </c>
      <c r="DL57" s="228">
        <v>0.75</v>
      </c>
      <c r="DM57" s="228">
        <v>30.4</v>
      </c>
      <c r="DN57" s="228">
        <v>30.4</v>
      </c>
      <c r="DO57" s="228">
        <v>0</v>
      </c>
      <c r="DP57" s="228">
        <v>0</v>
      </c>
      <c r="DQ57" s="228">
        <v>0.87</v>
      </c>
      <c r="DR57" s="228">
        <v>0.85</v>
      </c>
      <c r="DS57" s="228">
        <v>0.02</v>
      </c>
      <c r="DT57" s="229">
        <v>2.35E-2</v>
      </c>
      <c r="DU57" s="228">
        <v>700</v>
      </c>
      <c r="DV57" s="228">
        <v>600</v>
      </c>
      <c r="DW57" s="228">
        <v>0.63</v>
      </c>
      <c r="DX57" s="228">
        <v>0.44</v>
      </c>
      <c r="DY57" s="228">
        <v>0.19</v>
      </c>
      <c r="DZ57" s="229">
        <v>0.43180000000000002</v>
      </c>
      <c r="EA57" s="229">
        <v>3.61E-2</v>
      </c>
      <c r="EB57" s="230">
        <v>1726725</v>
      </c>
      <c r="EC57" s="229">
        <v>6.3E-3</v>
      </c>
      <c r="ED57" s="229">
        <v>3.61E-2</v>
      </c>
      <c r="EE57" s="228">
        <v>3.75</v>
      </c>
      <c r="EF57" s="229">
        <v>5.5999999999999999E-3</v>
      </c>
      <c r="EG57" s="230">
        <v>826923</v>
      </c>
      <c r="EH57" s="230">
        <v>1268870</v>
      </c>
      <c r="EI57" s="229">
        <v>-0.3483</v>
      </c>
      <c r="EJ57" s="229">
        <v>0.40300000000000002</v>
      </c>
      <c r="EK57" s="228">
        <v>829.73</v>
      </c>
      <c r="EL57" s="228">
        <v>498.88</v>
      </c>
      <c r="EM57" s="228">
        <v>281.62</v>
      </c>
      <c r="EN57" s="228">
        <v>71.239999999999995</v>
      </c>
      <c r="EO57" s="231">
        <v>1610.23</v>
      </c>
      <c r="EP57" s="231">
        <v>1539.11</v>
      </c>
      <c r="EQ57" s="228">
        <v>71.12</v>
      </c>
      <c r="ER57" s="229">
        <v>4.6199999999999998E-2</v>
      </c>
      <c r="ES57" s="228">
        <v>872.82</v>
      </c>
      <c r="ET57" s="228">
        <v>724.7</v>
      </c>
      <c r="EU57" s="231">
        <v>3477.12</v>
      </c>
      <c r="EV57" s="231">
        <v>96058266</v>
      </c>
      <c r="EW57" s="231">
        <v>5074.6400000000003</v>
      </c>
      <c r="EX57" s="231">
        <v>5078.62</v>
      </c>
      <c r="EY57" s="228">
        <v>-3.98</v>
      </c>
      <c r="EZ57" s="229">
        <v>-8.0000000000000004E-4</v>
      </c>
      <c r="FA57" s="229">
        <v>0.79139999999999999</v>
      </c>
      <c r="FB57" s="227" t="s">
        <v>568</v>
      </c>
      <c r="FC57">
        <f t="shared" si="0"/>
        <v>125</v>
      </c>
    </row>
    <row r="58" spans="1:159" ht="17.25" hidden="1" thickBot="1" x14ac:dyDescent="0.3">
      <c r="A58" s="226">
        <v>46064</v>
      </c>
      <c r="B58" s="227" t="s">
        <v>615</v>
      </c>
      <c r="C58" s="227" t="s">
        <v>583</v>
      </c>
      <c r="D58" s="228">
        <v>150</v>
      </c>
      <c r="E58" s="228">
        <v>13</v>
      </c>
      <c r="F58" s="231">
        <v>3988.1</v>
      </c>
      <c r="G58" s="231">
        <v>3998.8</v>
      </c>
      <c r="H58" s="228">
        <v>-10.7</v>
      </c>
      <c r="I58" s="229">
        <v>-2.7000000000000001E-3</v>
      </c>
      <c r="J58" s="231">
        <v>4003.7</v>
      </c>
      <c r="K58" s="231">
        <v>4002.2</v>
      </c>
      <c r="L58" s="228">
        <v>1.5</v>
      </c>
      <c r="M58" s="229">
        <v>4.0000000000000002E-4</v>
      </c>
      <c r="N58" s="231">
        <v>3988.1</v>
      </c>
      <c r="O58" s="231">
        <v>3998.8</v>
      </c>
      <c r="P58" s="228">
        <v>-10.7</v>
      </c>
      <c r="Q58" s="229">
        <v>-2.7000000000000001E-3</v>
      </c>
      <c r="R58" s="231">
        <v>3980.3</v>
      </c>
      <c r="S58" s="231">
        <v>3992.8</v>
      </c>
      <c r="T58" s="228">
        <v>-12.5</v>
      </c>
      <c r="U58" s="229">
        <v>-3.0999999999999999E-3</v>
      </c>
      <c r="V58" s="231">
        <v>3980.8</v>
      </c>
      <c r="W58" s="231">
        <v>4002.7</v>
      </c>
      <c r="X58" s="228">
        <v>-21.9</v>
      </c>
      <c r="Y58" s="229">
        <v>-5.4999999999999997E-3</v>
      </c>
      <c r="Z58" s="228">
        <v>-15.6</v>
      </c>
      <c r="AA58" s="228">
        <v>-3.4</v>
      </c>
      <c r="AB58" s="228">
        <v>-12.2</v>
      </c>
      <c r="AC58" s="229">
        <v>-3.8999999999999998E-3</v>
      </c>
      <c r="AD58" s="228">
        <v>-15.6</v>
      </c>
      <c r="AE58" s="228">
        <v>-3.4</v>
      </c>
      <c r="AF58" s="228">
        <v>-12.2</v>
      </c>
      <c r="AG58" s="229">
        <v>-3.8999999999999998E-3</v>
      </c>
      <c r="AH58" s="228">
        <v>-23.4</v>
      </c>
      <c r="AI58" s="228">
        <v>-9.4</v>
      </c>
      <c r="AJ58" s="228">
        <v>-14</v>
      </c>
      <c r="AK58" s="229">
        <v>-5.7999999999999996E-3</v>
      </c>
      <c r="AL58" s="228">
        <v>-22.9</v>
      </c>
      <c r="AM58" s="228">
        <v>0.5</v>
      </c>
      <c r="AN58" s="228">
        <v>-23.4</v>
      </c>
      <c r="AO58" s="229">
        <v>-5.7000000000000002E-3</v>
      </c>
      <c r="AP58" s="231">
        <v>3984.69</v>
      </c>
      <c r="AQ58" s="231">
        <v>3975.13</v>
      </c>
      <c r="AR58" s="228">
        <v>0</v>
      </c>
      <c r="AS58" s="228">
        <v>261</v>
      </c>
      <c r="AT58" s="228">
        <v>377</v>
      </c>
      <c r="AU58" s="228">
        <v>-116</v>
      </c>
      <c r="AV58" s="229">
        <v>-0.30819999999999997</v>
      </c>
      <c r="AW58" s="228">
        <v>184</v>
      </c>
      <c r="AX58" s="228">
        <v>288</v>
      </c>
      <c r="AY58" s="228">
        <v>-104</v>
      </c>
      <c r="AZ58" s="229">
        <v>-0.36120000000000002</v>
      </c>
      <c r="BA58" s="228">
        <v>74</v>
      </c>
      <c r="BB58" s="228">
        <v>84</v>
      </c>
      <c r="BC58" s="228">
        <v>-9</v>
      </c>
      <c r="BD58" s="229">
        <v>-0.1095</v>
      </c>
      <c r="BE58" s="228">
        <v>2</v>
      </c>
      <c r="BF58" s="228">
        <v>5</v>
      </c>
      <c r="BG58" s="228">
        <v>-3</v>
      </c>
      <c r="BH58" s="229">
        <v>-0.57830000000000004</v>
      </c>
      <c r="BI58" s="228">
        <v>602</v>
      </c>
      <c r="BJ58" s="230">
        <v>1507</v>
      </c>
      <c r="BK58" s="228">
        <v>-906</v>
      </c>
      <c r="BL58" s="229">
        <v>-0.6008</v>
      </c>
      <c r="BM58" s="228">
        <v>195</v>
      </c>
      <c r="BN58" s="228">
        <v>536</v>
      </c>
      <c r="BO58" s="228">
        <v>-342</v>
      </c>
      <c r="BP58" s="229">
        <v>-0.6371</v>
      </c>
      <c r="BQ58" s="230">
        <v>1057</v>
      </c>
      <c r="BR58" s="230">
        <v>2420</v>
      </c>
      <c r="BS58" s="230">
        <v>-1363</v>
      </c>
      <c r="BT58" s="229">
        <v>-0.56330000000000002</v>
      </c>
      <c r="BU58" s="230">
        <v>333736</v>
      </c>
      <c r="BV58" s="230">
        <v>400770</v>
      </c>
      <c r="BW58" s="230">
        <v>-67034</v>
      </c>
      <c r="BX58" s="229">
        <v>-0.1673</v>
      </c>
      <c r="BY58" s="230">
        <v>2403</v>
      </c>
      <c r="BZ58" s="230">
        <v>2356</v>
      </c>
      <c r="CA58" s="228">
        <v>47</v>
      </c>
      <c r="CB58" s="229">
        <v>1.9800000000000002E-2</v>
      </c>
      <c r="CC58" s="230">
        <v>2053</v>
      </c>
      <c r="CD58" s="230">
        <v>2043</v>
      </c>
      <c r="CE58" s="228">
        <v>10</v>
      </c>
      <c r="CF58" s="229">
        <v>4.7999999999999996E-3</v>
      </c>
      <c r="CG58" s="228">
        <v>335</v>
      </c>
      <c r="CH58" s="228">
        <v>299</v>
      </c>
      <c r="CI58" s="228">
        <v>36</v>
      </c>
      <c r="CJ58" s="229">
        <v>0.11940000000000001</v>
      </c>
      <c r="CK58" s="228">
        <v>15</v>
      </c>
      <c r="CL58" s="228">
        <v>14</v>
      </c>
      <c r="CM58" s="228">
        <v>1</v>
      </c>
      <c r="CN58" s="229">
        <v>7.2999999999999995E-2</v>
      </c>
      <c r="CO58" s="228">
        <v>693</v>
      </c>
      <c r="CP58" s="228">
        <v>655</v>
      </c>
      <c r="CQ58" s="228">
        <v>38</v>
      </c>
      <c r="CR58" s="229">
        <v>5.74E-2</v>
      </c>
      <c r="CS58" s="228">
        <v>481</v>
      </c>
      <c r="CT58" s="228">
        <v>480</v>
      </c>
      <c r="CU58" s="228">
        <v>1</v>
      </c>
      <c r="CV58" s="229">
        <v>1.1999999999999999E-3</v>
      </c>
      <c r="CW58" s="230">
        <v>3577</v>
      </c>
      <c r="CX58" s="230">
        <v>3492</v>
      </c>
      <c r="CY58" s="228">
        <v>85</v>
      </c>
      <c r="CZ58" s="229">
        <v>2.4299999999999999E-2</v>
      </c>
      <c r="DA58" s="228">
        <v>26.77</v>
      </c>
      <c r="DB58" s="228">
        <v>27.23</v>
      </c>
      <c r="DC58" s="228">
        <v>-0.46</v>
      </c>
      <c r="DD58" s="228">
        <v>-0.46</v>
      </c>
      <c r="DE58" s="228">
        <v>30.64</v>
      </c>
      <c r="DF58" s="228">
        <v>30.71</v>
      </c>
      <c r="DG58" s="228">
        <v>-3.87</v>
      </c>
      <c r="DH58" s="228">
        <v>-7.0000000000000007E-2</v>
      </c>
      <c r="DI58" s="228">
        <v>26.14</v>
      </c>
      <c r="DJ58" s="228">
        <v>26.72</v>
      </c>
      <c r="DK58" s="228">
        <v>-0.57999999999999996</v>
      </c>
      <c r="DL58" s="228">
        <v>-0.57999999999999996</v>
      </c>
      <c r="DM58" s="228">
        <v>28.73</v>
      </c>
      <c r="DN58" s="228">
        <v>28.65</v>
      </c>
      <c r="DO58" s="228">
        <v>0.08</v>
      </c>
      <c r="DP58" s="228">
        <v>0.08</v>
      </c>
      <c r="DQ58" s="228">
        <v>0.69</v>
      </c>
      <c r="DR58" s="228">
        <v>0.73</v>
      </c>
      <c r="DS58" s="228">
        <v>-0.04</v>
      </c>
      <c r="DT58" s="229">
        <v>-5.4800000000000001E-2</v>
      </c>
      <c r="DU58" s="231">
        <v>4500</v>
      </c>
      <c r="DV58" s="231">
        <v>3400</v>
      </c>
      <c r="DW58" s="228">
        <v>0.32</v>
      </c>
      <c r="DX58" s="228">
        <v>0.36</v>
      </c>
      <c r="DY58" s="228">
        <v>-0.04</v>
      </c>
      <c r="DZ58" s="229">
        <v>-0.1111</v>
      </c>
      <c r="EA58" s="229">
        <v>0.14560000000000001</v>
      </c>
      <c r="EB58" s="230">
        <v>784950</v>
      </c>
      <c r="EC58" s="229">
        <v>-2E-3</v>
      </c>
      <c r="ED58" s="229">
        <v>0.14560000000000001</v>
      </c>
      <c r="EE58" s="228">
        <v>-9.56</v>
      </c>
      <c r="EF58" s="229">
        <v>-2.3999999999999998E-3</v>
      </c>
      <c r="EG58" s="230">
        <v>179350</v>
      </c>
      <c r="EH58" s="230">
        <v>176535</v>
      </c>
      <c r="EI58" s="229">
        <v>1.5900000000000001E-2</v>
      </c>
      <c r="EJ58" s="229">
        <v>0.53739999999999999</v>
      </c>
      <c r="EK58" s="228">
        <v>632.48</v>
      </c>
      <c r="EL58" s="228">
        <v>185.75</v>
      </c>
      <c r="EM58" s="228">
        <v>260.18</v>
      </c>
      <c r="EN58" s="228">
        <v>57.66</v>
      </c>
      <c r="EO58" s="231">
        <v>1078.4100000000001</v>
      </c>
      <c r="EP58" s="231">
        <v>2452.61</v>
      </c>
      <c r="EQ58" s="231">
        <v>-1374.2</v>
      </c>
      <c r="ER58" s="229">
        <v>-0.56030000000000002</v>
      </c>
      <c r="ES58" s="228">
        <v>709.15</v>
      </c>
      <c r="ET58" s="228">
        <v>441</v>
      </c>
      <c r="EU58" s="231">
        <v>2401.9899999999998</v>
      </c>
      <c r="EV58" s="231">
        <v>18750186</v>
      </c>
      <c r="EW58" s="231">
        <v>3552.14</v>
      </c>
      <c r="EX58" s="231">
        <v>3468.97</v>
      </c>
      <c r="EY58" s="228">
        <v>83.17</v>
      </c>
      <c r="EZ58" s="229">
        <v>2.4E-2</v>
      </c>
      <c r="FA58" s="229">
        <v>0.4783</v>
      </c>
      <c r="FB58" s="227" t="s">
        <v>567</v>
      </c>
      <c r="FC58">
        <f t="shared" si="0"/>
        <v>350</v>
      </c>
    </row>
    <row r="59" spans="1:159" ht="17.25" hidden="1" thickBot="1" x14ac:dyDescent="0.3">
      <c r="A59" s="226">
        <v>46064</v>
      </c>
      <c r="B59" s="227" t="s">
        <v>170</v>
      </c>
      <c r="C59" s="227" t="s">
        <v>208</v>
      </c>
      <c r="D59" s="228">
        <v>625</v>
      </c>
      <c r="E59" s="228">
        <v>13</v>
      </c>
      <c r="F59" s="231">
        <v>1271</v>
      </c>
      <c r="G59" s="231">
        <v>1259</v>
      </c>
      <c r="H59" s="228">
        <v>12</v>
      </c>
      <c r="I59" s="229">
        <v>9.4999999999999998E-3</v>
      </c>
      <c r="J59" s="231">
        <v>1270.3</v>
      </c>
      <c r="K59" s="231">
        <v>1256</v>
      </c>
      <c r="L59" s="228">
        <v>14.3</v>
      </c>
      <c r="M59" s="229">
        <v>1.14E-2</v>
      </c>
      <c r="N59" s="231">
        <v>1271</v>
      </c>
      <c r="O59" s="231">
        <v>1259</v>
      </c>
      <c r="P59" s="228">
        <v>12</v>
      </c>
      <c r="Q59" s="229">
        <v>9.4999999999999998E-3</v>
      </c>
      <c r="R59" s="231">
        <v>1278.8</v>
      </c>
      <c r="S59" s="231">
        <v>1265.4000000000001</v>
      </c>
      <c r="T59" s="228">
        <v>13.4</v>
      </c>
      <c r="U59" s="229">
        <v>1.06E-2</v>
      </c>
      <c r="V59" s="231">
        <v>1287.5</v>
      </c>
      <c r="W59" s="231">
        <v>1272</v>
      </c>
      <c r="X59" s="228">
        <v>15.5</v>
      </c>
      <c r="Y59" s="229">
        <v>1.2200000000000001E-2</v>
      </c>
      <c r="Z59" s="228">
        <v>0.7</v>
      </c>
      <c r="AA59" s="228">
        <v>3</v>
      </c>
      <c r="AB59" s="228">
        <v>-2.2999999999999998</v>
      </c>
      <c r="AC59" s="229">
        <v>5.9999999999999995E-4</v>
      </c>
      <c r="AD59" s="228">
        <v>0.7</v>
      </c>
      <c r="AE59" s="228">
        <v>3</v>
      </c>
      <c r="AF59" s="228">
        <v>-2.2999999999999998</v>
      </c>
      <c r="AG59" s="229">
        <v>5.9999999999999995E-4</v>
      </c>
      <c r="AH59" s="228">
        <v>8.5</v>
      </c>
      <c r="AI59" s="228">
        <v>9.4</v>
      </c>
      <c r="AJ59" s="228">
        <v>-0.9</v>
      </c>
      <c r="AK59" s="229">
        <v>6.7000000000000002E-3</v>
      </c>
      <c r="AL59" s="228">
        <v>17.2</v>
      </c>
      <c r="AM59" s="228">
        <v>16</v>
      </c>
      <c r="AN59" s="228">
        <v>1.2</v>
      </c>
      <c r="AO59" s="229">
        <v>1.35E-2</v>
      </c>
      <c r="AP59" s="231">
        <v>1267.6600000000001</v>
      </c>
      <c r="AQ59" s="231">
        <v>1272.21</v>
      </c>
      <c r="AR59" s="228">
        <v>0</v>
      </c>
      <c r="AS59" s="228">
        <v>201</v>
      </c>
      <c r="AT59" s="228">
        <v>285</v>
      </c>
      <c r="AU59" s="228">
        <v>-84</v>
      </c>
      <c r="AV59" s="229">
        <v>-0.29499999999999998</v>
      </c>
      <c r="AW59" s="228">
        <v>180</v>
      </c>
      <c r="AX59" s="228">
        <v>270</v>
      </c>
      <c r="AY59" s="228">
        <v>-90</v>
      </c>
      <c r="AZ59" s="229">
        <v>-0.33310000000000001</v>
      </c>
      <c r="BA59" s="228">
        <v>20</v>
      </c>
      <c r="BB59" s="228">
        <v>13</v>
      </c>
      <c r="BC59" s="228">
        <v>7</v>
      </c>
      <c r="BD59" s="229">
        <v>0.57499999999999996</v>
      </c>
      <c r="BE59" s="228">
        <v>1</v>
      </c>
      <c r="BF59" s="228">
        <v>2</v>
      </c>
      <c r="BG59" s="228">
        <v>-1</v>
      </c>
      <c r="BH59" s="229">
        <v>-0.62070000000000003</v>
      </c>
      <c r="BI59" s="230">
        <v>1138</v>
      </c>
      <c r="BJ59" s="230">
        <v>1469</v>
      </c>
      <c r="BK59" s="228">
        <v>-331</v>
      </c>
      <c r="BL59" s="229">
        <v>-0.22559999999999999</v>
      </c>
      <c r="BM59" s="228">
        <v>348</v>
      </c>
      <c r="BN59" s="228">
        <v>507</v>
      </c>
      <c r="BO59" s="228">
        <v>-159</v>
      </c>
      <c r="BP59" s="229">
        <v>-0.31390000000000001</v>
      </c>
      <c r="BQ59" s="230">
        <v>1687</v>
      </c>
      <c r="BR59" s="230">
        <v>2262</v>
      </c>
      <c r="BS59" s="228">
        <v>-575</v>
      </c>
      <c r="BT59" s="229">
        <v>-0.25409999999999999</v>
      </c>
      <c r="BU59" s="230">
        <v>872409</v>
      </c>
      <c r="BV59" s="230">
        <v>1436386</v>
      </c>
      <c r="BW59" s="230">
        <v>-563977</v>
      </c>
      <c r="BX59" s="229">
        <v>-0.3926</v>
      </c>
      <c r="BY59" s="230">
        <v>1976</v>
      </c>
      <c r="BZ59" s="230">
        <v>2013</v>
      </c>
      <c r="CA59" s="228">
        <v>-37</v>
      </c>
      <c r="CB59" s="229">
        <v>-1.84E-2</v>
      </c>
      <c r="CC59" s="230">
        <v>1919</v>
      </c>
      <c r="CD59" s="230">
        <v>1968</v>
      </c>
      <c r="CE59" s="228">
        <v>-48</v>
      </c>
      <c r="CF59" s="229">
        <v>-2.4500000000000001E-2</v>
      </c>
      <c r="CG59" s="228">
        <v>53</v>
      </c>
      <c r="CH59" s="228">
        <v>42</v>
      </c>
      <c r="CI59" s="228">
        <v>11</v>
      </c>
      <c r="CJ59" s="229">
        <v>0.26579999999999998</v>
      </c>
      <c r="CK59" s="228">
        <v>4</v>
      </c>
      <c r="CL59" s="228">
        <v>4</v>
      </c>
      <c r="CM59" s="228">
        <v>0</v>
      </c>
      <c r="CN59" s="229">
        <v>2.1700000000000001E-2</v>
      </c>
      <c r="CO59" s="230">
        <v>1056</v>
      </c>
      <c r="CP59" s="230">
        <v>1078</v>
      </c>
      <c r="CQ59" s="228">
        <v>-22</v>
      </c>
      <c r="CR59" s="229">
        <v>-2.0299999999999999E-2</v>
      </c>
      <c r="CS59" s="228">
        <v>499</v>
      </c>
      <c r="CT59" s="228">
        <v>488</v>
      </c>
      <c r="CU59" s="228">
        <v>11</v>
      </c>
      <c r="CV59" s="229">
        <v>2.3099999999999999E-2</v>
      </c>
      <c r="CW59" s="230">
        <v>3531</v>
      </c>
      <c r="CX59" s="230">
        <v>3578</v>
      </c>
      <c r="CY59" s="228">
        <v>-48</v>
      </c>
      <c r="CZ59" s="229">
        <v>-1.3299999999999999E-2</v>
      </c>
      <c r="DA59" s="228">
        <v>20.28</v>
      </c>
      <c r="DB59" s="228">
        <v>20.67</v>
      </c>
      <c r="DC59" s="228">
        <v>-0.39</v>
      </c>
      <c r="DD59" s="228">
        <v>-0.39</v>
      </c>
      <c r="DE59" s="228">
        <v>25.31</v>
      </c>
      <c r="DF59" s="228">
        <v>25.33</v>
      </c>
      <c r="DG59" s="228">
        <v>-5.03</v>
      </c>
      <c r="DH59" s="228">
        <v>-0.02</v>
      </c>
      <c r="DI59" s="228">
        <v>19.8</v>
      </c>
      <c r="DJ59" s="228">
        <v>20.54</v>
      </c>
      <c r="DK59" s="228">
        <v>-0.74</v>
      </c>
      <c r="DL59" s="228">
        <v>-0.74</v>
      </c>
      <c r="DM59" s="228">
        <v>21.84</v>
      </c>
      <c r="DN59" s="228">
        <v>21.06</v>
      </c>
      <c r="DO59" s="228">
        <v>0.78</v>
      </c>
      <c r="DP59" s="228">
        <v>0.78</v>
      </c>
      <c r="DQ59" s="228">
        <v>0.47</v>
      </c>
      <c r="DR59" s="228">
        <v>0.45</v>
      </c>
      <c r="DS59" s="228">
        <v>0.02</v>
      </c>
      <c r="DT59" s="229">
        <v>4.4400000000000002E-2</v>
      </c>
      <c r="DU59" s="231">
        <v>1280</v>
      </c>
      <c r="DV59" s="231">
        <v>1200</v>
      </c>
      <c r="DW59" s="228">
        <v>0.31</v>
      </c>
      <c r="DX59" s="228">
        <v>0.34</v>
      </c>
      <c r="DY59" s="228">
        <v>-0.03</v>
      </c>
      <c r="DZ59" s="229">
        <v>-8.8200000000000001E-2</v>
      </c>
      <c r="EA59" s="229">
        <v>2.8500000000000001E-2</v>
      </c>
      <c r="EB59" s="230">
        <v>355625</v>
      </c>
      <c r="EC59" s="229">
        <v>6.1000000000000004E-3</v>
      </c>
      <c r="ED59" s="229">
        <v>2.8500000000000001E-2</v>
      </c>
      <c r="EE59" s="228">
        <v>4.55</v>
      </c>
      <c r="EF59" s="229">
        <v>3.5999999999999999E-3</v>
      </c>
      <c r="EG59" s="230">
        <v>495706</v>
      </c>
      <c r="EH59" s="230">
        <v>816894</v>
      </c>
      <c r="EI59" s="229">
        <v>-0.39319999999999999</v>
      </c>
      <c r="EJ59" s="229">
        <v>0.56820000000000004</v>
      </c>
      <c r="EK59" s="231">
        <v>1181.3699999999999</v>
      </c>
      <c r="EL59" s="228">
        <v>339.65</v>
      </c>
      <c r="EM59" s="228">
        <v>200.77</v>
      </c>
      <c r="EN59" s="228">
        <v>33.450000000000003</v>
      </c>
      <c r="EO59" s="231">
        <v>1721.79</v>
      </c>
      <c r="EP59" s="231">
        <v>2319.08</v>
      </c>
      <c r="EQ59" s="228">
        <v>-597.28</v>
      </c>
      <c r="ER59" s="229">
        <v>-0.2576</v>
      </c>
      <c r="ES59" s="231">
        <v>1072.57</v>
      </c>
      <c r="ET59" s="228">
        <v>472.76</v>
      </c>
      <c r="EU59" s="231">
        <v>1976.14</v>
      </c>
      <c r="EV59" s="231">
        <v>91531454</v>
      </c>
      <c r="EW59" s="231">
        <v>3521.47</v>
      </c>
      <c r="EX59" s="231">
        <v>3549.31</v>
      </c>
      <c r="EY59" s="228">
        <v>-27.84</v>
      </c>
      <c r="EZ59" s="229">
        <v>-7.7999999999999996E-3</v>
      </c>
      <c r="FA59" s="229">
        <v>0.30349999999999999</v>
      </c>
      <c r="FB59" s="227" t="s">
        <v>556</v>
      </c>
      <c r="FC59">
        <f t="shared" si="0"/>
        <v>57</v>
      </c>
    </row>
    <row r="60" spans="1:159" ht="17.25" hidden="1" thickBot="1" x14ac:dyDescent="0.3">
      <c r="A60" s="226">
        <v>46064</v>
      </c>
      <c r="B60" s="227" t="s">
        <v>162</v>
      </c>
      <c r="C60" s="227" t="s">
        <v>209</v>
      </c>
      <c r="D60" s="228">
        <v>100</v>
      </c>
      <c r="E60" s="228">
        <v>13</v>
      </c>
      <c r="F60" s="231">
        <v>7795.5</v>
      </c>
      <c r="G60" s="231">
        <v>7305</v>
      </c>
      <c r="H60" s="228">
        <v>490.5</v>
      </c>
      <c r="I60" s="229">
        <v>6.7100000000000007E-2</v>
      </c>
      <c r="J60" s="231">
        <v>7771</v>
      </c>
      <c r="K60" s="231">
        <v>7296</v>
      </c>
      <c r="L60" s="228">
        <v>475</v>
      </c>
      <c r="M60" s="229">
        <v>6.5100000000000005E-2</v>
      </c>
      <c r="N60" s="231">
        <v>7795.5</v>
      </c>
      <c r="O60" s="231">
        <v>7305</v>
      </c>
      <c r="P60" s="228">
        <v>490.5</v>
      </c>
      <c r="Q60" s="229">
        <v>6.7100000000000007E-2</v>
      </c>
      <c r="R60" s="231">
        <v>7842</v>
      </c>
      <c r="S60" s="231">
        <v>7353</v>
      </c>
      <c r="T60" s="228">
        <v>489</v>
      </c>
      <c r="U60" s="229">
        <v>6.6500000000000004E-2</v>
      </c>
      <c r="V60" s="231">
        <v>7893.5</v>
      </c>
      <c r="W60" s="231">
        <v>7391</v>
      </c>
      <c r="X60" s="228">
        <v>502.5</v>
      </c>
      <c r="Y60" s="229">
        <v>6.8000000000000005E-2</v>
      </c>
      <c r="Z60" s="228">
        <v>24.5</v>
      </c>
      <c r="AA60" s="228">
        <v>9</v>
      </c>
      <c r="AB60" s="228">
        <v>15.5</v>
      </c>
      <c r="AC60" s="229">
        <v>3.2000000000000002E-3</v>
      </c>
      <c r="AD60" s="228">
        <v>24.5</v>
      </c>
      <c r="AE60" s="228">
        <v>9</v>
      </c>
      <c r="AF60" s="228">
        <v>15.5</v>
      </c>
      <c r="AG60" s="229">
        <v>3.2000000000000002E-3</v>
      </c>
      <c r="AH60" s="228">
        <v>71</v>
      </c>
      <c r="AI60" s="228">
        <v>57</v>
      </c>
      <c r="AJ60" s="228">
        <v>14</v>
      </c>
      <c r="AK60" s="229">
        <v>9.1000000000000004E-3</v>
      </c>
      <c r="AL60" s="228">
        <v>122.5</v>
      </c>
      <c r="AM60" s="228">
        <v>95</v>
      </c>
      <c r="AN60" s="228">
        <v>27.5</v>
      </c>
      <c r="AO60" s="229">
        <v>1.5800000000000002E-2</v>
      </c>
      <c r="AP60" s="231">
        <v>7762.47</v>
      </c>
      <c r="AQ60" s="231">
        <v>7814.99</v>
      </c>
      <c r="AR60" s="228">
        <v>0</v>
      </c>
      <c r="AS60" s="230">
        <v>2030</v>
      </c>
      <c r="AT60" s="228">
        <v>382</v>
      </c>
      <c r="AU60" s="230">
        <v>1648</v>
      </c>
      <c r="AV60" s="229">
        <v>4.3143000000000002</v>
      </c>
      <c r="AW60" s="230">
        <v>1806</v>
      </c>
      <c r="AX60" s="228">
        <v>362</v>
      </c>
      <c r="AY60" s="230">
        <v>1444</v>
      </c>
      <c r="AZ60" s="229">
        <v>3.9887999999999999</v>
      </c>
      <c r="BA60" s="228">
        <v>205</v>
      </c>
      <c r="BB60" s="228">
        <v>17</v>
      </c>
      <c r="BC60" s="228">
        <v>188</v>
      </c>
      <c r="BD60" s="229">
        <v>11.087199999999999</v>
      </c>
      <c r="BE60" s="228">
        <v>19</v>
      </c>
      <c r="BF60" s="228">
        <v>3</v>
      </c>
      <c r="BG60" s="228">
        <v>16</v>
      </c>
      <c r="BH60" s="229">
        <v>5.2050999999999998</v>
      </c>
      <c r="BI60" s="230">
        <v>22944</v>
      </c>
      <c r="BJ60" s="230">
        <v>4201</v>
      </c>
      <c r="BK60" s="230">
        <v>18743</v>
      </c>
      <c r="BL60" s="229">
        <v>4.4619</v>
      </c>
      <c r="BM60" s="230">
        <v>10001</v>
      </c>
      <c r="BN60" s="230">
        <v>1392</v>
      </c>
      <c r="BO60" s="230">
        <v>8609</v>
      </c>
      <c r="BP60" s="229">
        <v>6.1830999999999996</v>
      </c>
      <c r="BQ60" s="230">
        <v>34975</v>
      </c>
      <c r="BR60" s="230">
        <v>5975</v>
      </c>
      <c r="BS60" s="230">
        <v>29000</v>
      </c>
      <c r="BT60" s="229">
        <v>4.8536000000000001</v>
      </c>
      <c r="BU60" s="230">
        <v>2454014</v>
      </c>
      <c r="BV60" s="230">
        <v>476425</v>
      </c>
      <c r="BW60" s="230">
        <v>1977589</v>
      </c>
      <c r="BX60" s="229">
        <v>4.1509</v>
      </c>
      <c r="BY60" s="230">
        <v>2617</v>
      </c>
      <c r="BZ60" s="230">
        <v>2370</v>
      </c>
      <c r="CA60" s="228">
        <v>247</v>
      </c>
      <c r="CB60" s="229">
        <v>0.1043</v>
      </c>
      <c r="CC60" s="230">
        <v>2455</v>
      </c>
      <c r="CD60" s="230">
        <v>2294</v>
      </c>
      <c r="CE60" s="228">
        <v>161</v>
      </c>
      <c r="CF60" s="229">
        <v>7.0099999999999996E-2</v>
      </c>
      <c r="CG60" s="228">
        <v>146</v>
      </c>
      <c r="CH60" s="228">
        <v>67</v>
      </c>
      <c r="CI60" s="228">
        <v>79</v>
      </c>
      <c r="CJ60" s="229">
        <v>1.1718999999999999</v>
      </c>
      <c r="CK60" s="228">
        <v>16</v>
      </c>
      <c r="CL60" s="228">
        <v>8</v>
      </c>
      <c r="CM60" s="228">
        <v>8</v>
      </c>
      <c r="CN60" s="229">
        <v>0.94340000000000002</v>
      </c>
      <c r="CO60" s="230">
        <v>2159</v>
      </c>
      <c r="CP60" s="230">
        <v>1478</v>
      </c>
      <c r="CQ60" s="228">
        <v>681</v>
      </c>
      <c r="CR60" s="229">
        <v>0.46050000000000002</v>
      </c>
      <c r="CS60" s="230">
        <v>2049</v>
      </c>
      <c r="CT60" s="230">
        <v>1120</v>
      </c>
      <c r="CU60" s="228">
        <v>928</v>
      </c>
      <c r="CV60" s="229">
        <v>0.82840000000000003</v>
      </c>
      <c r="CW60" s="230">
        <v>6824</v>
      </c>
      <c r="CX60" s="230">
        <v>4968</v>
      </c>
      <c r="CY60" s="230">
        <v>1856</v>
      </c>
      <c r="CZ60" s="229">
        <v>0.37359999999999999</v>
      </c>
      <c r="DA60" s="228">
        <v>28.32</v>
      </c>
      <c r="DB60" s="228">
        <v>33.58</v>
      </c>
      <c r="DC60" s="228">
        <v>-5.26</v>
      </c>
      <c r="DD60" s="228">
        <v>-5.26</v>
      </c>
      <c r="DE60" s="228">
        <v>28</v>
      </c>
      <c r="DF60" s="228">
        <v>26.74</v>
      </c>
      <c r="DG60" s="228">
        <v>0.32</v>
      </c>
      <c r="DH60" s="228">
        <v>1.26</v>
      </c>
      <c r="DI60" s="228">
        <v>27.47</v>
      </c>
      <c r="DJ60" s="228">
        <v>33.409999999999997</v>
      </c>
      <c r="DK60" s="228">
        <v>-5.94</v>
      </c>
      <c r="DL60" s="228">
        <v>-5.94</v>
      </c>
      <c r="DM60" s="228">
        <v>30.28</v>
      </c>
      <c r="DN60" s="228">
        <v>34.08</v>
      </c>
      <c r="DO60" s="228">
        <v>-3.8</v>
      </c>
      <c r="DP60" s="228">
        <v>-3.8</v>
      </c>
      <c r="DQ60" s="228">
        <v>0.95</v>
      </c>
      <c r="DR60" s="228">
        <v>0.76</v>
      </c>
      <c r="DS60" s="228">
        <v>0.19</v>
      </c>
      <c r="DT60" s="229">
        <v>0.25</v>
      </c>
      <c r="DU60" s="231">
        <v>8000</v>
      </c>
      <c r="DV60" s="231">
        <v>7100</v>
      </c>
      <c r="DW60" s="228">
        <v>0.44</v>
      </c>
      <c r="DX60" s="228">
        <v>0.33</v>
      </c>
      <c r="DY60" s="228">
        <v>0.11</v>
      </c>
      <c r="DZ60" s="229">
        <v>0.33329999999999999</v>
      </c>
      <c r="EA60" s="229">
        <v>6.1800000000000001E-2</v>
      </c>
      <c r="EB60" s="230">
        <v>96700</v>
      </c>
      <c r="EC60" s="229">
        <v>6.0000000000000001E-3</v>
      </c>
      <c r="ED60" s="229">
        <v>6.1800000000000001E-2</v>
      </c>
      <c r="EE60" s="228">
        <v>52.52</v>
      </c>
      <c r="EF60" s="229">
        <v>6.7999999999999996E-3</v>
      </c>
      <c r="EG60" s="230">
        <v>724845</v>
      </c>
      <c r="EH60" s="230">
        <v>249729</v>
      </c>
      <c r="EI60" s="229">
        <v>1.9025000000000001</v>
      </c>
      <c r="EJ60" s="229">
        <v>0.2954</v>
      </c>
      <c r="EK60" s="231">
        <v>23674.37</v>
      </c>
      <c r="EL60" s="231">
        <v>9635.52</v>
      </c>
      <c r="EM60" s="231">
        <v>2022.96</v>
      </c>
      <c r="EN60" s="228">
        <v>42.25</v>
      </c>
      <c r="EO60" s="231">
        <v>35332.85</v>
      </c>
      <c r="EP60" s="231">
        <v>5743.51</v>
      </c>
      <c r="EQ60" s="231">
        <v>29589.34</v>
      </c>
      <c r="ER60" s="229">
        <v>5.1517999999999997</v>
      </c>
      <c r="ES60" s="231">
        <v>2178.46</v>
      </c>
      <c r="ET60" s="231">
        <v>1900.74</v>
      </c>
      <c r="EU60" s="231">
        <v>2618.1</v>
      </c>
      <c r="EV60" s="231">
        <v>19199175</v>
      </c>
      <c r="EW60" s="231">
        <v>6697.3</v>
      </c>
      <c r="EX60" s="231">
        <v>4656.55</v>
      </c>
      <c r="EY60" s="231">
        <v>2040.75</v>
      </c>
      <c r="EZ60" s="229">
        <v>0.43830000000000002</v>
      </c>
      <c r="FA60" s="229">
        <v>0.45600000000000002</v>
      </c>
      <c r="FB60" s="227" t="s">
        <v>555</v>
      </c>
      <c r="FC60">
        <f t="shared" si="0"/>
        <v>162</v>
      </c>
    </row>
    <row r="61" spans="1:159" ht="17.25" hidden="1" thickBot="1" x14ac:dyDescent="0.3">
      <c r="A61" s="226">
        <v>46064</v>
      </c>
      <c r="B61" s="227" t="s">
        <v>615</v>
      </c>
      <c r="C61" s="227" t="s">
        <v>666</v>
      </c>
      <c r="D61" s="228">
        <v>2425</v>
      </c>
      <c r="E61" s="228">
        <v>13</v>
      </c>
      <c r="F61" s="228">
        <v>301.64999999999998</v>
      </c>
      <c r="G61" s="228">
        <v>304.10000000000002</v>
      </c>
      <c r="H61" s="228">
        <v>-2.4500000000000002</v>
      </c>
      <c r="I61" s="229">
        <v>-8.0999999999999996E-3</v>
      </c>
      <c r="J61" s="228">
        <v>300.7</v>
      </c>
      <c r="K61" s="228">
        <v>303.8</v>
      </c>
      <c r="L61" s="228">
        <v>-3.1</v>
      </c>
      <c r="M61" s="229">
        <v>-1.0200000000000001E-2</v>
      </c>
      <c r="N61" s="228">
        <v>301.64999999999998</v>
      </c>
      <c r="O61" s="228">
        <v>304.10000000000002</v>
      </c>
      <c r="P61" s="228">
        <v>-2.4500000000000002</v>
      </c>
      <c r="Q61" s="229">
        <v>-8.0999999999999996E-3</v>
      </c>
      <c r="R61" s="228">
        <v>303.55</v>
      </c>
      <c r="S61" s="228">
        <v>306</v>
      </c>
      <c r="T61" s="228">
        <v>-2.4500000000000002</v>
      </c>
      <c r="U61" s="229">
        <v>-8.0000000000000002E-3</v>
      </c>
      <c r="V61" s="228">
        <v>305.39999999999998</v>
      </c>
      <c r="W61" s="228">
        <v>307.8</v>
      </c>
      <c r="X61" s="228">
        <v>-2.4</v>
      </c>
      <c r="Y61" s="229">
        <v>-7.7999999999999996E-3</v>
      </c>
      <c r="Z61" s="228">
        <v>0.95</v>
      </c>
      <c r="AA61" s="228">
        <v>0.3</v>
      </c>
      <c r="AB61" s="228">
        <v>0.65</v>
      </c>
      <c r="AC61" s="229">
        <v>3.2000000000000002E-3</v>
      </c>
      <c r="AD61" s="228">
        <v>0.95</v>
      </c>
      <c r="AE61" s="228">
        <v>0.3</v>
      </c>
      <c r="AF61" s="228">
        <v>0.65</v>
      </c>
      <c r="AG61" s="229">
        <v>3.2000000000000002E-3</v>
      </c>
      <c r="AH61" s="228">
        <v>2.85</v>
      </c>
      <c r="AI61" s="228">
        <v>2.2000000000000002</v>
      </c>
      <c r="AJ61" s="228">
        <v>0.65</v>
      </c>
      <c r="AK61" s="229">
        <v>9.4999999999999998E-3</v>
      </c>
      <c r="AL61" s="228">
        <v>4.7</v>
      </c>
      <c r="AM61" s="228">
        <v>4</v>
      </c>
      <c r="AN61" s="228">
        <v>0.7</v>
      </c>
      <c r="AO61" s="229">
        <v>1.5599999999999999E-2</v>
      </c>
      <c r="AP61" s="228">
        <v>303.12</v>
      </c>
      <c r="AQ61" s="228">
        <v>305.14</v>
      </c>
      <c r="AR61" s="228">
        <v>0</v>
      </c>
      <c r="AS61" s="228">
        <v>717</v>
      </c>
      <c r="AT61" s="230">
        <v>2082</v>
      </c>
      <c r="AU61" s="230">
        <v>-1365</v>
      </c>
      <c r="AV61" s="229">
        <v>-0.65549999999999997</v>
      </c>
      <c r="AW61" s="228">
        <v>618</v>
      </c>
      <c r="AX61" s="230">
        <v>1885</v>
      </c>
      <c r="AY61" s="230">
        <v>-1267</v>
      </c>
      <c r="AZ61" s="229">
        <v>-0.67200000000000004</v>
      </c>
      <c r="BA61" s="228">
        <v>90</v>
      </c>
      <c r="BB61" s="228">
        <v>169</v>
      </c>
      <c r="BC61" s="228">
        <v>-80</v>
      </c>
      <c r="BD61" s="229">
        <v>-0.47039999999999998</v>
      </c>
      <c r="BE61" s="228">
        <v>9</v>
      </c>
      <c r="BF61" s="228">
        <v>28</v>
      </c>
      <c r="BG61" s="228">
        <v>-19</v>
      </c>
      <c r="BH61" s="229">
        <v>-0.67020000000000002</v>
      </c>
      <c r="BI61" s="230">
        <v>3843</v>
      </c>
      <c r="BJ61" s="230">
        <v>16012</v>
      </c>
      <c r="BK61" s="230">
        <v>-12170</v>
      </c>
      <c r="BL61" s="229">
        <v>-0.76</v>
      </c>
      <c r="BM61" s="230">
        <v>2253</v>
      </c>
      <c r="BN61" s="230">
        <v>6450</v>
      </c>
      <c r="BO61" s="230">
        <v>-4197</v>
      </c>
      <c r="BP61" s="229">
        <v>-0.65069999999999995</v>
      </c>
      <c r="BQ61" s="230">
        <v>6813</v>
      </c>
      <c r="BR61" s="230">
        <v>24544</v>
      </c>
      <c r="BS61" s="230">
        <v>-17732</v>
      </c>
      <c r="BT61" s="229">
        <v>-0.72240000000000004</v>
      </c>
      <c r="BU61" s="230">
        <v>33388024</v>
      </c>
      <c r="BV61" s="230">
        <v>107493975</v>
      </c>
      <c r="BW61" s="230">
        <v>-74105951</v>
      </c>
      <c r="BX61" s="229">
        <v>-0.68940000000000001</v>
      </c>
      <c r="BY61" s="230">
        <v>7548</v>
      </c>
      <c r="BZ61" s="230">
        <v>7580</v>
      </c>
      <c r="CA61" s="228">
        <v>-32</v>
      </c>
      <c r="CB61" s="229">
        <v>-4.1999999999999997E-3</v>
      </c>
      <c r="CC61" s="230">
        <v>7115</v>
      </c>
      <c r="CD61" s="230">
        <v>7161</v>
      </c>
      <c r="CE61" s="228">
        <v>-46</v>
      </c>
      <c r="CF61" s="229">
        <v>-6.4000000000000003E-3</v>
      </c>
      <c r="CG61" s="228">
        <v>390</v>
      </c>
      <c r="CH61" s="228">
        <v>377</v>
      </c>
      <c r="CI61" s="228">
        <v>13</v>
      </c>
      <c r="CJ61" s="229">
        <v>3.3700000000000001E-2</v>
      </c>
      <c r="CK61" s="228">
        <v>43</v>
      </c>
      <c r="CL61" s="228">
        <v>42</v>
      </c>
      <c r="CM61" s="228">
        <v>2</v>
      </c>
      <c r="CN61" s="229">
        <v>3.8600000000000002E-2</v>
      </c>
      <c r="CO61" s="230">
        <v>2256</v>
      </c>
      <c r="CP61" s="230">
        <v>2222</v>
      </c>
      <c r="CQ61" s="228">
        <v>34</v>
      </c>
      <c r="CR61" s="229">
        <v>1.5100000000000001E-2</v>
      </c>
      <c r="CS61" s="230">
        <v>1850</v>
      </c>
      <c r="CT61" s="230">
        <v>1946</v>
      </c>
      <c r="CU61" s="228">
        <v>-96</v>
      </c>
      <c r="CV61" s="229">
        <v>-4.9599999999999998E-2</v>
      </c>
      <c r="CW61" s="230">
        <v>11654</v>
      </c>
      <c r="CX61" s="230">
        <v>11748</v>
      </c>
      <c r="CY61" s="228">
        <v>-95</v>
      </c>
      <c r="CZ61" s="229">
        <v>-8.0999999999999996E-3</v>
      </c>
      <c r="DA61" s="228">
        <v>39.17</v>
      </c>
      <c r="DB61" s="228">
        <v>38.369999999999997</v>
      </c>
      <c r="DC61" s="228">
        <v>0.8</v>
      </c>
      <c r="DD61" s="228">
        <v>0.8</v>
      </c>
      <c r="DE61" s="228">
        <v>45.02</v>
      </c>
      <c r="DF61" s="228">
        <v>45.11</v>
      </c>
      <c r="DG61" s="228">
        <v>-5.85</v>
      </c>
      <c r="DH61" s="228">
        <v>-0.09</v>
      </c>
      <c r="DI61" s="228">
        <v>38.65</v>
      </c>
      <c r="DJ61" s="228">
        <v>37.49</v>
      </c>
      <c r="DK61" s="228">
        <v>1.1599999999999999</v>
      </c>
      <c r="DL61" s="228">
        <v>1.1599999999999999</v>
      </c>
      <c r="DM61" s="228">
        <v>40.06</v>
      </c>
      <c r="DN61" s="228">
        <v>40.549999999999997</v>
      </c>
      <c r="DO61" s="228">
        <v>-0.49</v>
      </c>
      <c r="DP61" s="228">
        <v>-0.49</v>
      </c>
      <c r="DQ61" s="228">
        <v>0.82</v>
      </c>
      <c r="DR61" s="228">
        <v>0.88</v>
      </c>
      <c r="DS61" s="228">
        <v>-0.06</v>
      </c>
      <c r="DT61" s="229">
        <v>-6.8199999999999997E-2</v>
      </c>
      <c r="DU61" s="228">
        <v>300</v>
      </c>
      <c r="DV61" s="228">
        <v>270</v>
      </c>
      <c r="DW61" s="228">
        <v>0.59</v>
      </c>
      <c r="DX61" s="228">
        <v>0.4</v>
      </c>
      <c r="DY61" s="228">
        <v>0.19</v>
      </c>
      <c r="DZ61" s="229">
        <v>0.47499999999999998</v>
      </c>
      <c r="EA61" s="229">
        <v>5.74E-2</v>
      </c>
      <c r="EB61" s="230">
        <v>13892825</v>
      </c>
      <c r="EC61" s="229">
        <v>6.3E-3</v>
      </c>
      <c r="ED61" s="229">
        <v>5.74E-2</v>
      </c>
      <c r="EE61" s="228">
        <v>2.02</v>
      </c>
      <c r="EF61" s="229">
        <v>6.7000000000000002E-3</v>
      </c>
      <c r="EG61" s="230">
        <v>17842564</v>
      </c>
      <c r="EH61" s="230">
        <v>52705880</v>
      </c>
      <c r="EI61" s="229">
        <v>-0.66149999999999998</v>
      </c>
      <c r="EJ61" s="229">
        <v>0.53439999999999999</v>
      </c>
      <c r="EK61" s="231">
        <v>4111.28</v>
      </c>
      <c r="EL61" s="231">
        <v>2176.69</v>
      </c>
      <c r="EM61" s="228">
        <v>721.51</v>
      </c>
      <c r="EN61" s="228">
        <v>149.5</v>
      </c>
      <c r="EO61" s="231">
        <v>7009.48</v>
      </c>
      <c r="EP61" s="231">
        <v>25302.51</v>
      </c>
      <c r="EQ61" s="231">
        <v>-18293.03</v>
      </c>
      <c r="ER61" s="229">
        <v>-0.72299999999999998</v>
      </c>
      <c r="ES61" s="231">
        <v>2295.38</v>
      </c>
      <c r="ET61" s="231">
        <v>1661.05</v>
      </c>
      <c r="EU61" s="231">
        <v>7551.28</v>
      </c>
      <c r="EV61" s="231">
        <v>1251309857</v>
      </c>
      <c r="EW61" s="231">
        <v>11507.72</v>
      </c>
      <c r="EX61" s="231">
        <v>11655.19</v>
      </c>
      <c r="EY61" s="228">
        <v>-147.47</v>
      </c>
      <c r="EZ61" s="229">
        <v>-1.2699999999999999E-2</v>
      </c>
      <c r="FA61" s="229">
        <v>0.30869999999999997</v>
      </c>
      <c r="FB61" s="227" t="s">
        <v>568</v>
      </c>
      <c r="FC61">
        <f t="shared" si="0"/>
        <v>433</v>
      </c>
    </row>
    <row r="62" spans="1:159" ht="17.25" hidden="1" thickBot="1" x14ac:dyDescent="0.3">
      <c r="A62" s="226">
        <v>46064</v>
      </c>
      <c r="B62" s="227" t="s">
        <v>162</v>
      </c>
      <c r="C62" s="227" t="s">
        <v>211</v>
      </c>
      <c r="D62" s="228">
        <v>1800</v>
      </c>
      <c r="E62" s="228">
        <v>13</v>
      </c>
      <c r="F62" s="228">
        <v>341.45</v>
      </c>
      <c r="G62" s="228">
        <v>339.05</v>
      </c>
      <c r="H62" s="228">
        <v>2.4</v>
      </c>
      <c r="I62" s="229">
        <v>7.1000000000000004E-3</v>
      </c>
      <c r="J62" s="228">
        <v>341.1</v>
      </c>
      <c r="K62" s="228">
        <v>338.8</v>
      </c>
      <c r="L62" s="228">
        <v>2.2999999999999998</v>
      </c>
      <c r="M62" s="229">
        <v>6.7999999999999996E-3</v>
      </c>
      <c r="N62" s="228">
        <v>341.45</v>
      </c>
      <c r="O62" s="228">
        <v>339.05</v>
      </c>
      <c r="P62" s="228">
        <v>2.4</v>
      </c>
      <c r="Q62" s="229">
        <v>7.1000000000000004E-3</v>
      </c>
      <c r="R62" s="228">
        <v>343.7</v>
      </c>
      <c r="S62" s="228">
        <v>341.3</v>
      </c>
      <c r="T62" s="228">
        <v>2.4</v>
      </c>
      <c r="U62" s="229">
        <v>7.0000000000000001E-3</v>
      </c>
      <c r="V62" s="228">
        <v>345.55</v>
      </c>
      <c r="W62" s="228">
        <v>343.15</v>
      </c>
      <c r="X62" s="228">
        <v>2.4</v>
      </c>
      <c r="Y62" s="229">
        <v>7.0000000000000001E-3</v>
      </c>
      <c r="Z62" s="228">
        <v>0.35</v>
      </c>
      <c r="AA62" s="228">
        <v>0.25</v>
      </c>
      <c r="AB62" s="228">
        <v>0.1</v>
      </c>
      <c r="AC62" s="229">
        <v>1E-3</v>
      </c>
      <c r="AD62" s="228">
        <v>0.35</v>
      </c>
      <c r="AE62" s="228">
        <v>0.25</v>
      </c>
      <c r="AF62" s="228">
        <v>0.1</v>
      </c>
      <c r="AG62" s="229">
        <v>1E-3</v>
      </c>
      <c r="AH62" s="228">
        <v>2.6</v>
      </c>
      <c r="AI62" s="228">
        <v>2.5</v>
      </c>
      <c r="AJ62" s="228">
        <v>0.1</v>
      </c>
      <c r="AK62" s="229">
        <v>7.6E-3</v>
      </c>
      <c r="AL62" s="228">
        <v>4.45</v>
      </c>
      <c r="AM62" s="228">
        <v>4.3499999999999996</v>
      </c>
      <c r="AN62" s="228">
        <v>0.1</v>
      </c>
      <c r="AO62" s="229">
        <v>1.2999999999999999E-2</v>
      </c>
      <c r="AP62" s="228">
        <v>340.41</v>
      </c>
      <c r="AQ62" s="228">
        <v>342.6</v>
      </c>
      <c r="AR62" s="228">
        <v>0</v>
      </c>
      <c r="AS62" s="228">
        <v>107</v>
      </c>
      <c r="AT62" s="228">
        <v>132</v>
      </c>
      <c r="AU62" s="228">
        <v>-24</v>
      </c>
      <c r="AV62" s="229">
        <v>-0.18459999999999999</v>
      </c>
      <c r="AW62" s="228">
        <v>96</v>
      </c>
      <c r="AX62" s="228">
        <v>114</v>
      </c>
      <c r="AY62" s="228">
        <v>-18</v>
      </c>
      <c r="AZ62" s="229">
        <v>-0.15890000000000001</v>
      </c>
      <c r="BA62" s="228">
        <v>9</v>
      </c>
      <c r="BB62" s="228">
        <v>15</v>
      </c>
      <c r="BC62" s="228">
        <v>-6</v>
      </c>
      <c r="BD62" s="229">
        <v>-0.39360000000000001</v>
      </c>
      <c r="BE62" s="228">
        <v>2</v>
      </c>
      <c r="BF62" s="228">
        <v>2</v>
      </c>
      <c r="BG62" s="228">
        <v>0</v>
      </c>
      <c r="BH62" s="229">
        <v>-7.6899999999999996E-2</v>
      </c>
      <c r="BI62" s="228">
        <v>270</v>
      </c>
      <c r="BJ62" s="228">
        <v>402</v>
      </c>
      <c r="BK62" s="228">
        <v>-132</v>
      </c>
      <c r="BL62" s="229">
        <v>-0.32890000000000003</v>
      </c>
      <c r="BM62" s="228">
        <v>104</v>
      </c>
      <c r="BN62" s="228">
        <v>130</v>
      </c>
      <c r="BO62" s="228">
        <v>-26</v>
      </c>
      <c r="BP62" s="229">
        <v>-0.20349999999999999</v>
      </c>
      <c r="BQ62" s="228">
        <v>481</v>
      </c>
      <c r="BR62" s="228">
        <v>664</v>
      </c>
      <c r="BS62" s="228">
        <v>-183</v>
      </c>
      <c r="BT62" s="229">
        <v>-0.2757</v>
      </c>
      <c r="BU62" s="230">
        <v>953605</v>
      </c>
      <c r="BV62" s="230">
        <v>1473711</v>
      </c>
      <c r="BW62" s="230">
        <v>-520106</v>
      </c>
      <c r="BX62" s="229">
        <v>-0.35289999999999999</v>
      </c>
      <c r="BY62" s="230">
        <v>1193</v>
      </c>
      <c r="BZ62" s="230">
        <v>1202</v>
      </c>
      <c r="CA62" s="228">
        <v>-9</v>
      </c>
      <c r="CB62" s="229">
        <v>-7.4000000000000003E-3</v>
      </c>
      <c r="CC62" s="230">
        <v>1115</v>
      </c>
      <c r="CD62" s="230">
        <v>1127</v>
      </c>
      <c r="CE62" s="228">
        <v>-12</v>
      </c>
      <c r="CF62" s="229">
        <v>-1.0999999999999999E-2</v>
      </c>
      <c r="CG62" s="228">
        <v>66</v>
      </c>
      <c r="CH62" s="228">
        <v>63</v>
      </c>
      <c r="CI62" s="228">
        <v>2</v>
      </c>
      <c r="CJ62" s="229">
        <v>3.78E-2</v>
      </c>
      <c r="CK62" s="228">
        <v>13</v>
      </c>
      <c r="CL62" s="228">
        <v>11</v>
      </c>
      <c r="CM62" s="228">
        <v>1</v>
      </c>
      <c r="CN62" s="229">
        <v>9.0899999999999995E-2</v>
      </c>
      <c r="CO62" s="228">
        <v>651</v>
      </c>
      <c r="CP62" s="228">
        <v>637</v>
      </c>
      <c r="CQ62" s="228">
        <v>14</v>
      </c>
      <c r="CR62" s="229">
        <v>2.1899999999999999E-2</v>
      </c>
      <c r="CS62" s="228">
        <v>380</v>
      </c>
      <c r="CT62" s="228">
        <v>379</v>
      </c>
      <c r="CU62" s="228">
        <v>1</v>
      </c>
      <c r="CV62" s="229">
        <v>3.3999999999999998E-3</v>
      </c>
      <c r="CW62" s="230">
        <v>2224</v>
      </c>
      <c r="CX62" s="230">
        <v>2218</v>
      </c>
      <c r="CY62" s="228">
        <v>6</v>
      </c>
      <c r="CZ62" s="229">
        <v>2.8999999999999998E-3</v>
      </c>
      <c r="DA62" s="228">
        <v>30.72</v>
      </c>
      <c r="DB62" s="228">
        <v>31.35</v>
      </c>
      <c r="DC62" s="228">
        <v>-0.63</v>
      </c>
      <c r="DD62" s="228">
        <v>-0.63</v>
      </c>
      <c r="DE62" s="228">
        <v>32.909999999999997</v>
      </c>
      <c r="DF62" s="228">
        <v>32.979999999999997</v>
      </c>
      <c r="DG62" s="228">
        <v>-2.19</v>
      </c>
      <c r="DH62" s="228">
        <v>-7.0000000000000007E-2</v>
      </c>
      <c r="DI62" s="228">
        <v>30.46</v>
      </c>
      <c r="DJ62" s="228">
        <v>31.68</v>
      </c>
      <c r="DK62" s="228">
        <v>-1.22</v>
      </c>
      <c r="DL62" s="228">
        <v>-1.22</v>
      </c>
      <c r="DM62" s="228">
        <v>31.4</v>
      </c>
      <c r="DN62" s="228">
        <v>30.32</v>
      </c>
      <c r="DO62" s="228">
        <v>1.08</v>
      </c>
      <c r="DP62" s="228">
        <v>1.08</v>
      </c>
      <c r="DQ62" s="228">
        <v>0.57999999999999996</v>
      </c>
      <c r="DR62" s="228">
        <v>0.59</v>
      </c>
      <c r="DS62" s="228">
        <v>-0.01</v>
      </c>
      <c r="DT62" s="229">
        <v>-1.6899999999999998E-2</v>
      </c>
      <c r="DU62" s="228">
        <v>360</v>
      </c>
      <c r="DV62" s="228">
        <v>330</v>
      </c>
      <c r="DW62" s="228">
        <v>0.38</v>
      </c>
      <c r="DX62" s="228">
        <v>0.32</v>
      </c>
      <c r="DY62" s="228">
        <v>0.06</v>
      </c>
      <c r="DZ62" s="229">
        <v>0.1875</v>
      </c>
      <c r="EA62" s="229">
        <v>6.5699999999999995E-2</v>
      </c>
      <c r="EB62" s="230">
        <v>2196000</v>
      </c>
      <c r="EC62" s="229">
        <v>6.6E-3</v>
      </c>
      <c r="ED62" s="229">
        <v>6.5699999999999995E-2</v>
      </c>
      <c r="EE62" s="228">
        <v>2.19</v>
      </c>
      <c r="EF62" s="229">
        <v>6.4000000000000003E-3</v>
      </c>
      <c r="EG62" s="230">
        <v>363042</v>
      </c>
      <c r="EH62" s="230">
        <v>669791</v>
      </c>
      <c r="EI62" s="229">
        <v>-0.45800000000000002</v>
      </c>
      <c r="EJ62" s="229">
        <v>0.38069999999999998</v>
      </c>
      <c r="EK62" s="228">
        <v>280.25</v>
      </c>
      <c r="EL62" s="228">
        <v>100.9</v>
      </c>
      <c r="EM62" s="228">
        <v>107.25</v>
      </c>
      <c r="EN62" s="228">
        <v>34.340000000000003</v>
      </c>
      <c r="EO62" s="228">
        <v>488.4</v>
      </c>
      <c r="EP62" s="228">
        <v>681.99</v>
      </c>
      <c r="EQ62" s="228">
        <v>-193.59</v>
      </c>
      <c r="ER62" s="229">
        <v>-0.28389999999999999</v>
      </c>
      <c r="ES62" s="228">
        <v>673.51</v>
      </c>
      <c r="ET62" s="228">
        <v>374.94</v>
      </c>
      <c r="EU62" s="231">
        <v>1193.8499999999999</v>
      </c>
      <c r="EV62" s="231">
        <v>68856800</v>
      </c>
      <c r="EW62" s="231">
        <v>2242.3000000000002</v>
      </c>
      <c r="EX62" s="231">
        <v>2225.75</v>
      </c>
      <c r="EY62" s="228">
        <v>16.55</v>
      </c>
      <c r="EZ62" s="229">
        <v>7.4000000000000003E-3</v>
      </c>
      <c r="FA62" s="229">
        <v>0.94610000000000005</v>
      </c>
      <c r="FB62" s="227" t="s">
        <v>556</v>
      </c>
      <c r="FC62">
        <f t="shared" si="0"/>
        <v>78</v>
      </c>
    </row>
    <row r="63" spans="1:159" ht="17.25" hidden="1" thickBot="1" x14ac:dyDescent="0.3">
      <c r="A63" s="226">
        <v>46064</v>
      </c>
      <c r="B63" s="227" t="s">
        <v>172</v>
      </c>
      <c r="C63" s="227" t="s">
        <v>212</v>
      </c>
      <c r="D63" s="228">
        <v>5000</v>
      </c>
      <c r="E63" s="228">
        <v>13</v>
      </c>
      <c r="F63" s="228">
        <v>291.5</v>
      </c>
      <c r="G63" s="228">
        <v>281.85000000000002</v>
      </c>
      <c r="H63" s="228">
        <v>9.65</v>
      </c>
      <c r="I63" s="229">
        <v>3.4200000000000001E-2</v>
      </c>
      <c r="J63" s="228">
        <v>290.5</v>
      </c>
      <c r="K63" s="228">
        <v>282.25</v>
      </c>
      <c r="L63" s="228">
        <v>8.25</v>
      </c>
      <c r="M63" s="229">
        <v>2.92E-2</v>
      </c>
      <c r="N63" s="228">
        <v>291.5</v>
      </c>
      <c r="O63" s="228">
        <v>281.85000000000002</v>
      </c>
      <c r="P63" s="228">
        <v>9.65</v>
      </c>
      <c r="Q63" s="229">
        <v>3.4200000000000001E-2</v>
      </c>
      <c r="R63" s="228">
        <v>291.8</v>
      </c>
      <c r="S63" s="228">
        <v>282.64999999999998</v>
      </c>
      <c r="T63" s="228">
        <v>9.15</v>
      </c>
      <c r="U63" s="229">
        <v>3.2399999999999998E-2</v>
      </c>
      <c r="V63" s="228">
        <v>292.7</v>
      </c>
      <c r="W63" s="228">
        <v>284</v>
      </c>
      <c r="X63" s="228">
        <v>8.6999999999999993</v>
      </c>
      <c r="Y63" s="229">
        <v>3.0599999999999999E-2</v>
      </c>
      <c r="Z63" s="228">
        <v>1</v>
      </c>
      <c r="AA63" s="228">
        <v>-0.4</v>
      </c>
      <c r="AB63" s="228">
        <v>1.4</v>
      </c>
      <c r="AC63" s="229">
        <v>3.3999999999999998E-3</v>
      </c>
      <c r="AD63" s="228">
        <v>1</v>
      </c>
      <c r="AE63" s="228">
        <v>-0.4</v>
      </c>
      <c r="AF63" s="228">
        <v>1.4</v>
      </c>
      <c r="AG63" s="229">
        <v>3.3999999999999998E-3</v>
      </c>
      <c r="AH63" s="228">
        <v>1.3</v>
      </c>
      <c r="AI63" s="228">
        <v>0.4</v>
      </c>
      <c r="AJ63" s="228">
        <v>0.9</v>
      </c>
      <c r="AK63" s="229">
        <v>4.4999999999999997E-3</v>
      </c>
      <c r="AL63" s="228">
        <v>2.2000000000000002</v>
      </c>
      <c r="AM63" s="228">
        <v>1.75</v>
      </c>
      <c r="AN63" s="228">
        <v>0.45</v>
      </c>
      <c r="AO63" s="229">
        <v>7.6E-3</v>
      </c>
      <c r="AP63" s="228">
        <v>289.27</v>
      </c>
      <c r="AQ63" s="228">
        <v>289.97000000000003</v>
      </c>
      <c r="AR63" s="228">
        <v>0</v>
      </c>
      <c r="AS63" s="230">
        <v>1405</v>
      </c>
      <c r="AT63" s="228">
        <v>537</v>
      </c>
      <c r="AU63" s="228">
        <v>868</v>
      </c>
      <c r="AV63" s="229">
        <v>1.6153999999999999</v>
      </c>
      <c r="AW63" s="230">
        <v>1295</v>
      </c>
      <c r="AX63" s="228">
        <v>497</v>
      </c>
      <c r="AY63" s="228">
        <v>798</v>
      </c>
      <c r="AZ63" s="229">
        <v>1.6037999999999999</v>
      </c>
      <c r="BA63" s="228">
        <v>97</v>
      </c>
      <c r="BB63" s="228">
        <v>35</v>
      </c>
      <c r="BC63" s="228">
        <v>61</v>
      </c>
      <c r="BD63" s="229">
        <v>1.7324999999999999</v>
      </c>
      <c r="BE63" s="228">
        <v>14</v>
      </c>
      <c r="BF63" s="228">
        <v>5</v>
      </c>
      <c r="BG63" s="228">
        <v>9</v>
      </c>
      <c r="BH63" s="229">
        <v>1.9688000000000001</v>
      </c>
      <c r="BI63" s="230">
        <v>5265</v>
      </c>
      <c r="BJ63" s="230">
        <v>1214</v>
      </c>
      <c r="BK63" s="230">
        <v>4051</v>
      </c>
      <c r="BL63" s="229">
        <v>3.3372999999999999</v>
      </c>
      <c r="BM63" s="230">
        <v>2509</v>
      </c>
      <c r="BN63" s="230">
        <v>1040</v>
      </c>
      <c r="BO63" s="230">
        <v>1469</v>
      </c>
      <c r="BP63" s="229">
        <v>1.4132</v>
      </c>
      <c r="BQ63" s="230">
        <v>9179</v>
      </c>
      <c r="BR63" s="230">
        <v>2791</v>
      </c>
      <c r="BS63" s="230">
        <v>6388</v>
      </c>
      <c r="BT63" s="229">
        <v>2.2888999999999999</v>
      </c>
      <c r="BU63" s="230">
        <v>17265978</v>
      </c>
      <c r="BV63" s="230">
        <v>5283686</v>
      </c>
      <c r="BW63" s="230">
        <v>11982292</v>
      </c>
      <c r="BX63" s="229">
        <v>2.2677999999999998</v>
      </c>
      <c r="BY63" s="230">
        <v>1781</v>
      </c>
      <c r="BZ63" s="230">
        <v>1624</v>
      </c>
      <c r="CA63" s="228">
        <v>157</v>
      </c>
      <c r="CB63" s="229">
        <v>9.6500000000000002E-2</v>
      </c>
      <c r="CC63" s="230">
        <v>1664</v>
      </c>
      <c r="CD63" s="230">
        <v>1515</v>
      </c>
      <c r="CE63" s="228">
        <v>149</v>
      </c>
      <c r="CF63" s="229">
        <v>9.8599999999999993E-2</v>
      </c>
      <c r="CG63" s="228">
        <v>105</v>
      </c>
      <c r="CH63" s="228">
        <v>101</v>
      </c>
      <c r="CI63" s="228">
        <v>4</v>
      </c>
      <c r="CJ63" s="229">
        <v>4.1799999999999997E-2</v>
      </c>
      <c r="CK63" s="228">
        <v>11</v>
      </c>
      <c r="CL63" s="228">
        <v>8</v>
      </c>
      <c r="CM63" s="228">
        <v>3</v>
      </c>
      <c r="CN63" s="229">
        <v>0.38890000000000002</v>
      </c>
      <c r="CO63" s="230">
        <v>1197</v>
      </c>
      <c r="CP63" s="230">
        <v>1178</v>
      </c>
      <c r="CQ63" s="228">
        <v>18</v>
      </c>
      <c r="CR63" s="229">
        <v>1.5599999999999999E-2</v>
      </c>
      <c r="CS63" s="230">
        <v>1053</v>
      </c>
      <c r="CT63" s="228">
        <v>957</v>
      </c>
      <c r="CU63" s="228">
        <v>96</v>
      </c>
      <c r="CV63" s="229">
        <v>0.1004</v>
      </c>
      <c r="CW63" s="230">
        <v>4030</v>
      </c>
      <c r="CX63" s="230">
        <v>3759</v>
      </c>
      <c r="CY63" s="228">
        <v>271</v>
      </c>
      <c r="CZ63" s="229">
        <v>7.2099999999999997E-2</v>
      </c>
      <c r="DA63" s="228">
        <v>30.06</v>
      </c>
      <c r="DB63" s="228">
        <v>28.23</v>
      </c>
      <c r="DC63" s="228">
        <v>1.83</v>
      </c>
      <c r="DD63" s="228">
        <v>1.83</v>
      </c>
      <c r="DE63" s="228">
        <v>30.35</v>
      </c>
      <c r="DF63" s="228">
        <v>30.18</v>
      </c>
      <c r="DG63" s="228">
        <v>-0.28999999999999998</v>
      </c>
      <c r="DH63" s="228">
        <v>0.17</v>
      </c>
      <c r="DI63" s="228">
        <v>29.81</v>
      </c>
      <c r="DJ63" s="228">
        <v>28.23</v>
      </c>
      <c r="DK63" s="228">
        <v>1.58</v>
      </c>
      <c r="DL63" s="228">
        <v>1.58</v>
      </c>
      <c r="DM63" s="228">
        <v>30.6</v>
      </c>
      <c r="DN63" s="228">
        <v>28.24</v>
      </c>
      <c r="DO63" s="228">
        <v>2.36</v>
      </c>
      <c r="DP63" s="228">
        <v>2.36</v>
      </c>
      <c r="DQ63" s="228">
        <v>0.88</v>
      </c>
      <c r="DR63" s="228">
        <v>0.81</v>
      </c>
      <c r="DS63" s="228">
        <v>7.0000000000000007E-2</v>
      </c>
      <c r="DT63" s="229">
        <v>8.6400000000000005E-2</v>
      </c>
      <c r="DU63" s="228">
        <v>300</v>
      </c>
      <c r="DV63" s="228">
        <v>250</v>
      </c>
      <c r="DW63" s="228">
        <v>0.48</v>
      </c>
      <c r="DX63" s="228">
        <v>0.86</v>
      </c>
      <c r="DY63" s="228">
        <v>-0.38</v>
      </c>
      <c r="DZ63" s="229">
        <v>-0.44190000000000002</v>
      </c>
      <c r="EA63" s="229">
        <v>6.5299999999999997E-2</v>
      </c>
      <c r="EB63" s="230">
        <v>3740000</v>
      </c>
      <c r="EC63" s="229">
        <v>1E-3</v>
      </c>
      <c r="ED63" s="229">
        <v>6.5299999999999997E-2</v>
      </c>
      <c r="EE63" s="228">
        <v>0.7</v>
      </c>
      <c r="EF63" s="229">
        <v>2.3999999999999998E-3</v>
      </c>
      <c r="EG63" s="230">
        <v>8890309</v>
      </c>
      <c r="EH63" s="230">
        <v>3264434</v>
      </c>
      <c r="EI63" s="229">
        <v>1.7234</v>
      </c>
      <c r="EJ63" s="229">
        <v>0.51490000000000002</v>
      </c>
      <c r="EK63" s="231">
        <v>5490.07</v>
      </c>
      <c r="EL63" s="231">
        <v>2431.25</v>
      </c>
      <c r="EM63" s="231">
        <v>1395.05</v>
      </c>
      <c r="EN63" s="228">
        <v>28.61</v>
      </c>
      <c r="EO63" s="231">
        <v>9316.3700000000008</v>
      </c>
      <c r="EP63" s="231">
        <v>2763.95</v>
      </c>
      <c r="EQ63" s="231">
        <v>6552.42</v>
      </c>
      <c r="ER63" s="229">
        <v>2.3706999999999998</v>
      </c>
      <c r="ES63" s="231">
        <v>1222.19</v>
      </c>
      <c r="ET63" s="228">
        <v>974.51</v>
      </c>
      <c r="EU63" s="231">
        <v>1780.93</v>
      </c>
      <c r="EV63" s="231">
        <v>320636733</v>
      </c>
      <c r="EW63" s="231">
        <v>3977.62</v>
      </c>
      <c r="EX63" s="231">
        <v>3644.54</v>
      </c>
      <c r="EY63" s="228">
        <v>333.08</v>
      </c>
      <c r="EZ63" s="229">
        <v>9.1399999999999995E-2</v>
      </c>
      <c r="FA63" s="229">
        <v>0.43120000000000003</v>
      </c>
      <c r="FB63" s="227" t="s">
        <v>555</v>
      </c>
      <c r="FC63">
        <f t="shared" si="0"/>
        <v>117</v>
      </c>
    </row>
    <row r="64" spans="1:159" ht="17.25" hidden="1" thickBot="1" x14ac:dyDescent="0.3">
      <c r="A64" s="226">
        <v>46064</v>
      </c>
      <c r="B64" s="227" t="s">
        <v>181</v>
      </c>
      <c r="C64" s="227" t="s">
        <v>480</v>
      </c>
      <c r="D64" s="228">
        <v>60</v>
      </c>
      <c r="E64" s="228">
        <v>13</v>
      </c>
      <c r="F64" s="231">
        <v>28286.799999999999</v>
      </c>
      <c r="G64" s="231">
        <v>28210.2</v>
      </c>
      <c r="H64" s="228">
        <v>76.599999999999994</v>
      </c>
      <c r="I64" s="229">
        <v>2.7000000000000001E-3</v>
      </c>
      <c r="J64" s="231">
        <v>28276.95</v>
      </c>
      <c r="K64" s="231">
        <v>28186.25</v>
      </c>
      <c r="L64" s="228">
        <v>90.7</v>
      </c>
      <c r="M64" s="229">
        <v>3.2000000000000002E-3</v>
      </c>
      <c r="N64" s="231">
        <v>28286.799999999999</v>
      </c>
      <c r="O64" s="231">
        <v>28210.2</v>
      </c>
      <c r="P64" s="228">
        <v>76.599999999999994</v>
      </c>
      <c r="Q64" s="229">
        <v>2.7000000000000001E-3</v>
      </c>
      <c r="R64" s="231">
        <v>28457.200000000001</v>
      </c>
      <c r="S64" s="231">
        <v>27921.8</v>
      </c>
      <c r="T64" s="228">
        <v>535.4</v>
      </c>
      <c r="U64" s="229">
        <v>1.9199999999999998E-2</v>
      </c>
      <c r="V64" s="228">
        <v>0</v>
      </c>
      <c r="W64" s="228">
        <v>0</v>
      </c>
      <c r="X64" s="228">
        <v>0</v>
      </c>
      <c r="Y64" s="229">
        <v>0</v>
      </c>
      <c r="Z64" s="228">
        <v>9.85</v>
      </c>
      <c r="AA64" s="228">
        <v>23.95</v>
      </c>
      <c r="AB64" s="228">
        <v>-14.1</v>
      </c>
      <c r="AC64" s="229">
        <v>2.9999999999999997E-4</v>
      </c>
      <c r="AD64" s="228">
        <v>9.85</v>
      </c>
      <c r="AE64" s="228">
        <v>23.95</v>
      </c>
      <c r="AF64" s="228">
        <v>-14.1</v>
      </c>
      <c r="AG64" s="229">
        <v>2.9999999999999997E-4</v>
      </c>
      <c r="AH64" s="228">
        <v>180.25</v>
      </c>
      <c r="AI64" s="228">
        <v>-264.45</v>
      </c>
      <c r="AJ64" s="228">
        <v>444.7</v>
      </c>
      <c r="AK64" s="229">
        <v>6.4000000000000003E-3</v>
      </c>
      <c r="AL64" s="228">
        <v>0</v>
      </c>
      <c r="AM64" s="228">
        <v>0</v>
      </c>
      <c r="AN64" s="228">
        <v>0</v>
      </c>
      <c r="AO64" s="229">
        <v>0</v>
      </c>
      <c r="AP64" s="231">
        <v>28268.58</v>
      </c>
      <c r="AQ64" s="231">
        <v>28433.33</v>
      </c>
      <c r="AR64" s="228">
        <v>0</v>
      </c>
      <c r="AS64" s="228">
        <v>39</v>
      </c>
      <c r="AT64" s="228">
        <v>23</v>
      </c>
      <c r="AU64" s="228">
        <v>16</v>
      </c>
      <c r="AV64" s="229">
        <v>0.71640000000000004</v>
      </c>
      <c r="AW64" s="228">
        <v>39</v>
      </c>
      <c r="AX64" s="228">
        <v>23</v>
      </c>
      <c r="AY64" s="228">
        <v>16</v>
      </c>
      <c r="AZ64" s="229">
        <v>0.70679999999999998</v>
      </c>
      <c r="BA64" s="228">
        <v>1</v>
      </c>
      <c r="BB64" s="228">
        <v>0</v>
      </c>
      <c r="BC64" s="228">
        <v>0</v>
      </c>
      <c r="BD64" s="229">
        <v>2</v>
      </c>
      <c r="BE64" s="228">
        <v>0</v>
      </c>
      <c r="BF64" s="228">
        <v>0</v>
      </c>
      <c r="BG64" s="228">
        <v>0</v>
      </c>
      <c r="BH64" s="229">
        <v>0</v>
      </c>
      <c r="BI64" s="230">
        <v>3542</v>
      </c>
      <c r="BJ64" s="230">
        <v>2626</v>
      </c>
      <c r="BK64" s="228">
        <v>916</v>
      </c>
      <c r="BL64" s="229">
        <v>0.3488</v>
      </c>
      <c r="BM64" s="230">
        <v>4134</v>
      </c>
      <c r="BN64" s="230">
        <v>4575</v>
      </c>
      <c r="BO64" s="228">
        <v>-441</v>
      </c>
      <c r="BP64" s="229">
        <v>-9.6299999999999997E-2</v>
      </c>
      <c r="BQ64" s="230">
        <v>7715</v>
      </c>
      <c r="BR64" s="230">
        <v>7223</v>
      </c>
      <c r="BS64" s="228">
        <v>492</v>
      </c>
      <c r="BT64" s="229">
        <v>6.8000000000000005E-2</v>
      </c>
      <c r="BU64" s="228">
        <v>0</v>
      </c>
      <c r="BV64" s="228">
        <v>0</v>
      </c>
      <c r="BW64" s="228">
        <v>0</v>
      </c>
      <c r="BX64" s="229">
        <v>0</v>
      </c>
      <c r="BY64" s="228">
        <v>135</v>
      </c>
      <c r="BZ64" s="228">
        <v>135</v>
      </c>
      <c r="CA64" s="228">
        <v>0</v>
      </c>
      <c r="CB64" s="229">
        <v>-1.2999999999999999E-3</v>
      </c>
      <c r="CC64" s="228">
        <v>132</v>
      </c>
      <c r="CD64" s="228">
        <v>132</v>
      </c>
      <c r="CE64" s="228">
        <v>0</v>
      </c>
      <c r="CF64" s="229">
        <v>-2.5999999999999999E-3</v>
      </c>
      <c r="CG64" s="228">
        <v>3</v>
      </c>
      <c r="CH64" s="228">
        <v>3</v>
      </c>
      <c r="CI64" s="228">
        <v>0</v>
      </c>
      <c r="CJ64" s="229">
        <v>5.5599999999999997E-2</v>
      </c>
      <c r="CK64" s="228">
        <v>0</v>
      </c>
      <c r="CL64" s="228">
        <v>0</v>
      </c>
      <c r="CM64" s="228">
        <v>0</v>
      </c>
      <c r="CN64" s="229">
        <v>0</v>
      </c>
      <c r="CO64" s="230">
        <v>2307</v>
      </c>
      <c r="CP64" s="230">
        <v>1953</v>
      </c>
      <c r="CQ64" s="228">
        <v>354</v>
      </c>
      <c r="CR64" s="229">
        <v>0.18140000000000001</v>
      </c>
      <c r="CS64" s="230">
        <v>2818</v>
      </c>
      <c r="CT64" s="230">
        <v>2721</v>
      </c>
      <c r="CU64" s="228">
        <v>97</v>
      </c>
      <c r="CV64" s="229">
        <v>3.5799999999999998E-2</v>
      </c>
      <c r="CW64" s="230">
        <v>5260</v>
      </c>
      <c r="CX64" s="230">
        <v>4809</v>
      </c>
      <c r="CY64" s="228">
        <v>451</v>
      </c>
      <c r="CZ64" s="229">
        <v>9.3899999999999997E-2</v>
      </c>
      <c r="DA64" s="228">
        <v>13</v>
      </c>
      <c r="DB64" s="228">
        <v>12.84</v>
      </c>
      <c r="DC64" s="228">
        <v>0.16</v>
      </c>
      <c r="DD64" s="228">
        <v>0.16</v>
      </c>
      <c r="DE64" s="228">
        <v>16.71</v>
      </c>
      <c r="DF64" s="228">
        <v>16.739999999999998</v>
      </c>
      <c r="DG64" s="228">
        <v>-3.71</v>
      </c>
      <c r="DH64" s="228">
        <v>-0.03</v>
      </c>
      <c r="DI64" s="228">
        <v>11.53</v>
      </c>
      <c r="DJ64" s="228">
        <v>11.89</v>
      </c>
      <c r="DK64" s="228">
        <v>-0.36</v>
      </c>
      <c r="DL64" s="228">
        <v>-0.36</v>
      </c>
      <c r="DM64" s="228">
        <v>14.25</v>
      </c>
      <c r="DN64" s="228">
        <v>13.38</v>
      </c>
      <c r="DO64" s="228">
        <v>0.87</v>
      </c>
      <c r="DP64" s="228">
        <v>0.87</v>
      </c>
      <c r="DQ64" s="228">
        <v>1.22</v>
      </c>
      <c r="DR64" s="228">
        <v>1.39</v>
      </c>
      <c r="DS64" s="228">
        <v>-0.17</v>
      </c>
      <c r="DT64" s="229">
        <v>-0.12230000000000001</v>
      </c>
      <c r="DU64" s="231">
        <v>28000</v>
      </c>
      <c r="DV64" s="231">
        <v>28000</v>
      </c>
      <c r="DW64" s="228">
        <v>1.17</v>
      </c>
      <c r="DX64" s="228">
        <v>1.74</v>
      </c>
      <c r="DY64" s="228">
        <v>-0.56999999999999995</v>
      </c>
      <c r="DZ64" s="229">
        <v>-0.3276</v>
      </c>
      <c r="EA64" s="229">
        <v>2.3800000000000002E-2</v>
      </c>
      <c r="EB64" s="230">
        <v>1080</v>
      </c>
      <c r="EC64" s="229">
        <v>6.0000000000000001E-3</v>
      </c>
      <c r="ED64" s="229">
        <v>2.3800000000000002E-2</v>
      </c>
      <c r="EE64" s="228">
        <v>164.75</v>
      </c>
      <c r="EF64" s="229">
        <v>5.7999999999999996E-3</v>
      </c>
      <c r="EG64" s="228">
        <v>0</v>
      </c>
      <c r="EH64" s="228">
        <v>0</v>
      </c>
      <c r="EI64" s="229">
        <v>0</v>
      </c>
      <c r="EJ64" s="229">
        <v>0</v>
      </c>
      <c r="EK64" s="231">
        <v>3589.04</v>
      </c>
      <c r="EL64" s="231">
        <v>4050.7</v>
      </c>
      <c r="EM64" s="228">
        <v>39.01</v>
      </c>
      <c r="EN64" s="228">
        <v>0</v>
      </c>
      <c r="EO64" s="231">
        <v>7678.75</v>
      </c>
      <c r="EP64" s="231">
        <v>7184.04</v>
      </c>
      <c r="EQ64" s="228">
        <v>494.71</v>
      </c>
      <c r="ER64" s="229">
        <v>6.8900000000000003E-2</v>
      </c>
      <c r="ES64" s="231">
        <v>2311.19</v>
      </c>
      <c r="ET64" s="231">
        <v>2706.45</v>
      </c>
      <c r="EU64" s="228">
        <v>135.29</v>
      </c>
      <c r="EV64" s="228">
        <v>0</v>
      </c>
      <c r="EW64" s="231">
        <v>5152.93</v>
      </c>
      <c r="EX64" s="231">
        <v>4701.2700000000004</v>
      </c>
      <c r="EY64" s="228">
        <v>451.66</v>
      </c>
      <c r="EZ64" s="229">
        <v>9.6100000000000005E-2</v>
      </c>
      <c r="FA64" s="229">
        <v>0</v>
      </c>
      <c r="FB64" s="227" t="s">
        <v>556</v>
      </c>
      <c r="FC64">
        <f t="shared" si="0"/>
        <v>3</v>
      </c>
    </row>
    <row r="65" spans="1:159" ht="17.25" hidden="1" thickBot="1" x14ac:dyDescent="0.3">
      <c r="A65" s="226">
        <v>46064</v>
      </c>
      <c r="B65" s="227" t="s">
        <v>170</v>
      </c>
      <c r="C65" s="227" t="s">
        <v>676</v>
      </c>
      <c r="D65" s="228">
        <v>775</v>
      </c>
      <c r="E65" s="228">
        <v>13</v>
      </c>
      <c r="F65" s="228">
        <v>921.25</v>
      </c>
      <c r="G65" s="228">
        <v>892.95</v>
      </c>
      <c r="H65" s="228">
        <v>28.3</v>
      </c>
      <c r="I65" s="229">
        <v>3.1699999999999999E-2</v>
      </c>
      <c r="J65" s="228">
        <v>918.85</v>
      </c>
      <c r="K65" s="228">
        <v>891.85</v>
      </c>
      <c r="L65" s="228">
        <v>27</v>
      </c>
      <c r="M65" s="229">
        <v>3.0300000000000001E-2</v>
      </c>
      <c r="N65" s="228">
        <v>921.25</v>
      </c>
      <c r="O65" s="228">
        <v>892.95</v>
      </c>
      <c r="P65" s="228">
        <v>28.3</v>
      </c>
      <c r="Q65" s="229">
        <v>3.1699999999999999E-2</v>
      </c>
      <c r="R65" s="228">
        <v>926.85</v>
      </c>
      <c r="S65" s="228">
        <v>898.35</v>
      </c>
      <c r="T65" s="228">
        <v>28.5</v>
      </c>
      <c r="U65" s="229">
        <v>3.1699999999999999E-2</v>
      </c>
      <c r="V65" s="228">
        <v>930.45</v>
      </c>
      <c r="W65" s="228">
        <v>903.2</v>
      </c>
      <c r="X65" s="228">
        <v>27.25</v>
      </c>
      <c r="Y65" s="229">
        <v>3.0200000000000001E-2</v>
      </c>
      <c r="Z65" s="228">
        <v>2.4</v>
      </c>
      <c r="AA65" s="228">
        <v>1.1000000000000001</v>
      </c>
      <c r="AB65" s="228">
        <v>1.3</v>
      </c>
      <c r="AC65" s="229">
        <v>2.5999999999999999E-3</v>
      </c>
      <c r="AD65" s="228">
        <v>2.4</v>
      </c>
      <c r="AE65" s="228">
        <v>1.1000000000000001</v>
      </c>
      <c r="AF65" s="228">
        <v>1.3</v>
      </c>
      <c r="AG65" s="229">
        <v>2.5999999999999999E-3</v>
      </c>
      <c r="AH65" s="228">
        <v>8</v>
      </c>
      <c r="AI65" s="228">
        <v>6.5</v>
      </c>
      <c r="AJ65" s="228">
        <v>1.5</v>
      </c>
      <c r="AK65" s="229">
        <v>8.6999999999999994E-3</v>
      </c>
      <c r="AL65" s="228">
        <v>11.6</v>
      </c>
      <c r="AM65" s="228">
        <v>11.35</v>
      </c>
      <c r="AN65" s="228">
        <v>0.25</v>
      </c>
      <c r="AO65" s="229">
        <v>1.26E-2</v>
      </c>
      <c r="AP65" s="228">
        <v>920.17</v>
      </c>
      <c r="AQ65" s="228">
        <v>927.92</v>
      </c>
      <c r="AR65" s="228">
        <v>0</v>
      </c>
      <c r="AS65" s="228">
        <v>382</v>
      </c>
      <c r="AT65" s="228">
        <v>143</v>
      </c>
      <c r="AU65" s="228">
        <v>239</v>
      </c>
      <c r="AV65" s="229">
        <v>1.6753</v>
      </c>
      <c r="AW65" s="228">
        <v>351</v>
      </c>
      <c r="AX65" s="228">
        <v>133</v>
      </c>
      <c r="AY65" s="228">
        <v>218</v>
      </c>
      <c r="AZ65" s="229">
        <v>1.6342000000000001</v>
      </c>
      <c r="BA65" s="228">
        <v>30</v>
      </c>
      <c r="BB65" s="228">
        <v>9</v>
      </c>
      <c r="BC65" s="228">
        <v>21</v>
      </c>
      <c r="BD65" s="229">
        <v>2.2403</v>
      </c>
      <c r="BE65" s="228">
        <v>1</v>
      </c>
      <c r="BF65" s="228">
        <v>0</v>
      </c>
      <c r="BG65" s="228">
        <v>1</v>
      </c>
      <c r="BH65" s="229">
        <v>2.3332999999999999</v>
      </c>
      <c r="BI65" s="230">
        <v>3227</v>
      </c>
      <c r="BJ65" s="228">
        <v>283</v>
      </c>
      <c r="BK65" s="230">
        <v>2944</v>
      </c>
      <c r="BL65" s="229">
        <v>10.392099999999999</v>
      </c>
      <c r="BM65" s="230">
        <v>1014</v>
      </c>
      <c r="BN65" s="228">
        <v>150</v>
      </c>
      <c r="BO65" s="228">
        <v>864</v>
      </c>
      <c r="BP65" s="229">
        <v>5.7591999999999999</v>
      </c>
      <c r="BQ65" s="230">
        <v>4624</v>
      </c>
      <c r="BR65" s="228">
        <v>576</v>
      </c>
      <c r="BS65" s="230">
        <v>4047</v>
      </c>
      <c r="BT65" s="229">
        <v>7.0239000000000003</v>
      </c>
      <c r="BU65" s="230">
        <v>4054037</v>
      </c>
      <c r="BV65" s="230">
        <v>1145331</v>
      </c>
      <c r="BW65" s="230">
        <v>2908706</v>
      </c>
      <c r="BX65" s="229">
        <v>2.5396000000000001</v>
      </c>
      <c r="BY65" s="230">
        <v>1156</v>
      </c>
      <c r="BZ65" s="230">
        <v>1117</v>
      </c>
      <c r="CA65" s="228">
        <v>39</v>
      </c>
      <c r="CB65" s="229">
        <v>3.4799999999999998E-2</v>
      </c>
      <c r="CC65" s="230">
        <v>1132</v>
      </c>
      <c r="CD65" s="230">
        <v>1097</v>
      </c>
      <c r="CE65" s="228">
        <v>34</v>
      </c>
      <c r="CF65" s="229">
        <v>3.1300000000000001E-2</v>
      </c>
      <c r="CG65" s="228">
        <v>23</v>
      </c>
      <c r="CH65" s="228">
        <v>19</v>
      </c>
      <c r="CI65" s="228">
        <v>4</v>
      </c>
      <c r="CJ65" s="229">
        <v>0.22140000000000001</v>
      </c>
      <c r="CK65" s="228">
        <v>1</v>
      </c>
      <c r="CL65" s="228">
        <v>1</v>
      </c>
      <c r="CM65" s="228">
        <v>0</v>
      </c>
      <c r="CN65" s="229">
        <v>0.42859999999999998</v>
      </c>
      <c r="CO65" s="228">
        <v>437</v>
      </c>
      <c r="CP65" s="228">
        <v>262</v>
      </c>
      <c r="CQ65" s="228">
        <v>175</v>
      </c>
      <c r="CR65" s="229">
        <v>0.66830000000000001</v>
      </c>
      <c r="CS65" s="228">
        <v>291</v>
      </c>
      <c r="CT65" s="228">
        <v>205</v>
      </c>
      <c r="CU65" s="228">
        <v>86</v>
      </c>
      <c r="CV65" s="229">
        <v>0.42249999999999999</v>
      </c>
      <c r="CW65" s="230">
        <v>1884</v>
      </c>
      <c r="CX65" s="230">
        <v>1584</v>
      </c>
      <c r="CY65" s="228">
        <v>301</v>
      </c>
      <c r="CZ65" s="229">
        <v>0.1898</v>
      </c>
      <c r="DA65" s="228">
        <v>37.68</v>
      </c>
      <c r="DB65" s="228">
        <v>34.56</v>
      </c>
      <c r="DC65" s="228">
        <v>3.12</v>
      </c>
      <c r="DD65" s="228">
        <v>3.12</v>
      </c>
      <c r="DE65" s="228">
        <v>34.96</v>
      </c>
      <c r="DF65" s="228">
        <v>34.82</v>
      </c>
      <c r="DG65" s="228">
        <v>2.72</v>
      </c>
      <c r="DH65" s="228">
        <v>0.14000000000000001</v>
      </c>
      <c r="DI65" s="228">
        <v>37.770000000000003</v>
      </c>
      <c r="DJ65" s="228">
        <v>34.5</v>
      </c>
      <c r="DK65" s="228">
        <v>3.27</v>
      </c>
      <c r="DL65" s="228">
        <v>3.27</v>
      </c>
      <c r="DM65" s="228">
        <v>37.380000000000003</v>
      </c>
      <c r="DN65" s="228">
        <v>34.68</v>
      </c>
      <c r="DO65" s="228">
        <v>2.7</v>
      </c>
      <c r="DP65" s="228">
        <v>2.7</v>
      </c>
      <c r="DQ65" s="228">
        <v>0.67</v>
      </c>
      <c r="DR65" s="228">
        <v>0.78</v>
      </c>
      <c r="DS65" s="228">
        <v>-0.11</v>
      </c>
      <c r="DT65" s="229">
        <v>-0.14099999999999999</v>
      </c>
      <c r="DU65" s="228">
        <v>930</v>
      </c>
      <c r="DV65" s="228">
        <v>880</v>
      </c>
      <c r="DW65" s="228">
        <v>0.31</v>
      </c>
      <c r="DX65" s="228">
        <v>0.53</v>
      </c>
      <c r="DY65" s="228">
        <v>-0.22</v>
      </c>
      <c r="DZ65" s="229">
        <v>-0.41510000000000002</v>
      </c>
      <c r="EA65" s="229">
        <v>2.1000000000000001E-2</v>
      </c>
      <c r="EB65" s="230">
        <v>213900</v>
      </c>
      <c r="EC65" s="229">
        <v>6.1000000000000004E-3</v>
      </c>
      <c r="ED65" s="229">
        <v>2.1000000000000001E-2</v>
      </c>
      <c r="EE65" s="228">
        <v>7.75</v>
      </c>
      <c r="EF65" s="229">
        <v>8.3999999999999995E-3</v>
      </c>
      <c r="EG65" s="230">
        <v>1702825</v>
      </c>
      <c r="EH65" s="230">
        <v>612904</v>
      </c>
      <c r="EI65" s="229">
        <v>1.7783</v>
      </c>
      <c r="EJ65" s="229">
        <v>0.42</v>
      </c>
      <c r="EK65" s="231">
        <v>3379.56</v>
      </c>
      <c r="EL65" s="228">
        <v>977.94</v>
      </c>
      <c r="EM65" s="228">
        <v>382.22</v>
      </c>
      <c r="EN65" s="228">
        <v>22</v>
      </c>
      <c r="EO65" s="231">
        <v>4739.72</v>
      </c>
      <c r="EP65" s="228">
        <v>570.27</v>
      </c>
      <c r="EQ65" s="231">
        <v>4169.45</v>
      </c>
      <c r="ER65" s="229">
        <v>7.3113999999999999</v>
      </c>
      <c r="ES65" s="228">
        <v>448.76</v>
      </c>
      <c r="ET65" s="228">
        <v>276.61</v>
      </c>
      <c r="EU65" s="231">
        <v>1156.07</v>
      </c>
      <c r="EV65" s="231">
        <v>77949604</v>
      </c>
      <c r="EW65" s="231">
        <v>1881.44</v>
      </c>
      <c r="EX65" s="231">
        <v>1534.96</v>
      </c>
      <c r="EY65" s="228">
        <v>346.48</v>
      </c>
      <c r="EZ65" s="229">
        <v>0.22570000000000001</v>
      </c>
      <c r="FA65" s="229">
        <v>0.26240000000000002</v>
      </c>
      <c r="FB65" s="227" t="s">
        <v>555</v>
      </c>
      <c r="FC65">
        <f t="shared" si="0"/>
        <v>24</v>
      </c>
    </row>
    <row r="66" spans="1:159" ht="17.25" hidden="1" thickBot="1" x14ac:dyDescent="0.3">
      <c r="A66" s="226">
        <v>46064</v>
      </c>
      <c r="B66" s="227" t="s">
        <v>193</v>
      </c>
      <c r="C66" s="227" t="s">
        <v>213</v>
      </c>
      <c r="D66" s="228">
        <v>3150</v>
      </c>
      <c r="E66" s="228">
        <v>13</v>
      </c>
      <c r="F66" s="228">
        <v>164.01</v>
      </c>
      <c r="G66" s="228">
        <v>165.06</v>
      </c>
      <c r="H66" s="228">
        <v>-1.05</v>
      </c>
      <c r="I66" s="229">
        <v>-6.4000000000000003E-3</v>
      </c>
      <c r="J66" s="228">
        <v>163.47</v>
      </c>
      <c r="K66" s="228">
        <v>164.55</v>
      </c>
      <c r="L66" s="228">
        <v>-1.08</v>
      </c>
      <c r="M66" s="229">
        <v>-6.6E-3</v>
      </c>
      <c r="N66" s="228">
        <v>164.01</v>
      </c>
      <c r="O66" s="228">
        <v>165.06</v>
      </c>
      <c r="P66" s="228">
        <v>-1.05</v>
      </c>
      <c r="Q66" s="229">
        <v>-6.4000000000000003E-3</v>
      </c>
      <c r="R66" s="228">
        <v>164.98</v>
      </c>
      <c r="S66" s="228">
        <v>166.08</v>
      </c>
      <c r="T66" s="228">
        <v>-1.1000000000000001</v>
      </c>
      <c r="U66" s="229">
        <v>-6.6E-3</v>
      </c>
      <c r="V66" s="228">
        <v>166.35</v>
      </c>
      <c r="W66" s="228">
        <v>167.26</v>
      </c>
      <c r="X66" s="228">
        <v>-0.91</v>
      </c>
      <c r="Y66" s="229">
        <v>-5.4000000000000003E-3</v>
      </c>
      <c r="Z66" s="228">
        <v>0.54</v>
      </c>
      <c r="AA66" s="228">
        <v>0.51</v>
      </c>
      <c r="AB66" s="228">
        <v>0.03</v>
      </c>
      <c r="AC66" s="229">
        <v>3.3E-3</v>
      </c>
      <c r="AD66" s="228">
        <v>0.54</v>
      </c>
      <c r="AE66" s="228">
        <v>0.51</v>
      </c>
      <c r="AF66" s="228">
        <v>0.03</v>
      </c>
      <c r="AG66" s="229">
        <v>3.3E-3</v>
      </c>
      <c r="AH66" s="228">
        <v>1.51</v>
      </c>
      <c r="AI66" s="228">
        <v>1.53</v>
      </c>
      <c r="AJ66" s="228">
        <v>-0.02</v>
      </c>
      <c r="AK66" s="229">
        <v>9.1999999999999998E-3</v>
      </c>
      <c r="AL66" s="228">
        <v>2.88</v>
      </c>
      <c r="AM66" s="228">
        <v>2.71</v>
      </c>
      <c r="AN66" s="228">
        <v>0.17</v>
      </c>
      <c r="AO66" s="229">
        <v>1.7600000000000001E-2</v>
      </c>
      <c r="AP66" s="228">
        <v>163.56</v>
      </c>
      <c r="AQ66" s="228">
        <v>164.48</v>
      </c>
      <c r="AR66" s="228">
        <v>0</v>
      </c>
      <c r="AS66" s="228">
        <v>132</v>
      </c>
      <c r="AT66" s="228">
        <v>231</v>
      </c>
      <c r="AU66" s="228">
        <v>-99</v>
      </c>
      <c r="AV66" s="229">
        <v>-0.42699999999999999</v>
      </c>
      <c r="AW66" s="228">
        <v>102</v>
      </c>
      <c r="AX66" s="228">
        <v>193</v>
      </c>
      <c r="AY66" s="228">
        <v>-90</v>
      </c>
      <c r="AZ66" s="229">
        <v>-0.46920000000000001</v>
      </c>
      <c r="BA66" s="228">
        <v>26</v>
      </c>
      <c r="BB66" s="228">
        <v>34</v>
      </c>
      <c r="BC66" s="228">
        <v>-7</v>
      </c>
      <c r="BD66" s="229">
        <v>-0.2215</v>
      </c>
      <c r="BE66" s="228">
        <v>4</v>
      </c>
      <c r="BF66" s="228">
        <v>5</v>
      </c>
      <c r="BG66" s="228">
        <v>-1</v>
      </c>
      <c r="BH66" s="229">
        <v>-0.18559999999999999</v>
      </c>
      <c r="BI66" s="228">
        <v>315</v>
      </c>
      <c r="BJ66" s="228">
        <v>669</v>
      </c>
      <c r="BK66" s="228">
        <v>-354</v>
      </c>
      <c r="BL66" s="229">
        <v>-0.52939999999999998</v>
      </c>
      <c r="BM66" s="228">
        <v>157</v>
      </c>
      <c r="BN66" s="228">
        <v>365</v>
      </c>
      <c r="BO66" s="228">
        <v>-208</v>
      </c>
      <c r="BP66" s="229">
        <v>-0.56989999999999996</v>
      </c>
      <c r="BQ66" s="228">
        <v>604</v>
      </c>
      <c r="BR66" s="230">
        <v>1265</v>
      </c>
      <c r="BS66" s="228">
        <v>-661</v>
      </c>
      <c r="BT66" s="229">
        <v>-0.52239999999999998</v>
      </c>
      <c r="BU66" s="230">
        <v>11041561</v>
      </c>
      <c r="BV66" s="230">
        <v>18486508</v>
      </c>
      <c r="BW66" s="230">
        <v>-7444947</v>
      </c>
      <c r="BX66" s="229">
        <v>-0.4027</v>
      </c>
      <c r="BY66" s="230">
        <v>1926</v>
      </c>
      <c r="BZ66" s="230">
        <v>1902</v>
      </c>
      <c r="CA66" s="228">
        <v>24</v>
      </c>
      <c r="CB66" s="229">
        <v>1.26E-2</v>
      </c>
      <c r="CC66" s="230">
        <v>1815</v>
      </c>
      <c r="CD66" s="230">
        <v>1804</v>
      </c>
      <c r="CE66" s="228">
        <v>11</v>
      </c>
      <c r="CF66" s="229">
        <v>6.1000000000000004E-3</v>
      </c>
      <c r="CG66" s="228">
        <v>95</v>
      </c>
      <c r="CH66" s="228">
        <v>85</v>
      </c>
      <c r="CI66" s="228">
        <v>10</v>
      </c>
      <c r="CJ66" s="229">
        <v>0.1212</v>
      </c>
      <c r="CK66" s="228">
        <v>15</v>
      </c>
      <c r="CL66" s="228">
        <v>13</v>
      </c>
      <c r="CM66" s="228">
        <v>3</v>
      </c>
      <c r="CN66" s="229">
        <v>0.2099</v>
      </c>
      <c r="CO66" s="228">
        <v>680</v>
      </c>
      <c r="CP66" s="228">
        <v>676</v>
      </c>
      <c r="CQ66" s="228">
        <v>4</v>
      </c>
      <c r="CR66" s="229">
        <v>6.4000000000000003E-3</v>
      </c>
      <c r="CS66" s="228">
        <v>515</v>
      </c>
      <c r="CT66" s="228">
        <v>513</v>
      </c>
      <c r="CU66" s="228">
        <v>2</v>
      </c>
      <c r="CV66" s="229">
        <v>3.2000000000000002E-3</v>
      </c>
      <c r="CW66" s="230">
        <v>3121</v>
      </c>
      <c r="CX66" s="230">
        <v>3091</v>
      </c>
      <c r="CY66" s="228">
        <v>30</v>
      </c>
      <c r="CZ66" s="229">
        <v>9.7000000000000003E-3</v>
      </c>
      <c r="DA66" s="228">
        <v>26.22</v>
      </c>
      <c r="DB66" s="228">
        <v>26.8</v>
      </c>
      <c r="DC66" s="228">
        <v>-0.57999999999999996</v>
      </c>
      <c r="DD66" s="228">
        <v>-0.57999999999999996</v>
      </c>
      <c r="DE66" s="228">
        <v>33.5</v>
      </c>
      <c r="DF66" s="228">
        <v>33.57</v>
      </c>
      <c r="DG66" s="228">
        <v>-7.28</v>
      </c>
      <c r="DH66" s="228">
        <v>-7.0000000000000007E-2</v>
      </c>
      <c r="DI66" s="228">
        <v>26.12</v>
      </c>
      <c r="DJ66" s="228">
        <v>26.09</v>
      </c>
      <c r="DK66" s="228">
        <v>0.03</v>
      </c>
      <c r="DL66" s="228">
        <v>0.03</v>
      </c>
      <c r="DM66" s="228">
        <v>26.44</v>
      </c>
      <c r="DN66" s="228">
        <v>28.09</v>
      </c>
      <c r="DO66" s="228">
        <v>-1.65</v>
      </c>
      <c r="DP66" s="228">
        <v>-1.65</v>
      </c>
      <c r="DQ66" s="228">
        <v>0.76</v>
      </c>
      <c r="DR66" s="228">
        <v>0.76</v>
      </c>
      <c r="DS66" s="228">
        <v>0</v>
      </c>
      <c r="DT66" s="229">
        <v>0</v>
      </c>
      <c r="DU66" s="228">
        <v>165</v>
      </c>
      <c r="DV66" s="228">
        <v>145</v>
      </c>
      <c r="DW66" s="228">
        <v>0.5</v>
      </c>
      <c r="DX66" s="228">
        <v>0.55000000000000004</v>
      </c>
      <c r="DY66" s="228">
        <v>-0.05</v>
      </c>
      <c r="DZ66" s="229">
        <v>-9.0899999999999995E-2</v>
      </c>
      <c r="EA66" s="229">
        <v>5.7299999999999997E-2</v>
      </c>
      <c r="EB66" s="230">
        <v>5937750</v>
      </c>
      <c r="EC66" s="229">
        <v>5.8999999999999999E-3</v>
      </c>
      <c r="ED66" s="229">
        <v>5.7299999999999997E-2</v>
      </c>
      <c r="EE66" s="228">
        <v>0.92</v>
      </c>
      <c r="EF66" s="229">
        <v>5.5999999999999999E-3</v>
      </c>
      <c r="EG66" s="230">
        <v>7535330</v>
      </c>
      <c r="EH66" s="230">
        <v>11857442</v>
      </c>
      <c r="EI66" s="229">
        <v>-0.36449999999999999</v>
      </c>
      <c r="EJ66" s="229">
        <v>0.6825</v>
      </c>
      <c r="EK66" s="228">
        <v>327.8</v>
      </c>
      <c r="EL66" s="228">
        <v>153.81</v>
      </c>
      <c r="EM66" s="228">
        <v>132.29</v>
      </c>
      <c r="EN66" s="228">
        <v>50.17</v>
      </c>
      <c r="EO66" s="228">
        <v>613.91</v>
      </c>
      <c r="EP66" s="231">
        <v>1290.67</v>
      </c>
      <c r="EQ66" s="228">
        <v>-676.76</v>
      </c>
      <c r="ER66" s="229">
        <v>-0.52439999999999998</v>
      </c>
      <c r="ES66" s="228">
        <v>702.29</v>
      </c>
      <c r="ET66" s="228">
        <v>506.57</v>
      </c>
      <c r="EU66" s="231">
        <v>1926.47</v>
      </c>
      <c r="EV66" s="231">
        <v>435694919</v>
      </c>
      <c r="EW66" s="231">
        <v>3135.33</v>
      </c>
      <c r="EX66" s="231">
        <v>3116.75</v>
      </c>
      <c r="EY66" s="228">
        <v>18.579999999999998</v>
      </c>
      <c r="EZ66" s="229">
        <v>6.0000000000000001E-3</v>
      </c>
      <c r="FA66" s="229">
        <v>0.43669999999999998</v>
      </c>
      <c r="FB66" s="227" t="s">
        <v>567</v>
      </c>
      <c r="FC66">
        <f t="shared" si="0"/>
        <v>111</v>
      </c>
    </row>
    <row r="67" spans="1:159" ht="17.25" hidden="1" thickBot="1" x14ac:dyDescent="0.3">
      <c r="A67" s="226">
        <v>46064</v>
      </c>
      <c r="B67" s="227" t="s">
        <v>170</v>
      </c>
      <c r="C67" s="227" t="s">
        <v>214</v>
      </c>
      <c r="D67" s="228">
        <v>375</v>
      </c>
      <c r="E67" s="228">
        <v>13</v>
      </c>
      <c r="F67" s="231">
        <v>2018</v>
      </c>
      <c r="G67" s="231">
        <v>1963.6</v>
      </c>
      <c r="H67" s="228">
        <v>54.4</v>
      </c>
      <c r="I67" s="229">
        <v>2.7699999999999999E-2</v>
      </c>
      <c r="J67" s="231">
        <v>2015.2</v>
      </c>
      <c r="K67" s="231">
        <v>1958</v>
      </c>
      <c r="L67" s="228">
        <v>57.2</v>
      </c>
      <c r="M67" s="229">
        <v>2.92E-2</v>
      </c>
      <c r="N67" s="231">
        <v>2018</v>
      </c>
      <c r="O67" s="231">
        <v>1963.6</v>
      </c>
      <c r="P67" s="228">
        <v>54.4</v>
      </c>
      <c r="Q67" s="229">
        <v>2.7699999999999999E-2</v>
      </c>
      <c r="R67" s="231">
        <v>2030</v>
      </c>
      <c r="S67" s="231">
        <v>1975.2</v>
      </c>
      <c r="T67" s="228">
        <v>54.8</v>
      </c>
      <c r="U67" s="229">
        <v>2.7699999999999999E-2</v>
      </c>
      <c r="V67" s="231">
        <v>2038.6</v>
      </c>
      <c r="W67" s="231">
        <v>1989.2</v>
      </c>
      <c r="X67" s="228">
        <v>49.4</v>
      </c>
      <c r="Y67" s="229">
        <v>2.4799999999999999E-2</v>
      </c>
      <c r="Z67" s="228">
        <v>2.8</v>
      </c>
      <c r="AA67" s="228">
        <v>5.6</v>
      </c>
      <c r="AB67" s="228">
        <v>-2.8</v>
      </c>
      <c r="AC67" s="229">
        <v>1.4E-3</v>
      </c>
      <c r="AD67" s="228">
        <v>2.8</v>
      </c>
      <c r="AE67" s="228">
        <v>5.6</v>
      </c>
      <c r="AF67" s="228">
        <v>-2.8</v>
      </c>
      <c r="AG67" s="229">
        <v>1.4E-3</v>
      </c>
      <c r="AH67" s="228">
        <v>14.8</v>
      </c>
      <c r="AI67" s="228">
        <v>17.2</v>
      </c>
      <c r="AJ67" s="228">
        <v>-2.4</v>
      </c>
      <c r="AK67" s="229">
        <v>7.3000000000000001E-3</v>
      </c>
      <c r="AL67" s="228">
        <v>23.4</v>
      </c>
      <c r="AM67" s="228">
        <v>31.2</v>
      </c>
      <c r="AN67" s="228">
        <v>-7.8</v>
      </c>
      <c r="AO67" s="229">
        <v>1.1599999999999999E-2</v>
      </c>
      <c r="AP67" s="231">
        <v>2000.61</v>
      </c>
      <c r="AQ67" s="231">
        <v>2011.97</v>
      </c>
      <c r="AR67" s="228">
        <v>0</v>
      </c>
      <c r="AS67" s="228">
        <v>298</v>
      </c>
      <c r="AT67" s="228">
        <v>139</v>
      </c>
      <c r="AU67" s="228">
        <v>159</v>
      </c>
      <c r="AV67" s="229">
        <v>1.1386000000000001</v>
      </c>
      <c r="AW67" s="228">
        <v>281</v>
      </c>
      <c r="AX67" s="228">
        <v>133</v>
      </c>
      <c r="AY67" s="228">
        <v>148</v>
      </c>
      <c r="AZ67" s="229">
        <v>1.1071</v>
      </c>
      <c r="BA67" s="228">
        <v>16</v>
      </c>
      <c r="BB67" s="228">
        <v>5</v>
      </c>
      <c r="BC67" s="228">
        <v>11</v>
      </c>
      <c r="BD67" s="229">
        <v>2.0895999999999999</v>
      </c>
      <c r="BE67" s="228">
        <v>1</v>
      </c>
      <c r="BF67" s="228">
        <v>1</v>
      </c>
      <c r="BG67" s="228">
        <v>0</v>
      </c>
      <c r="BH67" s="229">
        <v>0.22220000000000001</v>
      </c>
      <c r="BI67" s="230">
        <v>1002</v>
      </c>
      <c r="BJ67" s="228">
        <v>399</v>
      </c>
      <c r="BK67" s="228">
        <v>603</v>
      </c>
      <c r="BL67" s="229">
        <v>1.5121</v>
      </c>
      <c r="BM67" s="228">
        <v>309</v>
      </c>
      <c r="BN67" s="228">
        <v>144</v>
      </c>
      <c r="BO67" s="228">
        <v>165</v>
      </c>
      <c r="BP67" s="229">
        <v>1.1494</v>
      </c>
      <c r="BQ67" s="230">
        <v>1609</v>
      </c>
      <c r="BR67" s="228">
        <v>682</v>
      </c>
      <c r="BS67" s="228">
        <v>927</v>
      </c>
      <c r="BT67" s="229">
        <v>1.3593999999999999</v>
      </c>
      <c r="BU67" s="230">
        <v>555389</v>
      </c>
      <c r="BV67" s="230">
        <v>289274</v>
      </c>
      <c r="BW67" s="230">
        <v>266115</v>
      </c>
      <c r="BX67" s="229">
        <v>0.91990000000000005</v>
      </c>
      <c r="BY67" s="230">
        <v>2292</v>
      </c>
      <c r="BZ67" s="230">
        <v>2322</v>
      </c>
      <c r="CA67" s="228">
        <v>-30</v>
      </c>
      <c r="CB67" s="229">
        <v>-1.29E-2</v>
      </c>
      <c r="CC67" s="230">
        <v>2272</v>
      </c>
      <c r="CD67" s="230">
        <v>2302</v>
      </c>
      <c r="CE67" s="228">
        <v>-31</v>
      </c>
      <c r="CF67" s="229">
        <v>-1.3299999999999999E-2</v>
      </c>
      <c r="CG67" s="228">
        <v>18</v>
      </c>
      <c r="CH67" s="228">
        <v>18</v>
      </c>
      <c r="CI67" s="228">
        <v>0</v>
      </c>
      <c r="CJ67" s="229">
        <v>1.29E-2</v>
      </c>
      <c r="CK67" s="228">
        <v>2</v>
      </c>
      <c r="CL67" s="228">
        <v>2</v>
      </c>
      <c r="CM67" s="228">
        <v>0</v>
      </c>
      <c r="CN67" s="229">
        <v>0.20830000000000001</v>
      </c>
      <c r="CO67" s="228">
        <v>515</v>
      </c>
      <c r="CP67" s="228">
        <v>504</v>
      </c>
      <c r="CQ67" s="228">
        <v>11</v>
      </c>
      <c r="CR67" s="229">
        <v>2.1600000000000001E-2</v>
      </c>
      <c r="CS67" s="228">
        <v>364</v>
      </c>
      <c r="CT67" s="228">
        <v>329</v>
      </c>
      <c r="CU67" s="228">
        <v>36</v>
      </c>
      <c r="CV67" s="229">
        <v>0.10920000000000001</v>
      </c>
      <c r="CW67" s="230">
        <v>3171</v>
      </c>
      <c r="CX67" s="230">
        <v>3154</v>
      </c>
      <c r="CY67" s="228">
        <v>17</v>
      </c>
      <c r="CZ67" s="229">
        <v>5.3E-3</v>
      </c>
      <c r="DA67" s="228">
        <v>30.3</v>
      </c>
      <c r="DB67" s="228">
        <v>30.91</v>
      </c>
      <c r="DC67" s="228">
        <v>-0.61</v>
      </c>
      <c r="DD67" s="228">
        <v>-0.61</v>
      </c>
      <c r="DE67" s="228">
        <v>35.130000000000003</v>
      </c>
      <c r="DF67" s="228">
        <v>35.01</v>
      </c>
      <c r="DG67" s="228">
        <v>-4.83</v>
      </c>
      <c r="DH67" s="228">
        <v>0.12</v>
      </c>
      <c r="DI67" s="228">
        <v>30.1</v>
      </c>
      <c r="DJ67" s="228">
        <v>30.75</v>
      </c>
      <c r="DK67" s="228">
        <v>-0.65</v>
      </c>
      <c r="DL67" s="228">
        <v>-0.65</v>
      </c>
      <c r="DM67" s="228">
        <v>30.97</v>
      </c>
      <c r="DN67" s="228">
        <v>31.35</v>
      </c>
      <c r="DO67" s="228">
        <v>-0.38</v>
      </c>
      <c r="DP67" s="228">
        <v>-0.38</v>
      </c>
      <c r="DQ67" s="228">
        <v>0.71</v>
      </c>
      <c r="DR67" s="228">
        <v>0.65</v>
      </c>
      <c r="DS67" s="228">
        <v>0.06</v>
      </c>
      <c r="DT67" s="229">
        <v>9.2299999999999993E-2</v>
      </c>
      <c r="DU67" s="231">
        <v>2100</v>
      </c>
      <c r="DV67" s="231">
        <v>1900</v>
      </c>
      <c r="DW67" s="228">
        <v>0.31</v>
      </c>
      <c r="DX67" s="228">
        <v>0.36</v>
      </c>
      <c r="DY67" s="228">
        <v>-0.05</v>
      </c>
      <c r="DZ67" s="229">
        <v>-0.1389</v>
      </c>
      <c r="EA67" s="229">
        <v>8.6999999999999994E-3</v>
      </c>
      <c r="EB67" s="230">
        <v>96375</v>
      </c>
      <c r="EC67" s="229">
        <v>5.8999999999999999E-3</v>
      </c>
      <c r="ED67" s="229">
        <v>8.6999999999999994E-3</v>
      </c>
      <c r="EE67" s="228">
        <v>11.36</v>
      </c>
      <c r="EF67" s="229">
        <v>5.7000000000000002E-3</v>
      </c>
      <c r="EG67" s="230">
        <v>221559</v>
      </c>
      <c r="EH67" s="230">
        <v>140062</v>
      </c>
      <c r="EI67" s="229">
        <v>0.58189999999999997</v>
      </c>
      <c r="EJ67" s="229">
        <v>0.39889999999999998</v>
      </c>
      <c r="EK67" s="231">
        <v>1029.78</v>
      </c>
      <c r="EL67" s="228">
        <v>300.08</v>
      </c>
      <c r="EM67" s="228">
        <v>295.31</v>
      </c>
      <c r="EN67" s="228">
        <v>25.81</v>
      </c>
      <c r="EO67" s="231">
        <v>1625.17</v>
      </c>
      <c r="EP67" s="228">
        <v>682.1</v>
      </c>
      <c r="EQ67" s="228">
        <v>943.07</v>
      </c>
      <c r="ER67" s="229">
        <v>1.3826000000000001</v>
      </c>
      <c r="ES67" s="228">
        <v>526.65</v>
      </c>
      <c r="ET67" s="228">
        <v>347.81</v>
      </c>
      <c r="EU67" s="231">
        <v>2292.02</v>
      </c>
      <c r="EV67" s="231">
        <v>22585180</v>
      </c>
      <c r="EW67" s="231">
        <v>3166.49</v>
      </c>
      <c r="EX67" s="231">
        <v>3086.53</v>
      </c>
      <c r="EY67" s="228">
        <v>79.959999999999994</v>
      </c>
      <c r="EZ67" s="229">
        <v>2.5899999999999999E-2</v>
      </c>
      <c r="FA67" s="229">
        <v>0.69579999999999997</v>
      </c>
      <c r="FB67" s="227" t="s">
        <v>556</v>
      </c>
      <c r="FC67">
        <f t="shared" ref="FC67:FC130" si="1">BY67-CC67</f>
        <v>20</v>
      </c>
    </row>
    <row r="68" spans="1:159" ht="17.25" hidden="1" thickBot="1" x14ac:dyDescent="0.3">
      <c r="A68" s="226">
        <v>46064</v>
      </c>
      <c r="B68" s="227" t="s">
        <v>215</v>
      </c>
      <c r="C68" s="227" t="s">
        <v>631</v>
      </c>
      <c r="D68" s="228">
        <v>6975</v>
      </c>
      <c r="E68" s="228">
        <v>13</v>
      </c>
      <c r="F68" s="228">
        <v>97.09</v>
      </c>
      <c r="G68" s="228">
        <v>97.94</v>
      </c>
      <c r="H68" s="228">
        <v>-0.85</v>
      </c>
      <c r="I68" s="229">
        <v>-8.6999999999999994E-3</v>
      </c>
      <c r="J68" s="228">
        <v>96.81</v>
      </c>
      <c r="K68" s="228">
        <v>97.81</v>
      </c>
      <c r="L68" s="228">
        <v>-1</v>
      </c>
      <c r="M68" s="229">
        <v>-1.0200000000000001E-2</v>
      </c>
      <c r="N68" s="228">
        <v>97.09</v>
      </c>
      <c r="O68" s="228">
        <v>97.94</v>
      </c>
      <c r="P68" s="228">
        <v>-0.85</v>
      </c>
      <c r="Q68" s="229">
        <v>-8.6999999999999994E-3</v>
      </c>
      <c r="R68" s="228">
        <v>97.75</v>
      </c>
      <c r="S68" s="228">
        <v>98.54</v>
      </c>
      <c r="T68" s="228">
        <v>-0.79</v>
      </c>
      <c r="U68" s="229">
        <v>-8.0000000000000002E-3</v>
      </c>
      <c r="V68" s="228">
        <v>98.36</v>
      </c>
      <c r="W68" s="228">
        <v>99.35</v>
      </c>
      <c r="X68" s="228">
        <v>-0.99</v>
      </c>
      <c r="Y68" s="229">
        <v>-0.01</v>
      </c>
      <c r="Z68" s="228">
        <v>0.28000000000000003</v>
      </c>
      <c r="AA68" s="228">
        <v>0.13</v>
      </c>
      <c r="AB68" s="228">
        <v>0.15</v>
      </c>
      <c r="AC68" s="229">
        <v>2.8999999999999998E-3</v>
      </c>
      <c r="AD68" s="228">
        <v>0.28000000000000003</v>
      </c>
      <c r="AE68" s="228">
        <v>0.13</v>
      </c>
      <c r="AF68" s="228">
        <v>0.15</v>
      </c>
      <c r="AG68" s="229">
        <v>2.8999999999999998E-3</v>
      </c>
      <c r="AH68" s="228">
        <v>0.94</v>
      </c>
      <c r="AI68" s="228">
        <v>0.73</v>
      </c>
      <c r="AJ68" s="228">
        <v>0.21</v>
      </c>
      <c r="AK68" s="229">
        <v>9.7000000000000003E-3</v>
      </c>
      <c r="AL68" s="228">
        <v>1.55</v>
      </c>
      <c r="AM68" s="228">
        <v>1.54</v>
      </c>
      <c r="AN68" s="228">
        <v>0.01</v>
      </c>
      <c r="AO68" s="229">
        <v>1.6E-2</v>
      </c>
      <c r="AP68" s="228">
        <v>96.97</v>
      </c>
      <c r="AQ68" s="228">
        <v>97.5</v>
      </c>
      <c r="AR68" s="228">
        <v>0</v>
      </c>
      <c r="AS68" s="228">
        <v>105</v>
      </c>
      <c r="AT68" s="228">
        <v>98</v>
      </c>
      <c r="AU68" s="228">
        <v>7</v>
      </c>
      <c r="AV68" s="229">
        <v>7.4200000000000002E-2</v>
      </c>
      <c r="AW68" s="228">
        <v>93</v>
      </c>
      <c r="AX68" s="228">
        <v>88</v>
      </c>
      <c r="AY68" s="228">
        <v>5</v>
      </c>
      <c r="AZ68" s="229">
        <v>5.3900000000000003E-2</v>
      </c>
      <c r="BA68" s="228">
        <v>11</v>
      </c>
      <c r="BB68" s="228">
        <v>9</v>
      </c>
      <c r="BC68" s="228">
        <v>2</v>
      </c>
      <c r="BD68" s="229">
        <v>0.25559999999999999</v>
      </c>
      <c r="BE68" s="228">
        <v>1</v>
      </c>
      <c r="BF68" s="228">
        <v>1</v>
      </c>
      <c r="BG68" s="228">
        <v>0</v>
      </c>
      <c r="BH68" s="229">
        <v>0.2727</v>
      </c>
      <c r="BI68" s="228">
        <v>322</v>
      </c>
      <c r="BJ68" s="228">
        <v>290</v>
      </c>
      <c r="BK68" s="228">
        <v>32</v>
      </c>
      <c r="BL68" s="229">
        <v>0.1096</v>
      </c>
      <c r="BM68" s="228">
        <v>102</v>
      </c>
      <c r="BN68" s="228">
        <v>149</v>
      </c>
      <c r="BO68" s="228">
        <v>-48</v>
      </c>
      <c r="BP68" s="229">
        <v>-0.32029999999999997</v>
      </c>
      <c r="BQ68" s="228">
        <v>528</v>
      </c>
      <c r="BR68" s="228">
        <v>537</v>
      </c>
      <c r="BS68" s="228">
        <v>-9</v>
      </c>
      <c r="BT68" s="229">
        <v>-1.6500000000000001E-2</v>
      </c>
      <c r="BU68" s="230">
        <v>4881186</v>
      </c>
      <c r="BV68" s="230">
        <v>7299407</v>
      </c>
      <c r="BW68" s="230">
        <v>-2418221</v>
      </c>
      <c r="BX68" s="229">
        <v>-0.33129999999999998</v>
      </c>
      <c r="BY68" s="230">
        <v>1506</v>
      </c>
      <c r="BZ68" s="230">
        <v>1501</v>
      </c>
      <c r="CA68" s="228">
        <v>5</v>
      </c>
      <c r="CB68" s="229">
        <v>3.3E-3</v>
      </c>
      <c r="CC68" s="230">
        <v>1449</v>
      </c>
      <c r="CD68" s="230">
        <v>1444</v>
      </c>
      <c r="CE68" s="228">
        <v>4</v>
      </c>
      <c r="CF68" s="229">
        <v>3.0000000000000001E-3</v>
      </c>
      <c r="CG68" s="228">
        <v>53</v>
      </c>
      <c r="CH68" s="228">
        <v>53</v>
      </c>
      <c r="CI68" s="228">
        <v>0</v>
      </c>
      <c r="CJ68" s="229">
        <v>2.5999999999999999E-3</v>
      </c>
      <c r="CK68" s="228">
        <v>5</v>
      </c>
      <c r="CL68" s="228">
        <v>4</v>
      </c>
      <c r="CM68" s="228">
        <v>1</v>
      </c>
      <c r="CN68" s="229">
        <v>0.1356</v>
      </c>
      <c r="CO68" s="228">
        <v>802</v>
      </c>
      <c r="CP68" s="228">
        <v>748</v>
      </c>
      <c r="CQ68" s="228">
        <v>54</v>
      </c>
      <c r="CR68" s="229">
        <v>7.2300000000000003E-2</v>
      </c>
      <c r="CS68" s="228">
        <v>547</v>
      </c>
      <c r="CT68" s="228">
        <v>534</v>
      </c>
      <c r="CU68" s="228">
        <v>13</v>
      </c>
      <c r="CV68" s="229">
        <v>2.3599999999999999E-2</v>
      </c>
      <c r="CW68" s="230">
        <v>2855</v>
      </c>
      <c r="CX68" s="230">
        <v>2783</v>
      </c>
      <c r="CY68" s="228">
        <v>72</v>
      </c>
      <c r="CZ68" s="229">
        <v>2.5700000000000001E-2</v>
      </c>
      <c r="DA68" s="228">
        <v>38.69</v>
      </c>
      <c r="DB68" s="228">
        <v>36.78</v>
      </c>
      <c r="DC68" s="228">
        <v>1.91</v>
      </c>
      <c r="DD68" s="228">
        <v>1.91</v>
      </c>
      <c r="DE68" s="228">
        <v>37</v>
      </c>
      <c r="DF68" s="228">
        <v>37.08</v>
      </c>
      <c r="DG68" s="228">
        <v>1.69</v>
      </c>
      <c r="DH68" s="228">
        <v>-0.08</v>
      </c>
      <c r="DI68" s="228">
        <v>38.94</v>
      </c>
      <c r="DJ68" s="228">
        <v>36.6</v>
      </c>
      <c r="DK68" s="228">
        <v>2.34</v>
      </c>
      <c r="DL68" s="228">
        <v>2.34</v>
      </c>
      <c r="DM68" s="228">
        <v>37.92</v>
      </c>
      <c r="DN68" s="228">
        <v>37.130000000000003</v>
      </c>
      <c r="DO68" s="228">
        <v>0.79</v>
      </c>
      <c r="DP68" s="228">
        <v>0.79</v>
      </c>
      <c r="DQ68" s="228">
        <v>0.68</v>
      </c>
      <c r="DR68" s="228">
        <v>0.71</v>
      </c>
      <c r="DS68" s="228">
        <v>-0.03</v>
      </c>
      <c r="DT68" s="229">
        <v>-4.2299999999999997E-2</v>
      </c>
      <c r="DU68" s="228">
        <v>100</v>
      </c>
      <c r="DV68" s="228">
        <v>98</v>
      </c>
      <c r="DW68" s="228">
        <v>0.32</v>
      </c>
      <c r="DX68" s="228">
        <v>0.52</v>
      </c>
      <c r="DY68" s="228">
        <v>-0.2</v>
      </c>
      <c r="DZ68" s="229">
        <v>-0.3846</v>
      </c>
      <c r="EA68" s="229">
        <v>3.8100000000000002E-2</v>
      </c>
      <c r="EB68" s="230">
        <v>5845050</v>
      </c>
      <c r="EC68" s="229">
        <v>6.7999999999999996E-3</v>
      </c>
      <c r="ED68" s="229">
        <v>3.8100000000000002E-2</v>
      </c>
      <c r="EE68" s="228">
        <v>0.53</v>
      </c>
      <c r="EF68" s="229">
        <v>5.4999999999999997E-3</v>
      </c>
      <c r="EG68" s="230">
        <v>2376664</v>
      </c>
      <c r="EH68" s="230">
        <v>3546691</v>
      </c>
      <c r="EI68" s="229">
        <v>-0.32990000000000003</v>
      </c>
      <c r="EJ68" s="229">
        <v>0.4869</v>
      </c>
      <c r="EK68" s="228">
        <v>339.88</v>
      </c>
      <c r="EL68" s="228">
        <v>100.29</v>
      </c>
      <c r="EM68" s="228">
        <v>104.84</v>
      </c>
      <c r="EN68" s="228">
        <v>27.85</v>
      </c>
      <c r="EO68" s="228">
        <v>545.01</v>
      </c>
      <c r="EP68" s="228">
        <v>550.24</v>
      </c>
      <c r="EQ68" s="228">
        <v>-5.24</v>
      </c>
      <c r="ER68" s="229">
        <v>-9.4999999999999998E-3</v>
      </c>
      <c r="ES68" s="228">
        <v>838.54</v>
      </c>
      <c r="ET68" s="228">
        <v>531.15</v>
      </c>
      <c r="EU68" s="231">
        <v>1506.52</v>
      </c>
      <c r="EV68" s="231">
        <v>534704421</v>
      </c>
      <c r="EW68" s="231">
        <v>2876.21</v>
      </c>
      <c r="EX68" s="231">
        <v>2814.82</v>
      </c>
      <c r="EY68" s="228">
        <v>61.39</v>
      </c>
      <c r="EZ68" s="229">
        <v>2.18E-2</v>
      </c>
      <c r="FA68" s="229">
        <v>0.54990000000000006</v>
      </c>
      <c r="FB68" s="227" t="s">
        <v>567</v>
      </c>
      <c r="FC68">
        <f t="shared" si="1"/>
        <v>57</v>
      </c>
    </row>
    <row r="69" spans="1:159" ht="17.25" hidden="1" thickBot="1" x14ac:dyDescent="0.3">
      <c r="A69" s="226">
        <v>46064</v>
      </c>
      <c r="B69" s="227" t="s">
        <v>168</v>
      </c>
      <c r="C69" s="227" t="s">
        <v>217</v>
      </c>
      <c r="D69" s="228">
        <v>500</v>
      </c>
      <c r="E69" s="228">
        <v>13</v>
      </c>
      <c r="F69" s="231">
        <v>1211.7</v>
      </c>
      <c r="G69" s="231">
        <v>1206.8</v>
      </c>
      <c r="H69" s="228">
        <v>4.9000000000000004</v>
      </c>
      <c r="I69" s="229">
        <v>4.1000000000000003E-3</v>
      </c>
      <c r="J69" s="231">
        <v>1208.5999999999999</v>
      </c>
      <c r="K69" s="231">
        <v>1206.5999999999999</v>
      </c>
      <c r="L69" s="228">
        <v>2</v>
      </c>
      <c r="M69" s="229">
        <v>1.6999999999999999E-3</v>
      </c>
      <c r="N69" s="231">
        <v>1211.7</v>
      </c>
      <c r="O69" s="231">
        <v>1206.8</v>
      </c>
      <c r="P69" s="228">
        <v>4.9000000000000004</v>
      </c>
      <c r="Q69" s="229">
        <v>4.1000000000000003E-3</v>
      </c>
      <c r="R69" s="231">
        <v>1220.0999999999999</v>
      </c>
      <c r="S69" s="231">
        <v>1212.0999999999999</v>
      </c>
      <c r="T69" s="228">
        <v>8</v>
      </c>
      <c r="U69" s="229">
        <v>6.6E-3</v>
      </c>
      <c r="V69" s="231">
        <v>1220</v>
      </c>
      <c r="W69" s="231">
        <v>1195.7</v>
      </c>
      <c r="X69" s="228">
        <v>24.3</v>
      </c>
      <c r="Y69" s="229">
        <v>2.0299999999999999E-2</v>
      </c>
      <c r="Z69" s="228">
        <v>3.1</v>
      </c>
      <c r="AA69" s="228">
        <v>0.2</v>
      </c>
      <c r="AB69" s="228">
        <v>2.9</v>
      </c>
      <c r="AC69" s="229">
        <v>2.5999999999999999E-3</v>
      </c>
      <c r="AD69" s="228">
        <v>3.1</v>
      </c>
      <c r="AE69" s="228">
        <v>0.2</v>
      </c>
      <c r="AF69" s="228">
        <v>2.9</v>
      </c>
      <c r="AG69" s="229">
        <v>2.5999999999999999E-3</v>
      </c>
      <c r="AH69" s="228">
        <v>11.5</v>
      </c>
      <c r="AI69" s="228">
        <v>5.5</v>
      </c>
      <c r="AJ69" s="228">
        <v>6</v>
      </c>
      <c r="AK69" s="229">
        <v>9.4999999999999998E-3</v>
      </c>
      <c r="AL69" s="228">
        <v>11.4</v>
      </c>
      <c r="AM69" s="228">
        <v>-10.9</v>
      </c>
      <c r="AN69" s="228">
        <v>22.3</v>
      </c>
      <c r="AO69" s="229">
        <v>9.4000000000000004E-3</v>
      </c>
      <c r="AP69" s="231">
        <v>1210.0999999999999</v>
      </c>
      <c r="AQ69" s="231">
        <v>1216.49</v>
      </c>
      <c r="AR69" s="228">
        <v>0</v>
      </c>
      <c r="AS69" s="228">
        <v>129</v>
      </c>
      <c r="AT69" s="228">
        <v>115</v>
      </c>
      <c r="AU69" s="228">
        <v>15</v>
      </c>
      <c r="AV69" s="229">
        <v>0.12790000000000001</v>
      </c>
      <c r="AW69" s="228">
        <v>126</v>
      </c>
      <c r="AX69" s="228">
        <v>111</v>
      </c>
      <c r="AY69" s="228">
        <v>14</v>
      </c>
      <c r="AZ69" s="229">
        <v>0.1283</v>
      </c>
      <c r="BA69" s="228">
        <v>3</v>
      </c>
      <c r="BB69" s="228">
        <v>3</v>
      </c>
      <c r="BC69" s="228">
        <v>0</v>
      </c>
      <c r="BD69" s="229">
        <v>1.9199999999999998E-2</v>
      </c>
      <c r="BE69" s="228">
        <v>0</v>
      </c>
      <c r="BF69" s="228">
        <v>0</v>
      </c>
      <c r="BG69" s="228">
        <v>0</v>
      </c>
      <c r="BH69" s="229">
        <v>0</v>
      </c>
      <c r="BI69" s="228">
        <v>309</v>
      </c>
      <c r="BJ69" s="228">
        <v>501</v>
      </c>
      <c r="BK69" s="228">
        <v>-192</v>
      </c>
      <c r="BL69" s="229">
        <v>-0.3831</v>
      </c>
      <c r="BM69" s="228">
        <v>112</v>
      </c>
      <c r="BN69" s="228">
        <v>192</v>
      </c>
      <c r="BO69" s="228">
        <v>-80</v>
      </c>
      <c r="BP69" s="229">
        <v>-0.41799999999999998</v>
      </c>
      <c r="BQ69" s="228">
        <v>550</v>
      </c>
      <c r="BR69" s="228">
        <v>807</v>
      </c>
      <c r="BS69" s="228">
        <v>-257</v>
      </c>
      <c r="BT69" s="229">
        <v>-0.31879999999999997</v>
      </c>
      <c r="BU69" s="230">
        <v>646094</v>
      </c>
      <c r="BV69" s="230">
        <v>600276</v>
      </c>
      <c r="BW69" s="230">
        <v>45818</v>
      </c>
      <c r="BX69" s="229">
        <v>7.6300000000000007E-2</v>
      </c>
      <c r="BY69" s="230">
        <v>1048</v>
      </c>
      <c r="BZ69" s="230">
        <v>1051</v>
      </c>
      <c r="CA69" s="228">
        <v>-3</v>
      </c>
      <c r="CB69" s="229">
        <v>-2.8E-3</v>
      </c>
      <c r="CC69" s="230">
        <v>1022</v>
      </c>
      <c r="CD69" s="230">
        <v>1024</v>
      </c>
      <c r="CE69" s="228">
        <v>-3</v>
      </c>
      <c r="CF69" s="229">
        <v>-2.8E-3</v>
      </c>
      <c r="CG69" s="228">
        <v>26</v>
      </c>
      <c r="CH69" s="228">
        <v>26</v>
      </c>
      <c r="CI69" s="228">
        <v>0</v>
      </c>
      <c r="CJ69" s="229">
        <v>-7.1000000000000004E-3</v>
      </c>
      <c r="CK69" s="228">
        <v>1</v>
      </c>
      <c r="CL69" s="228">
        <v>1</v>
      </c>
      <c r="CM69" s="228">
        <v>0</v>
      </c>
      <c r="CN69" s="229">
        <v>0.1111</v>
      </c>
      <c r="CO69" s="228">
        <v>331</v>
      </c>
      <c r="CP69" s="228">
        <v>333</v>
      </c>
      <c r="CQ69" s="228">
        <v>-2</v>
      </c>
      <c r="CR69" s="229">
        <v>-6.4000000000000003E-3</v>
      </c>
      <c r="CS69" s="228">
        <v>245</v>
      </c>
      <c r="CT69" s="228">
        <v>246</v>
      </c>
      <c r="CU69" s="228">
        <v>-1</v>
      </c>
      <c r="CV69" s="229">
        <v>-3.2000000000000002E-3</v>
      </c>
      <c r="CW69" s="230">
        <v>1624</v>
      </c>
      <c r="CX69" s="230">
        <v>1630</v>
      </c>
      <c r="CY69" s="228">
        <v>-6</v>
      </c>
      <c r="CZ69" s="229">
        <v>-3.5999999999999999E-3</v>
      </c>
      <c r="DA69" s="228">
        <v>21.11</v>
      </c>
      <c r="DB69" s="228">
        <v>22.6</v>
      </c>
      <c r="DC69" s="228">
        <v>-1.49</v>
      </c>
      <c r="DD69" s="228">
        <v>-1.49</v>
      </c>
      <c r="DE69" s="228">
        <v>28.12</v>
      </c>
      <c r="DF69" s="228">
        <v>28.19</v>
      </c>
      <c r="DG69" s="228">
        <v>-7.01</v>
      </c>
      <c r="DH69" s="228">
        <v>-7.0000000000000007E-2</v>
      </c>
      <c r="DI69" s="228">
        <v>20.21</v>
      </c>
      <c r="DJ69" s="228">
        <v>21.83</v>
      </c>
      <c r="DK69" s="228">
        <v>-1.62</v>
      </c>
      <c r="DL69" s="228">
        <v>-1.62</v>
      </c>
      <c r="DM69" s="228">
        <v>23.59</v>
      </c>
      <c r="DN69" s="228">
        <v>24.61</v>
      </c>
      <c r="DO69" s="228">
        <v>-1.02</v>
      </c>
      <c r="DP69" s="228">
        <v>-1.02</v>
      </c>
      <c r="DQ69" s="228">
        <v>0.74</v>
      </c>
      <c r="DR69" s="228">
        <v>0.74</v>
      </c>
      <c r="DS69" s="228">
        <v>0</v>
      </c>
      <c r="DT69" s="229">
        <v>0</v>
      </c>
      <c r="DU69" s="231">
        <v>1260</v>
      </c>
      <c r="DV69" s="231">
        <v>1140</v>
      </c>
      <c r="DW69" s="228">
        <v>0.36</v>
      </c>
      <c r="DX69" s="228">
        <v>0.38</v>
      </c>
      <c r="DY69" s="228">
        <v>-0.02</v>
      </c>
      <c r="DZ69" s="229">
        <v>-5.2600000000000001E-2</v>
      </c>
      <c r="EA69" s="229">
        <v>2.5499999999999998E-2</v>
      </c>
      <c r="EB69" s="230">
        <v>221500</v>
      </c>
      <c r="EC69" s="229">
        <v>6.8999999999999999E-3</v>
      </c>
      <c r="ED69" s="229">
        <v>2.5499999999999998E-2</v>
      </c>
      <c r="EE69" s="228">
        <v>6.39</v>
      </c>
      <c r="EF69" s="229">
        <v>5.3E-3</v>
      </c>
      <c r="EG69" s="230">
        <v>390322</v>
      </c>
      <c r="EH69" s="230">
        <v>367005</v>
      </c>
      <c r="EI69" s="229">
        <v>6.3500000000000001E-2</v>
      </c>
      <c r="EJ69" s="229">
        <v>0.60409999999999997</v>
      </c>
      <c r="EK69" s="228">
        <v>315.95999999999998</v>
      </c>
      <c r="EL69" s="228">
        <v>106.72</v>
      </c>
      <c r="EM69" s="228">
        <v>129.13999999999999</v>
      </c>
      <c r="EN69" s="228">
        <v>50.26</v>
      </c>
      <c r="EO69" s="228">
        <v>551.82000000000005</v>
      </c>
      <c r="EP69" s="228">
        <v>805.42</v>
      </c>
      <c r="EQ69" s="228">
        <v>-253.6</v>
      </c>
      <c r="ER69" s="229">
        <v>-0.31490000000000001</v>
      </c>
      <c r="ES69" s="228">
        <v>338.5</v>
      </c>
      <c r="ET69" s="228">
        <v>230.5</v>
      </c>
      <c r="EU69" s="231">
        <v>1048.55</v>
      </c>
      <c r="EV69" s="231">
        <v>72031016</v>
      </c>
      <c r="EW69" s="231">
        <v>1617.55</v>
      </c>
      <c r="EX69" s="231">
        <v>1618.33</v>
      </c>
      <c r="EY69" s="228">
        <v>-0.78</v>
      </c>
      <c r="EZ69" s="229">
        <v>-5.0000000000000001E-4</v>
      </c>
      <c r="FA69" s="229">
        <v>0.18609999999999999</v>
      </c>
      <c r="FB69" s="227" t="s">
        <v>556</v>
      </c>
      <c r="FC69">
        <f t="shared" si="1"/>
        <v>26</v>
      </c>
    </row>
    <row r="70" spans="1:159" ht="17.25" hidden="1" thickBot="1" x14ac:dyDescent="0.3">
      <c r="A70" s="226">
        <v>46064</v>
      </c>
      <c r="B70" s="227" t="s">
        <v>206</v>
      </c>
      <c r="C70" s="227" t="s">
        <v>218</v>
      </c>
      <c r="D70" s="228">
        <v>275</v>
      </c>
      <c r="E70" s="228">
        <v>13</v>
      </c>
      <c r="F70" s="231">
        <v>1853.4</v>
      </c>
      <c r="G70" s="231">
        <v>1824.1</v>
      </c>
      <c r="H70" s="228">
        <v>29.3</v>
      </c>
      <c r="I70" s="229">
        <v>1.61E-2</v>
      </c>
      <c r="J70" s="231">
        <v>1852.1</v>
      </c>
      <c r="K70" s="231">
        <v>1820.8</v>
      </c>
      <c r="L70" s="228">
        <v>31.3</v>
      </c>
      <c r="M70" s="229">
        <v>1.72E-2</v>
      </c>
      <c r="N70" s="231">
        <v>1853.4</v>
      </c>
      <c r="O70" s="231">
        <v>1824.1</v>
      </c>
      <c r="P70" s="228">
        <v>29.3</v>
      </c>
      <c r="Q70" s="229">
        <v>1.61E-2</v>
      </c>
      <c r="R70" s="231">
        <v>1863.4</v>
      </c>
      <c r="S70" s="231">
        <v>1833.9</v>
      </c>
      <c r="T70" s="228">
        <v>29.5</v>
      </c>
      <c r="U70" s="229">
        <v>1.61E-2</v>
      </c>
      <c r="V70" s="231">
        <v>1872.7</v>
      </c>
      <c r="W70" s="231">
        <v>1845.8</v>
      </c>
      <c r="X70" s="228">
        <v>26.9</v>
      </c>
      <c r="Y70" s="229">
        <v>1.46E-2</v>
      </c>
      <c r="Z70" s="228">
        <v>1.3</v>
      </c>
      <c r="AA70" s="228">
        <v>3.3</v>
      </c>
      <c r="AB70" s="228">
        <v>-2</v>
      </c>
      <c r="AC70" s="229">
        <v>6.9999999999999999E-4</v>
      </c>
      <c r="AD70" s="228">
        <v>1.3</v>
      </c>
      <c r="AE70" s="228">
        <v>3.3</v>
      </c>
      <c r="AF70" s="228">
        <v>-2</v>
      </c>
      <c r="AG70" s="229">
        <v>6.9999999999999999E-4</v>
      </c>
      <c r="AH70" s="228">
        <v>11.3</v>
      </c>
      <c r="AI70" s="228">
        <v>13.1</v>
      </c>
      <c r="AJ70" s="228">
        <v>-1.8</v>
      </c>
      <c r="AK70" s="229">
        <v>6.1000000000000004E-3</v>
      </c>
      <c r="AL70" s="228">
        <v>20.6</v>
      </c>
      <c r="AM70" s="228">
        <v>25</v>
      </c>
      <c r="AN70" s="228">
        <v>-4.4000000000000004</v>
      </c>
      <c r="AO70" s="229">
        <v>1.11E-2</v>
      </c>
      <c r="AP70" s="231">
        <v>1831.63</v>
      </c>
      <c r="AQ70" s="231">
        <v>1848.25</v>
      </c>
      <c r="AR70" s="228">
        <v>0</v>
      </c>
      <c r="AS70" s="228">
        <v>345</v>
      </c>
      <c r="AT70" s="228">
        <v>281</v>
      </c>
      <c r="AU70" s="228">
        <v>64</v>
      </c>
      <c r="AV70" s="229">
        <v>0.22639999999999999</v>
      </c>
      <c r="AW70" s="228">
        <v>321</v>
      </c>
      <c r="AX70" s="228">
        <v>266</v>
      </c>
      <c r="AY70" s="228">
        <v>55</v>
      </c>
      <c r="AZ70" s="229">
        <v>0.20699999999999999</v>
      </c>
      <c r="BA70" s="228">
        <v>18</v>
      </c>
      <c r="BB70" s="228">
        <v>13</v>
      </c>
      <c r="BC70" s="228">
        <v>5</v>
      </c>
      <c r="BD70" s="229">
        <v>0.41410000000000002</v>
      </c>
      <c r="BE70" s="228">
        <v>5</v>
      </c>
      <c r="BF70" s="228">
        <v>2</v>
      </c>
      <c r="BG70" s="228">
        <v>3</v>
      </c>
      <c r="BH70" s="229">
        <v>1.4651000000000001</v>
      </c>
      <c r="BI70" s="230">
        <v>1235</v>
      </c>
      <c r="BJ70" s="230">
        <v>1293</v>
      </c>
      <c r="BK70" s="228">
        <v>-58</v>
      </c>
      <c r="BL70" s="229">
        <v>-4.5199999999999997E-2</v>
      </c>
      <c r="BM70" s="228">
        <v>662</v>
      </c>
      <c r="BN70" s="228">
        <v>566</v>
      </c>
      <c r="BO70" s="228">
        <v>95</v>
      </c>
      <c r="BP70" s="229">
        <v>0.16800000000000001</v>
      </c>
      <c r="BQ70" s="230">
        <v>2242</v>
      </c>
      <c r="BR70" s="230">
        <v>2141</v>
      </c>
      <c r="BS70" s="228">
        <v>100</v>
      </c>
      <c r="BT70" s="229">
        <v>4.6899999999999997E-2</v>
      </c>
      <c r="BU70" s="230">
        <v>1408375</v>
      </c>
      <c r="BV70" s="230">
        <v>1535116</v>
      </c>
      <c r="BW70" s="230">
        <v>-126741</v>
      </c>
      <c r="BX70" s="229">
        <v>-8.2600000000000007E-2</v>
      </c>
      <c r="BY70" s="230">
        <v>1858</v>
      </c>
      <c r="BZ70" s="230">
        <v>1938</v>
      </c>
      <c r="CA70" s="228">
        <v>-80</v>
      </c>
      <c r="CB70" s="229">
        <v>-4.1399999999999999E-2</v>
      </c>
      <c r="CC70" s="230">
        <v>1779</v>
      </c>
      <c r="CD70" s="230">
        <v>1862</v>
      </c>
      <c r="CE70" s="228">
        <v>-83</v>
      </c>
      <c r="CF70" s="229">
        <v>-4.4499999999999998E-2</v>
      </c>
      <c r="CG70" s="228">
        <v>72</v>
      </c>
      <c r="CH70" s="228">
        <v>70</v>
      </c>
      <c r="CI70" s="228">
        <v>2</v>
      </c>
      <c r="CJ70" s="229">
        <v>3.1300000000000001E-2</v>
      </c>
      <c r="CK70" s="228">
        <v>6</v>
      </c>
      <c r="CL70" s="228">
        <v>6</v>
      </c>
      <c r="CM70" s="228">
        <v>0</v>
      </c>
      <c r="CN70" s="229">
        <v>5.9799999999999999E-2</v>
      </c>
      <c r="CO70" s="228">
        <v>827</v>
      </c>
      <c r="CP70" s="228">
        <v>825</v>
      </c>
      <c r="CQ70" s="228">
        <v>2</v>
      </c>
      <c r="CR70" s="229">
        <v>2.3999999999999998E-3</v>
      </c>
      <c r="CS70" s="228">
        <v>597</v>
      </c>
      <c r="CT70" s="228">
        <v>603</v>
      </c>
      <c r="CU70" s="228">
        <v>-6</v>
      </c>
      <c r="CV70" s="229">
        <v>-9.2999999999999992E-3</v>
      </c>
      <c r="CW70" s="230">
        <v>3282</v>
      </c>
      <c r="CX70" s="230">
        <v>3366</v>
      </c>
      <c r="CY70" s="228">
        <v>-84</v>
      </c>
      <c r="CZ70" s="229">
        <v>-2.4899999999999999E-2</v>
      </c>
      <c r="DA70" s="228">
        <v>36.83</v>
      </c>
      <c r="DB70" s="228">
        <v>36.049999999999997</v>
      </c>
      <c r="DC70" s="228">
        <v>0.78</v>
      </c>
      <c r="DD70" s="228">
        <v>0.78</v>
      </c>
      <c r="DE70" s="228">
        <v>44.96</v>
      </c>
      <c r="DF70" s="228">
        <v>45.02</v>
      </c>
      <c r="DG70" s="228">
        <v>-8.1300000000000008</v>
      </c>
      <c r="DH70" s="228">
        <v>-0.06</v>
      </c>
      <c r="DI70" s="228">
        <v>36.049999999999997</v>
      </c>
      <c r="DJ70" s="228">
        <v>35.32</v>
      </c>
      <c r="DK70" s="228">
        <v>0.73</v>
      </c>
      <c r="DL70" s="228">
        <v>0.73</v>
      </c>
      <c r="DM70" s="228">
        <v>38.29</v>
      </c>
      <c r="DN70" s="228">
        <v>37.72</v>
      </c>
      <c r="DO70" s="228">
        <v>0.56999999999999995</v>
      </c>
      <c r="DP70" s="228">
        <v>0.56999999999999995</v>
      </c>
      <c r="DQ70" s="228">
        <v>0.72</v>
      </c>
      <c r="DR70" s="228">
        <v>0.73</v>
      </c>
      <c r="DS70" s="228">
        <v>-0.01</v>
      </c>
      <c r="DT70" s="229">
        <v>-1.37E-2</v>
      </c>
      <c r="DU70" s="231">
        <v>2000</v>
      </c>
      <c r="DV70" s="231">
        <v>1700</v>
      </c>
      <c r="DW70" s="228">
        <v>0.54</v>
      </c>
      <c r="DX70" s="228">
        <v>0.44</v>
      </c>
      <c r="DY70" s="228">
        <v>0.1</v>
      </c>
      <c r="DZ70" s="229">
        <v>0.2273</v>
      </c>
      <c r="EA70" s="229">
        <v>4.2200000000000001E-2</v>
      </c>
      <c r="EB70" s="230">
        <v>409475</v>
      </c>
      <c r="EC70" s="229">
        <v>5.4000000000000003E-3</v>
      </c>
      <c r="ED70" s="229">
        <v>4.2200000000000001E-2</v>
      </c>
      <c r="EE70" s="228">
        <v>16.62</v>
      </c>
      <c r="EF70" s="229">
        <v>9.1000000000000004E-3</v>
      </c>
      <c r="EG70" s="230">
        <v>833605</v>
      </c>
      <c r="EH70" s="230">
        <v>901778</v>
      </c>
      <c r="EI70" s="229">
        <v>-7.5600000000000001E-2</v>
      </c>
      <c r="EJ70" s="229">
        <v>0.59189999999999998</v>
      </c>
      <c r="EK70" s="231">
        <v>1279.79</v>
      </c>
      <c r="EL70" s="228">
        <v>641.61</v>
      </c>
      <c r="EM70" s="228">
        <v>341.36</v>
      </c>
      <c r="EN70" s="228">
        <v>96.04</v>
      </c>
      <c r="EO70" s="231">
        <v>2262.7600000000002</v>
      </c>
      <c r="EP70" s="231">
        <v>2146.5</v>
      </c>
      <c r="EQ70" s="228">
        <v>116.25</v>
      </c>
      <c r="ER70" s="229">
        <v>5.4199999999999998E-2</v>
      </c>
      <c r="ES70" s="228">
        <v>823</v>
      </c>
      <c r="ET70" s="228">
        <v>539.92999999999995</v>
      </c>
      <c r="EU70" s="231">
        <v>1858.1</v>
      </c>
      <c r="EV70" s="231">
        <v>17263909</v>
      </c>
      <c r="EW70" s="231">
        <v>3221.03</v>
      </c>
      <c r="EX70" s="231">
        <v>3267.05</v>
      </c>
      <c r="EY70" s="228">
        <v>-46.02</v>
      </c>
      <c r="EZ70" s="229">
        <v>-1.41E-2</v>
      </c>
      <c r="FA70" s="229">
        <v>1.0257000000000001</v>
      </c>
      <c r="FB70" s="227" t="s">
        <v>556</v>
      </c>
      <c r="FC70">
        <f t="shared" si="1"/>
        <v>79</v>
      </c>
    </row>
    <row r="71" spans="1:159" ht="17.25" hidden="1" thickBot="1" x14ac:dyDescent="0.3">
      <c r="A71" s="226">
        <v>46064</v>
      </c>
      <c r="B71" s="227" t="s">
        <v>157</v>
      </c>
      <c r="C71" s="227" t="s">
        <v>219</v>
      </c>
      <c r="D71" s="228">
        <v>250</v>
      </c>
      <c r="E71" s="228">
        <v>13</v>
      </c>
      <c r="F71" s="231">
        <v>2935.8</v>
      </c>
      <c r="G71" s="231">
        <v>2958.1</v>
      </c>
      <c r="H71" s="228">
        <v>-22.3</v>
      </c>
      <c r="I71" s="229">
        <v>-7.4999999999999997E-3</v>
      </c>
      <c r="J71" s="231">
        <v>2932.6</v>
      </c>
      <c r="K71" s="231">
        <v>2953.9</v>
      </c>
      <c r="L71" s="228">
        <v>-21.3</v>
      </c>
      <c r="M71" s="229">
        <v>-7.1999999999999998E-3</v>
      </c>
      <c r="N71" s="231">
        <v>2935.8</v>
      </c>
      <c r="O71" s="231">
        <v>2958.1</v>
      </c>
      <c r="P71" s="228">
        <v>-22.3</v>
      </c>
      <c r="Q71" s="229">
        <v>-7.4999999999999997E-3</v>
      </c>
      <c r="R71" s="231">
        <v>2953.3</v>
      </c>
      <c r="S71" s="231">
        <v>2977.5</v>
      </c>
      <c r="T71" s="228">
        <v>-24.2</v>
      </c>
      <c r="U71" s="229">
        <v>-8.0999999999999996E-3</v>
      </c>
      <c r="V71" s="231">
        <v>2976.1</v>
      </c>
      <c r="W71" s="231">
        <v>2992.1</v>
      </c>
      <c r="X71" s="228">
        <v>-16</v>
      </c>
      <c r="Y71" s="229">
        <v>-5.3E-3</v>
      </c>
      <c r="Z71" s="228">
        <v>3.2</v>
      </c>
      <c r="AA71" s="228">
        <v>4.2</v>
      </c>
      <c r="AB71" s="228">
        <v>-1</v>
      </c>
      <c r="AC71" s="229">
        <v>1.1000000000000001E-3</v>
      </c>
      <c r="AD71" s="228">
        <v>3.2</v>
      </c>
      <c r="AE71" s="228">
        <v>4.2</v>
      </c>
      <c r="AF71" s="228">
        <v>-1</v>
      </c>
      <c r="AG71" s="229">
        <v>1.1000000000000001E-3</v>
      </c>
      <c r="AH71" s="228">
        <v>20.7</v>
      </c>
      <c r="AI71" s="228">
        <v>23.6</v>
      </c>
      <c r="AJ71" s="228">
        <v>-2.9</v>
      </c>
      <c r="AK71" s="229">
        <v>7.1000000000000004E-3</v>
      </c>
      <c r="AL71" s="228">
        <v>43.5</v>
      </c>
      <c r="AM71" s="228">
        <v>38.200000000000003</v>
      </c>
      <c r="AN71" s="228">
        <v>5.3</v>
      </c>
      <c r="AO71" s="229">
        <v>1.4800000000000001E-2</v>
      </c>
      <c r="AP71" s="231">
        <v>2932.28</v>
      </c>
      <c r="AQ71" s="231">
        <v>2947.84</v>
      </c>
      <c r="AR71" s="228">
        <v>0</v>
      </c>
      <c r="AS71" s="228">
        <v>777</v>
      </c>
      <c r="AT71" s="228">
        <v>490</v>
      </c>
      <c r="AU71" s="228">
        <v>288</v>
      </c>
      <c r="AV71" s="229">
        <v>0.58750000000000002</v>
      </c>
      <c r="AW71" s="228">
        <v>739</v>
      </c>
      <c r="AX71" s="228">
        <v>421</v>
      </c>
      <c r="AY71" s="228">
        <v>318</v>
      </c>
      <c r="AZ71" s="229">
        <v>0.75490000000000002</v>
      </c>
      <c r="BA71" s="228">
        <v>36</v>
      </c>
      <c r="BB71" s="228">
        <v>65</v>
      </c>
      <c r="BC71" s="228">
        <v>-30</v>
      </c>
      <c r="BD71" s="229">
        <v>-0.45179999999999998</v>
      </c>
      <c r="BE71" s="228">
        <v>2</v>
      </c>
      <c r="BF71" s="228">
        <v>3</v>
      </c>
      <c r="BG71" s="228">
        <v>-1</v>
      </c>
      <c r="BH71" s="229">
        <v>-0.31580000000000003</v>
      </c>
      <c r="BI71" s="230">
        <v>2679</v>
      </c>
      <c r="BJ71" s="230">
        <v>1899</v>
      </c>
      <c r="BK71" s="228">
        <v>781</v>
      </c>
      <c r="BL71" s="229">
        <v>0.41110000000000002</v>
      </c>
      <c r="BM71" s="230">
        <v>1378</v>
      </c>
      <c r="BN71" s="230">
        <v>1161</v>
      </c>
      <c r="BO71" s="228">
        <v>217</v>
      </c>
      <c r="BP71" s="229">
        <v>0.18720000000000001</v>
      </c>
      <c r="BQ71" s="230">
        <v>4835</v>
      </c>
      <c r="BR71" s="230">
        <v>3549</v>
      </c>
      <c r="BS71" s="230">
        <v>1286</v>
      </c>
      <c r="BT71" s="229">
        <v>0.36220000000000002</v>
      </c>
      <c r="BU71" s="230">
        <v>1035009</v>
      </c>
      <c r="BV71" s="230">
        <v>635441</v>
      </c>
      <c r="BW71" s="230">
        <v>399568</v>
      </c>
      <c r="BX71" s="229">
        <v>0.62880000000000003</v>
      </c>
      <c r="BY71" s="230">
        <v>4925</v>
      </c>
      <c r="BZ71" s="230">
        <v>5054</v>
      </c>
      <c r="CA71" s="228">
        <v>-129</v>
      </c>
      <c r="CB71" s="229">
        <v>-2.5600000000000001E-2</v>
      </c>
      <c r="CC71" s="230">
        <v>4826</v>
      </c>
      <c r="CD71" s="230">
        <v>4957</v>
      </c>
      <c r="CE71" s="228">
        <v>-131</v>
      </c>
      <c r="CF71" s="229">
        <v>-2.6499999999999999E-2</v>
      </c>
      <c r="CG71" s="228">
        <v>95</v>
      </c>
      <c r="CH71" s="228">
        <v>94</v>
      </c>
      <c r="CI71" s="228">
        <v>1</v>
      </c>
      <c r="CJ71" s="229">
        <v>1.3299999999999999E-2</v>
      </c>
      <c r="CK71" s="228">
        <v>4</v>
      </c>
      <c r="CL71" s="228">
        <v>3</v>
      </c>
      <c r="CM71" s="228">
        <v>1</v>
      </c>
      <c r="CN71" s="229">
        <v>0.17019999999999999</v>
      </c>
      <c r="CO71" s="228">
        <v>708</v>
      </c>
      <c r="CP71" s="228">
        <v>617</v>
      </c>
      <c r="CQ71" s="228">
        <v>91</v>
      </c>
      <c r="CR71" s="229">
        <v>0.14779999999999999</v>
      </c>
      <c r="CS71" s="228">
        <v>594</v>
      </c>
      <c r="CT71" s="228">
        <v>592</v>
      </c>
      <c r="CU71" s="228">
        <v>2</v>
      </c>
      <c r="CV71" s="229">
        <v>3.0000000000000001E-3</v>
      </c>
      <c r="CW71" s="230">
        <v>6227</v>
      </c>
      <c r="CX71" s="230">
        <v>6263</v>
      </c>
      <c r="CY71" s="228">
        <v>-37</v>
      </c>
      <c r="CZ71" s="229">
        <v>-5.7999999999999996E-3</v>
      </c>
      <c r="DA71" s="228">
        <v>24.05</v>
      </c>
      <c r="DB71" s="228">
        <v>29</v>
      </c>
      <c r="DC71" s="228">
        <v>-4.95</v>
      </c>
      <c r="DD71" s="228">
        <v>-4.95</v>
      </c>
      <c r="DE71" s="228">
        <v>25.59</v>
      </c>
      <c r="DF71" s="228">
        <v>25.64</v>
      </c>
      <c r="DG71" s="228">
        <v>-1.54</v>
      </c>
      <c r="DH71" s="228">
        <v>-0.05</v>
      </c>
      <c r="DI71" s="228">
        <v>23.64</v>
      </c>
      <c r="DJ71" s="228">
        <v>28.29</v>
      </c>
      <c r="DK71" s="228">
        <v>-4.6500000000000004</v>
      </c>
      <c r="DL71" s="228">
        <v>-4.6500000000000004</v>
      </c>
      <c r="DM71" s="228">
        <v>24.85</v>
      </c>
      <c r="DN71" s="228">
        <v>30.17</v>
      </c>
      <c r="DO71" s="228">
        <v>-5.32</v>
      </c>
      <c r="DP71" s="228">
        <v>-5.32</v>
      </c>
      <c r="DQ71" s="228">
        <v>0.84</v>
      </c>
      <c r="DR71" s="228">
        <v>0.96</v>
      </c>
      <c r="DS71" s="228">
        <v>-0.12</v>
      </c>
      <c r="DT71" s="229">
        <v>-0.125</v>
      </c>
      <c r="DU71" s="231">
        <v>3000</v>
      </c>
      <c r="DV71" s="231">
        <v>2800</v>
      </c>
      <c r="DW71" s="228">
        <v>0.51</v>
      </c>
      <c r="DX71" s="228">
        <v>0.61</v>
      </c>
      <c r="DY71" s="228">
        <v>-0.1</v>
      </c>
      <c r="DZ71" s="229">
        <v>-0.16389999999999999</v>
      </c>
      <c r="EA71" s="229">
        <v>2.0199999999999999E-2</v>
      </c>
      <c r="EB71" s="230">
        <v>332000</v>
      </c>
      <c r="EC71" s="229">
        <v>6.0000000000000001E-3</v>
      </c>
      <c r="ED71" s="229">
        <v>2.0199999999999999E-2</v>
      </c>
      <c r="EE71" s="228">
        <v>15.56</v>
      </c>
      <c r="EF71" s="229">
        <v>5.3E-3</v>
      </c>
      <c r="EG71" s="230">
        <v>522238</v>
      </c>
      <c r="EH71" s="230">
        <v>310135</v>
      </c>
      <c r="EI71" s="229">
        <v>0.68389999999999995</v>
      </c>
      <c r="EJ71" s="229">
        <v>0.50460000000000005</v>
      </c>
      <c r="EK71" s="231">
        <v>2772.67</v>
      </c>
      <c r="EL71" s="231">
        <v>1359.7</v>
      </c>
      <c r="EM71" s="228">
        <v>776.54</v>
      </c>
      <c r="EN71" s="228">
        <v>41.12</v>
      </c>
      <c r="EO71" s="231">
        <v>4908.91</v>
      </c>
      <c r="EP71" s="231">
        <v>3596.26</v>
      </c>
      <c r="EQ71" s="231">
        <v>1312.65</v>
      </c>
      <c r="ER71" s="229">
        <v>0.36499999999999999</v>
      </c>
      <c r="ES71" s="228">
        <v>729.61</v>
      </c>
      <c r="ET71" s="228">
        <v>562.73</v>
      </c>
      <c r="EU71" s="231">
        <v>4925.57</v>
      </c>
      <c r="EV71" s="231">
        <v>38505832</v>
      </c>
      <c r="EW71" s="231">
        <v>6217.92</v>
      </c>
      <c r="EX71" s="231">
        <v>6290.92</v>
      </c>
      <c r="EY71" s="228">
        <v>-73</v>
      </c>
      <c r="EZ71" s="229">
        <v>-1.1599999999999999E-2</v>
      </c>
      <c r="FA71" s="229">
        <v>0.55079999999999996</v>
      </c>
      <c r="FB71" s="227" t="s">
        <v>568</v>
      </c>
      <c r="FC71">
        <f t="shared" si="1"/>
        <v>99</v>
      </c>
    </row>
    <row r="72" spans="1:159" ht="17.25" hidden="1" thickBot="1" x14ac:dyDescent="0.3">
      <c r="A72" s="226">
        <v>46064</v>
      </c>
      <c r="B72" s="227" t="s">
        <v>184</v>
      </c>
      <c r="C72" s="227" t="s">
        <v>513</v>
      </c>
      <c r="D72" s="228">
        <v>150</v>
      </c>
      <c r="E72" s="228">
        <v>13</v>
      </c>
      <c r="F72" s="231">
        <v>4117.6000000000004</v>
      </c>
      <c r="G72" s="231">
        <v>4139.3999999999996</v>
      </c>
      <c r="H72" s="228">
        <v>-21.8</v>
      </c>
      <c r="I72" s="229">
        <v>-5.3E-3</v>
      </c>
      <c r="J72" s="231">
        <v>4133</v>
      </c>
      <c r="K72" s="231">
        <v>4168.3</v>
      </c>
      <c r="L72" s="228">
        <v>-35.299999999999997</v>
      </c>
      <c r="M72" s="229">
        <v>-8.5000000000000006E-3</v>
      </c>
      <c r="N72" s="231">
        <v>4117.6000000000004</v>
      </c>
      <c r="O72" s="231">
        <v>4139.3999999999996</v>
      </c>
      <c r="P72" s="228">
        <v>-21.8</v>
      </c>
      <c r="Q72" s="229">
        <v>-5.3E-3</v>
      </c>
      <c r="R72" s="231">
        <v>4143.3999999999996</v>
      </c>
      <c r="S72" s="231">
        <v>4162.3</v>
      </c>
      <c r="T72" s="228">
        <v>-18.899999999999999</v>
      </c>
      <c r="U72" s="229">
        <v>-4.4999999999999997E-3</v>
      </c>
      <c r="V72" s="231">
        <v>4168.2</v>
      </c>
      <c r="W72" s="231">
        <v>4178.8</v>
      </c>
      <c r="X72" s="228">
        <v>-10.6</v>
      </c>
      <c r="Y72" s="229">
        <v>-2.5000000000000001E-3</v>
      </c>
      <c r="Z72" s="228">
        <v>-15.4</v>
      </c>
      <c r="AA72" s="228">
        <v>-28.9</v>
      </c>
      <c r="AB72" s="228">
        <v>13.5</v>
      </c>
      <c r="AC72" s="229">
        <v>-3.7000000000000002E-3</v>
      </c>
      <c r="AD72" s="228">
        <v>-15.4</v>
      </c>
      <c r="AE72" s="228">
        <v>-28.9</v>
      </c>
      <c r="AF72" s="228">
        <v>13.5</v>
      </c>
      <c r="AG72" s="229">
        <v>-3.7000000000000002E-3</v>
      </c>
      <c r="AH72" s="228">
        <v>10.4</v>
      </c>
      <c r="AI72" s="228">
        <v>-6</v>
      </c>
      <c r="AJ72" s="228">
        <v>16.399999999999999</v>
      </c>
      <c r="AK72" s="229">
        <v>2.5000000000000001E-3</v>
      </c>
      <c r="AL72" s="228">
        <v>35.200000000000003</v>
      </c>
      <c r="AM72" s="228">
        <v>10.5</v>
      </c>
      <c r="AN72" s="228">
        <v>24.7</v>
      </c>
      <c r="AO72" s="229">
        <v>8.5000000000000006E-3</v>
      </c>
      <c r="AP72" s="231">
        <v>4102.3900000000003</v>
      </c>
      <c r="AQ72" s="231">
        <v>4126.75</v>
      </c>
      <c r="AR72" s="228">
        <v>0</v>
      </c>
      <c r="AS72" s="228">
        <v>460</v>
      </c>
      <c r="AT72" s="228">
        <v>657</v>
      </c>
      <c r="AU72" s="228">
        <v>-197</v>
      </c>
      <c r="AV72" s="229">
        <v>-0.2999</v>
      </c>
      <c r="AW72" s="228">
        <v>399</v>
      </c>
      <c r="AX72" s="228">
        <v>541</v>
      </c>
      <c r="AY72" s="228">
        <v>-142</v>
      </c>
      <c r="AZ72" s="229">
        <v>-0.26329999999999998</v>
      </c>
      <c r="BA72" s="228">
        <v>53</v>
      </c>
      <c r="BB72" s="228">
        <v>94</v>
      </c>
      <c r="BC72" s="228">
        <v>-41</v>
      </c>
      <c r="BD72" s="229">
        <v>-0.43930000000000002</v>
      </c>
      <c r="BE72" s="228">
        <v>8</v>
      </c>
      <c r="BF72" s="228">
        <v>21</v>
      </c>
      <c r="BG72" s="228">
        <v>-13</v>
      </c>
      <c r="BH72" s="229">
        <v>-0.61099999999999999</v>
      </c>
      <c r="BI72" s="230">
        <v>2535</v>
      </c>
      <c r="BJ72" s="230">
        <v>3202</v>
      </c>
      <c r="BK72" s="228">
        <v>-668</v>
      </c>
      <c r="BL72" s="229">
        <v>-0.20849999999999999</v>
      </c>
      <c r="BM72" s="228">
        <v>914</v>
      </c>
      <c r="BN72" s="230">
        <v>1145</v>
      </c>
      <c r="BO72" s="228">
        <v>-231</v>
      </c>
      <c r="BP72" s="229">
        <v>-0.2014</v>
      </c>
      <c r="BQ72" s="230">
        <v>3909</v>
      </c>
      <c r="BR72" s="230">
        <v>5004</v>
      </c>
      <c r="BS72" s="230">
        <v>-1095</v>
      </c>
      <c r="BT72" s="229">
        <v>-0.21890000000000001</v>
      </c>
      <c r="BU72" s="230">
        <v>999340</v>
      </c>
      <c r="BV72" s="230">
        <v>1073636</v>
      </c>
      <c r="BW72" s="230">
        <v>-74296</v>
      </c>
      <c r="BX72" s="229">
        <v>-6.9199999999999998E-2</v>
      </c>
      <c r="BY72" s="230">
        <v>4405</v>
      </c>
      <c r="BZ72" s="230">
        <v>4387</v>
      </c>
      <c r="CA72" s="228">
        <v>18</v>
      </c>
      <c r="CB72" s="229">
        <v>4.1000000000000003E-3</v>
      </c>
      <c r="CC72" s="230">
        <v>3881</v>
      </c>
      <c r="CD72" s="230">
        <v>3878</v>
      </c>
      <c r="CE72" s="228">
        <v>3</v>
      </c>
      <c r="CF72" s="229">
        <v>6.9999999999999999E-4</v>
      </c>
      <c r="CG72" s="228">
        <v>442</v>
      </c>
      <c r="CH72" s="228">
        <v>428</v>
      </c>
      <c r="CI72" s="228">
        <v>15</v>
      </c>
      <c r="CJ72" s="229">
        <v>3.39E-2</v>
      </c>
      <c r="CK72" s="228">
        <v>82</v>
      </c>
      <c r="CL72" s="228">
        <v>81</v>
      </c>
      <c r="CM72" s="228">
        <v>0</v>
      </c>
      <c r="CN72" s="229">
        <v>6.1000000000000004E-3</v>
      </c>
      <c r="CO72" s="230">
        <v>3993</v>
      </c>
      <c r="CP72" s="230">
        <v>3935</v>
      </c>
      <c r="CQ72" s="228">
        <v>58</v>
      </c>
      <c r="CR72" s="229">
        <v>1.49E-2</v>
      </c>
      <c r="CS72" s="230">
        <v>2191</v>
      </c>
      <c r="CT72" s="230">
        <v>2182</v>
      </c>
      <c r="CU72" s="228">
        <v>8</v>
      </c>
      <c r="CV72" s="229">
        <v>3.8E-3</v>
      </c>
      <c r="CW72" s="230">
        <v>10589</v>
      </c>
      <c r="CX72" s="230">
        <v>10504</v>
      </c>
      <c r="CY72" s="228">
        <v>85</v>
      </c>
      <c r="CZ72" s="229">
        <v>8.0000000000000002E-3</v>
      </c>
      <c r="DA72" s="228">
        <v>45.67</v>
      </c>
      <c r="DB72" s="228">
        <v>43.42</v>
      </c>
      <c r="DC72" s="228">
        <v>2.25</v>
      </c>
      <c r="DD72" s="228">
        <v>2.25</v>
      </c>
      <c r="DE72" s="228">
        <v>38.85</v>
      </c>
      <c r="DF72" s="228">
        <v>38.94</v>
      </c>
      <c r="DG72" s="228">
        <v>6.82</v>
      </c>
      <c r="DH72" s="228">
        <v>-0.09</v>
      </c>
      <c r="DI72" s="228">
        <v>46.25</v>
      </c>
      <c r="DJ72" s="228">
        <v>43.6</v>
      </c>
      <c r="DK72" s="228">
        <v>2.65</v>
      </c>
      <c r="DL72" s="228">
        <v>2.65</v>
      </c>
      <c r="DM72" s="228">
        <v>44.07</v>
      </c>
      <c r="DN72" s="228">
        <v>42.93</v>
      </c>
      <c r="DO72" s="228">
        <v>1.1399999999999999</v>
      </c>
      <c r="DP72" s="228">
        <v>1.1399999999999999</v>
      </c>
      <c r="DQ72" s="228">
        <v>0.55000000000000004</v>
      </c>
      <c r="DR72" s="228">
        <v>0.55000000000000004</v>
      </c>
      <c r="DS72" s="228">
        <v>0</v>
      </c>
      <c r="DT72" s="229">
        <v>0</v>
      </c>
      <c r="DU72" s="231">
        <v>5000</v>
      </c>
      <c r="DV72" s="231">
        <v>4000</v>
      </c>
      <c r="DW72" s="228">
        <v>0.36</v>
      </c>
      <c r="DX72" s="228">
        <v>0.36</v>
      </c>
      <c r="DY72" s="228">
        <v>0</v>
      </c>
      <c r="DZ72" s="229">
        <v>0</v>
      </c>
      <c r="EA72" s="229">
        <v>0.11899999999999999</v>
      </c>
      <c r="EB72" s="230">
        <v>1236150</v>
      </c>
      <c r="EC72" s="229">
        <v>6.3E-3</v>
      </c>
      <c r="ED72" s="229">
        <v>0.11899999999999999</v>
      </c>
      <c r="EE72" s="228">
        <v>24.36</v>
      </c>
      <c r="EF72" s="229">
        <v>5.8999999999999999E-3</v>
      </c>
      <c r="EG72" s="230">
        <v>412286</v>
      </c>
      <c r="EH72" s="230">
        <v>471283</v>
      </c>
      <c r="EI72" s="229">
        <v>-0.12520000000000001</v>
      </c>
      <c r="EJ72" s="229">
        <v>0.41260000000000002</v>
      </c>
      <c r="EK72" s="231">
        <v>2750.24</v>
      </c>
      <c r="EL72" s="228">
        <v>905.6</v>
      </c>
      <c r="EM72" s="228">
        <v>458.61</v>
      </c>
      <c r="EN72" s="228">
        <v>262.37</v>
      </c>
      <c r="EO72" s="231">
        <v>4114.45</v>
      </c>
      <c r="EP72" s="231">
        <v>5241.58</v>
      </c>
      <c r="EQ72" s="231">
        <v>-1127.1300000000001</v>
      </c>
      <c r="ER72" s="229">
        <v>-0.215</v>
      </c>
      <c r="ES72" s="231">
        <v>4430.26</v>
      </c>
      <c r="ET72" s="231">
        <v>2230.7600000000002</v>
      </c>
      <c r="EU72" s="231">
        <v>4408.79</v>
      </c>
      <c r="EV72" s="231">
        <v>28450886</v>
      </c>
      <c r="EW72" s="231">
        <v>11069.81</v>
      </c>
      <c r="EX72" s="231">
        <v>11009.95</v>
      </c>
      <c r="EY72" s="228">
        <v>59.86</v>
      </c>
      <c r="EZ72" s="229">
        <v>5.4000000000000003E-3</v>
      </c>
      <c r="FA72" s="229">
        <v>0.90390000000000004</v>
      </c>
      <c r="FB72" s="227" t="s">
        <v>567</v>
      </c>
      <c r="FC72">
        <f t="shared" si="1"/>
        <v>524</v>
      </c>
    </row>
    <row r="73" spans="1:159" ht="17.25" hidden="1" thickBot="1" x14ac:dyDescent="0.3">
      <c r="A73" s="226">
        <v>46064</v>
      </c>
      <c r="B73" s="227" t="s">
        <v>184</v>
      </c>
      <c r="C73" s="227" t="s">
        <v>220</v>
      </c>
      <c r="D73" s="228">
        <v>500</v>
      </c>
      <c r="E73" s="228">
        <v>13</v>
      </c>
      <c r="F73" s="231">
        <v>1387.1</v>
      </c>
      <c r="G73" s="231">
        <v>1374.6</v>
      </c>
      <c r="H73" s="228">
        <v>12.5</v>
      </c>
      <c r="I73" s="229">
        <v>9.1000000000000004E-3</v>
      </c>
      <c r="J73" s="231">
        <v>1383.8</v>
      </c>
      <c r="K73" s="231">
        <v>1373.1</v>
      </c>
      <c r="L73" s="228">
        <v>10.7</v>
      </c>
      <c r="M73" s="229">
        <v>7.7999999999999996E-3</v>
      </c>
      <c r="N73" s="231">
        <v>1387.1</v>
      </c>
      <c r="O73" s="231">
        <v>1374.6</v>
      </c>
      <c r="P73" s="228">
        <v>12.5</v>
      </c>
      <c r="Q73" s="229">
        <v>9.1000000000000004E-3</v>
      </c>
      <c r="R73" s="231">
        <v>1393</v>
      </c>
      <c r="S73" s="231">
        <v>1381</v>
      </c>
      <c r="T73" s="228">
        <v>12</v>
      </c>
      <c r="U73" s="229">
        <v>8.6999999999999994E-3</v>
      </c>
      <c r="V73" s="231">
        <v>1401.3</v>
      </c>
      <c r="W73" s="231">
        <v>1388.5</v>
      </c>
      <c r="X73" s="228">
        <v>12.8</v>
      </c>
      <c r="Y73" s="229">
        <v>9.1999999999999998E-3</v>
      </c>
      <c r="Z73" s="228">
        <v>3.3</v>
      </c>
      <c r="AA73" s="228">
        <v>1.5</v>
      </c>
      <c r="AB73" s="228">
        <v>1.8</v>
      </c>
      <c r="AC73" s="229">
        <v>2.3999999999999998E-3</v>
      </c>
      <c r="AD73" s="228">
        <v>3.3</v>
      </c>
      <c r="AE73" s="228">
        <v>1.5</v>
      </c>
      <c r="AF73" s="228">
        <v>1.8</v>
      </c>
      <c r="AG73" s="229">
        <v>2.3999999999999998E-3</v>
      </c>
      <c r="AH73" s="228">
        <v>9.1999999999999993</v>
      </c>
      <c r="AI73" s="228">
        <v>7.9</v>
      </c>
      <c r="AJ73" s="228">
        <v>1.3</v>
      </c>
      <c r="AK73" s="229">
        <v>6.6E-3</v>
      </c>
      <c r="AL73" s="228">
        <v>17.5</v>
      </c>
      <c r="AM73" s="228">
        <v>15.4</v>
      </c>
      <c r="AN73" s="228">
        <v>2.1</v>
      </c>
      <c r="AO73" s="229">
        <v>1.26E-2</v>
      </c>
      <c r="AP73" s="231">
        <v>1382.58</v>
      </c>
      <c r="AQ73" s="231">
        <v>1390.7</v>
      </c>
      <c r="AR73" s="228">
        <v>0</v>
      </c>
      <c r="AS73" s="228">
        <v>173</v>
      </c>
      <c r="AT73" s="228">
        <v>154</v>
      </c>
      <c r="AU73" s="228">
        <v>18</v>
      </c>
      <c r="AV73" s="229">
        <v>0.11899999999999999</v>
      </c>
      <c r="AW73" s="228">
        <v>159</v>
      </c>
      <c r="AX73" s="228">
        <v>143</v>
      </c>
      <c r="AY73" s="228">
        <v>16</v>
      </c>
      <c r="AZ73" s="229">
        <v>0.1087</v>
      </c>
      <c r="BA73" s="228">
        <v>13</v>
      </c>
      <c r="BB73" s="228">
        <v>9</v>
      </c>
      <c r="BC73" s="228">
        <v>4</v>
      </c>
      <c r="BD73" s="229">
        <v>0.39689999999999998</v>
      </c>
      <c r="BE73" s="228">
        <v>1</v>
      </c>
      <c r="BF73" s="228">
        <v>2</v>
      </c>
      <c r="BG73" s="228">
        <v>-1</v>
      </c>
      <c r="BH73" s="229">
        <v>-0.44440000000000002</v>
      </c>
      <c r="BI73" s="228">
        <v>328</v>
      </c>
      <c r="BJ73" s="228">
        <v>460</v>
      </c>
      <c r="BK73" s="228">
        <v>-132</v>
      </c>
      <c r="BL73" s="229">
        <v>-0.28749999999999998</v>
      </c>
      <c r="BM73" s="228">
        <v>150</v>
      </c>
      <c r="BN73" s="228">
        <v>227</v>
      </c>
      <c r="BO73" s="228">
        <v>-76</v>
      </c>
      <c r="BP73" s="229">
        <v>-0.33729999999999999</v>
      </c>
      <c r="BQ73" s="228">
        <v>651</v>
      </c>
      <c r="BR73" s="228">
        <v>841</v>
      </c>
      <c r="BS73" s="228">
        <v>-190</v>
      </c>
      <c r="BT73" s="229">
        <v>-0.2263</v>
      </c>
      <c r="BU73" s="230">
        <v>492286</v>
      </c>
      <c r="BV73" s="230">
        <v>428707</v>
      </c>
      <c r="BW73" s="230">
        <v>63579</v>
      </c>
      <c r="BX73" s="229">
        <v>0.14829999999999999</v>
      </c>
      <c r="BY73" s="230">
        <v>1457</v>
      </c>
      <c r="BZ73" s="230">
        <v>1461</v>
      </c>
      <c r="CA73" s="228">
        <v>-5</v>
      </c>
      <c r="CB73" s="229">
        <v>-3.3E-3</v>
      </c>
      <c r="CC73" s="230">
        <v>1416</v>
      </c>
      <c r="CD73" s="230">
        <v>1422</v>
      </c>
      <c r="CE73" s="228">
        <v>-6</v>
      </c>
      <c r="CF73" s="229">
        <v>-4.1999999999999997E-3</v>
      </c>
      <c r="CG73" s="228">
        <v>37</v>
      </c>
      <c r="CH73" s="228">
        <v>36</v>
      </c>
      <c r="CI73" s="228">
        <v>1</v>
      </c>
      <c r="CJ73" s="229">
        <v>3.6999999999999998E-2</v>
      </c>
      <c r="CK73" s="228">
        <v>4</v>
      </c>
      <c r="CL73" s="228">
        <v>4</v>
      </c>
      <c r="CM73" s="228">
        <v>0</v>
      </c>
      <c r="CN73" s="229">
        <v>-3.4500000000000003E-2</v>
      </c>
      <c r="CO73" s="228">
        <v>440</v>
      </c>
      <c r="CP73" s="228">
        <v>433</v>
      </c>
      <c r="CQ73" s="228">
        <v>7</v>
      </c>
      <c r="CR73" s="229">
        <v>1.5800000000000002E-2</v>
      </c>
      <c r="CS73" s="228">
        <v>301</v>
      </c>
      <c r="CT73" s="228">
        <v>299</v>
      </c>
      <c r="CU73" s="228">
        <v>2</v>
      </c>
      <c r="CV73" s="229">
        <v>6.7000000000000002E-3</v>
      </c>
      <c r="CW73" s="230">
        <v>2198</v>
      </c>
      <c r="CX73" s="230">
        <v>2194</v>
      </c>
      <c r="CY73" s="228">
        <v>4</v>
      </c>
      <c r="CZ73" s="229">
        <v>1.8E-3</v>
      </c>
      <c r="DA73" s="228">
        <v>21.7</v>
      </c>
      <c r="DB73" s="228">
        <v>22.12</v>
      </c>
      <c r="DC73" s="228">
        <v>-0.42</v>
      </c>
      <c r="DD73" s="228">
        <v>-0.42</v>
      </c>
      <c r="DE73" s="228">
        <v>28.11</v>
      </c>
      <c r="DF73" s="228">
        <v>28.15</v>
      </c>
      <c r="DG73" s="228">
        <v>-6.41</v>
      </c>
      <c r="DH73" s="228">
        <v>-0.04</v>
      </c>
      <c r="DI73" s="228">
        <v>21.23</v>
      </c>
      <c r="DJ73" s="228">
        <v>21.5</v>
      </c>
      <c r="DK73" s="228">
        <v>-0.27</v>
      </c>
      <c r="DL73" s="228">
        <v>-0.27</v>
      </c>
      <c r="DM73" s="228">
        <v>22.73</v>
      </c>
      <c r="DN73" s="228">
        <v>23.39</v>
      </c>
      <c r="DO73" s="228">
        <v>-0.66</v>
      </c>
      <c r="DP73" s="228">
        <v>-0.66</v>
      </c>
      <c r="DQ73" s="228">
        <v>0.68</v>
      </c>
      <c r="DR73" s="228">
        <v>0.69</v>
      </c>
      <c r="DS73" s="228">
        <v>-0.01</v>
      </c>
      <c r="DT73" s="229">
        <v>-1.4500000000000001E-2</v>
      </c>
      <c r="DU73" s="231">
        <v>1400</v>
      </c>
      <c r="DV73" s="231">
        <v>1300</v>
      </c>
      <c r="DW73" s="228">
        <v>0.46</v>
      </c>
      <c r="DX73" s="228">
        <v>0.49</v>
      </c>
      <c r="DY73" s="228">
        <v>-0.03</v>
      </c>
      <c r="DZ73" s="229">
        <v>-6.1199999999999997E-2</v>
      </c>
      <c r="EA73" s="229">
        <v>2.8000000000000001E-2</v>
      </c>
      <c r="EB73" s="230">
        <v>286000</v>
      </c>
      <c r="EC73" s="229">
        <v>4.3E-3</v>
      </c>
      <c r="ED73" s="229">
        <v>2.8000000000000001E-2</v>
      </c>
      <c r="EE73" s="228">
        <v>8.1199999999999992</v>
      </c>
      <c r="EF73" s="229">
        <v>5.8999999999999999E-3</v>
      </c>
      <c r="EG73" s="230">
        <v>271055</v>
      </c>
      <c r="EH73" s="230">
        <v>208689</v>
      </c>
      <c r="EI73" s="229">
        <v>0.29880000000000001</v>
      </c>
      <c r="EJ73" s="229">
        <v>0.55059999999999998</v>
      </c>
      <c r="EK73" s="228">
        <v>335.91</v>
      </c>
      <c r="EL73" s="228">
        <v>147.01</v>
      </c>
      <c r="EM73" s="228">
        <v>172.35</v>
      </c>
      <c r="EN73" s="228">
        <v>22.91</v>
      </c>
      <c r="EO73" s="228">
        <v>655.27</v>
      </c>
      <c r="EP73" s="228">
        <v>843.23</v>
      </c>
      <c r="EQ73" s="228">
        <v>-187.95</v>
      </c>
      <c r="ER73" s="229">
        <v>-0.22289999999999999</v>
      </c>
      <c r="ES73" s="228">
        <v>446.95</v>
      </c>
      <c r="ET73" s="228">
        <v>283.83999999999997</v>
      </c>
      <c r="EU73" s="231">
        <v>1456.79</v>
      </c>
      <c r="EV73" s="231">
        <v>35667502</v>
      </c>
      <c r="EW73" s="231">
        <v>2187.5700000000002</v>
      </c>
      <c r="EX73" s="231">
        <v>2168.7399999999998</v>
      </c>
      <c r="EY73" s="228">
        <v>18.829999999999998</v>
      </c>
      <c r="EZ73" s="229">
        <v>8.6999999999999994E-3</v>
      </c>
      <c r="FA73" s="229">
        <v>0.44419999999999998</v>
      </c>
      <c r="FB73" s="227" t="s">
        <v>556</v>
      </c>
      <c r="FC73">
        <f t="shared" si="1"/>
        <v>41</v>
      </c>
    </row>
    <row r="74" spans="1:159" ht="17.25" hidden="1" thickBot="1" x14ac:dyDescent="0.3">
      <c r="A74" s="226">
        <v>46064</v>
      </c>
      <c r="B74" s="227" t="s">
        <v>221</v>
      </c>
      <c r="C74" s="227" t="s">
        <v>222</v>
      </c>
      <c r="D74" s="228">
        <v>350</v>
      </c>
      <c r="E74" s="228">
        <v>13</v>
      </c>
      <c r="F74" s="231">
        <v>1553.5</v>
      </c>
      <c r="G74" s="231">
        <v>1578.3</v>
      </c>
      <c r="H74" s="228">
        <v>-24.8</v>
      </c>
      <c r="I74" s="229">
        <v>-1.5699999999999999E-2</v>
      </c>
      <c r="J74" s="231">
        <v>1551.6</v>
      </c>
      <c r="K74" s="231">
        <v>1573.1</v>
      </c>
      <c r="L74" s="228">
        <v>-21.5</v>
      </c>
      <c r="M74" s="229">
        <v>-1.37E-2</v>
      </c>
      <c r="N74" s="231">
        <v>1553.5</v>
      </c>
      <c r="O74" s="231">
        <v>1578.3</v>
      </c>
      <c r="P74" s="228">
        <v>-24.8</v>
      </c>
      <c r="Q74" s="229">
        <v>-1.5699999999999999E-2</v>
      </c>
      <c r="R74" s="231">
        <v>1562.3</v>
      </c>
      <c r="S74" s="231">
        <v>1587.8</v>
      </c>
      <c r="T74" s="228">
        <v>-25.5</v>
      </c>
      <c r="U74" s="229">
        <v>-1.61E-2</v>
      </c>
      <c r="V74" s="231">
        <v>1563.3</v>
      </c>
      <c r="W74" s="231">
        <v>1587.3</v>
      </c>
      <c r="X74" s="228">
        <v>-24</v>
      </c>
      <c r="Y74" s="229">
        <v>-1.5100000000000001E-2</v>
      </c>
      <c r="Z74" s="228">
        <v>1.9</v>
      </c>
      <c r="AA74" s="228">
        <v>5.2</v>
      </c>
      <c r="AB74" s="228">
        <v>-3.3</v>
      </c>
      <c r="AC74" s="229">
        <v>1.1999999999999999E-3</v>
      </c>
      <c r="AD74" s="228">
        <v>1.9</v>
      </c>
      <c r="AE74" s="228">
        <v>5.2</v>
      </c>
      <c r="AF74" s="228">
        <v>-3.3</v>
      </c>
      <c r="AG74" s="229">
        <v>1.1999999999999999E-3</v>
      </c>
      <c r="AH74" s="228">
        <v>10.7</v>
      </c>
      <c r="AI74" s="228">
        <v>14.7</v>
      </c>
      <c r="AJ74" s="228">
        <v>-4</v>
      </c>
      <c r="AK74" s="229">
        <v>6.8999999999999999E-3</v>
      </c>
      <c r="AL74" s="228">
        <v>11.7</v>
      </c>
      <c r="AM74" s="228">
        <v>14.2</v>
      </c>
      <c r="AN74" s="228">
        <v>-2.5</v>
      </c>
      <c r="AO74" s="229">
        <v>7.4999999999999997E-3</v>
      </c>
      <c r="AP74" s="231">
        <v>1561.94</v>
      </c>
      <c r="AQ74" s="231">
        <v>1570.41</v>
      </c>
      <c r="AR74" s="228">
        <v>0</v>
      </c>
      <c r="AS74" s="228">
        <v>325</v>
      </c>
      <c r="AT74" s="228">
        <v>589</v>
      </c>
      <c r="AU74" s="228">
        <v>-264</v>
      </c>
      <c r="AV74" s="229">
        <v>-0.44769999999999999</v>
      </c>
      <c r="AW74" s="228">
        <v>294</v>
      </c>
      <c r="AX74" s="228">
        <v>511</v>
      </c>
      <c r="AY74" s="228">
        <v>-218</v>
      </c>
      <c r="AZ74" s="229">
        <v>-0.4259</v>
      </c>
      <c r="BA74" s="228">
        <v>27</v>
      </c>
      <c r="BB74" s="228">
        <v>70</v>
      </c>
      <c r="BC74" s="228">
        <v>-43</v>
      </c>
      <c r="BD74" s="229">
        <v>-0.6169</v>
      </c>
      <c r="BE74" s="228">
        <v>5</v>
      </c>
      <c r="BF74" s="228">
        <v>8</v>
      </c>
      <c r="BG74" s="228">
        <v>-3</v>
      </c>
      <c r="BH74" s="229">
        <v>-0.37009999999999998</v>
      </c>
      <c r="BI74" s="230">
        <v>1742</v>
      </c>
      <c r="BJ74" s="230">
        <v>1682</v>
      </c>
      <c r="BK74" s="228">
        <v>60</v>
      </c>
      <c r="BL74" s="229">
        <v>3.5499999999999997E-2</v>
      </c>
      <c r="BM74" s="230">
        <v>1226</v>
      </c>
      <c r="BN74" s="228">
        <v>970</v>
      </c>
      <c r="BO74" s="228">
        <v>255</v>
      </c>
      <c r="BP74" s="229">
        <v>0.26300000000000001</v>
      </c>
      <c r="BQ74" s="230">
        <v>3293</v>
      </c>
      <c r="BR74" s="230">
        <v>3242</v>
      </c>
      <c r="BS74" s="228">
        <v>51</v>
      </c>
      <c r="BT74" s="229">
        <v>1.5800000000000002E-2</v>
      </c>
      <c r="BU74" s="230">
        <v>3006786</v>
      </c>
      <c r="BV74" s="230">
        <v>3643682</v>
      </c>
      <c r="BW74" s="230">
        <v>-636896</v>
      </c>
      <c r="BX74" s="229">
        <v>-0.17480000000000001</v>
      </c>
      <c r="BY74" s="230">
        <v>2953</v>
      </c>
      <c r="BZ74" s="230">
        <v>2953</v>
      </c>
      <c r="CA74" s="228">
        <v>0</v>
      </c>
      <c r="CB74" s="229">
        <v>0</v>
      </c>
      <c r="CC74" s="230">
        <v>2807</v>
      </c>
      <c r="CD74" s="230">
        <v>2815</v>
      </c>
      <c r="CE74" s="228">
        <v>-7</v>
      </c>
      <c r="CF74" s="229">
        <v>-2.5999999999999999E-3</v>
      </c>
      <c r="CG74" s="228">
        <v>122</v>
      </c>
      <c r="CH74" s="228">
        <v>117</v>
      </c>
      <c r="CI74" s="228">
        <v>5</v>
      </c>
      <c r="CJ74" s="229">
        <v>3.95E-2</v>
      </c>
      <c r="CK74" s="228">
        <v>24</v>
      </c>
      <c r="CL74" s="228">
        <v>21</v>
      </c>
      <c r="CM74" s="228">
        <v>3</v>
      </c>
      <c r="CN74" s="229">
        <v>0.1305</v>
      </c>
      <c r="CO74" s="230">
        <v>1694</v>
      </c>
      <c r="CP74" s="230">
        <v>1503</v>
      </c>
      <c r="CQ74" s="228">
        <v>191</v>
      </c>
      <c r="CR74" s="229">
        <v>0.12740000000000001</v>
      </c>
      <c r="CS74" s="228">
        <v>893</v>
      </c>
      <c r="CT74" s="228">
        <v>888</v>
      </c>
      <c r="CU74" s="228">
        <v>5</v>
      </c>
      <c r="CV74" s="229">
        <v>5.5999999999999999E-3</v>
      </c>
      <c r="CW74" s="230">
        <v>5539</v>
      </c>
      <c r="CX74" s="230">
        <v>5343</v>
      </c>
      <c r="CY74" s="228">
        <v>196</v>
      </c>
      <c r="CZ74" s="229">
        <v>3.6700000000000003E-2</v>
      </c>
      <c r="DA74" s="228">
        <v>29.83</v>
      </c>
      <c r="DB74" s="228">
        <v>28.65</v>
      </c>
      <c r="DC74" s="228">
        <v>1.18</v>
      </c>
      <c r="DD74" s="228">
        <v>1.18</v>
      </c>
      <c r="DE74" s="228">
        <v>27.62</v>
      </c>
      <c r="DF74" s="228">
        <v>27.62</v>
      </c>
      <c r="DG74" s="228">
        <v>2.21</v>
      </c>
      <c r="DH74" s="228">
        <v>0</v>
      </c>
      <c r="DI74" s="228">
        <v>29.63</v>
      </c>
      <c r="DJ74" s="228">
        <v>28.41</v>
      </c>
      <c r="DK74" s="228">
        <v>1.22</v>
      </c>
      <c r="DL74" s="228">
        <v>1.22</v>
      </c>
      <c r="DM74" s="228">
        <v>30.12</v>
      </c>
      <c r="DN74" s="228">
        <v>29.08</v>
      </c>
      <c r="DO74" s="228">
        <v>1.04</v>
      </c>
      <c r="DP74" s="228">
        <v>1.04</v>
      </c>
      <c r="DQ74" s="228">
        <v>0.53</v>
      </c>
      <c r="DR74" s="228">
        <v>0.59</v>
      </c>
      <c r="DS74" s="228">
        <v>-0.06</v>
      </c>
      <c r="DT74" s="229">
        <v>-0.1017</v>
      </c>
      <c r="DU74" s="231">
        <v>1700</v>
      </c>
      <c r="DV74" s="231">
        <v>1480</v>
      </c>
      <c r="DW74" s="228">
        <v>0.7</v>
      </c>
      <c r="DX74" s="228">
        <v>0.57999999999999996</v>
      </c>
      <c r="DY74" s="228">
        <v>0.12</v>
      </c>
      <c r="DZ74" s="229">
        <v>0.2069</v>
      </c>
      <c r="EA74" s="229">
        <v>4.9099999999999998E-2</v>
      </c>
      <c r="EB74" s="230">
        <v>886550</v>
      </c>
      <c r="EC74" s="229">
        <v>5.7000000000000002E-3</v>
      </c>
      <c r="ED74" s="229">
        <v>4.9099999999999998E-2</v>
      </c>
      <c r="EE74" s="228">
        <v>8.4700000000000006</v>
      </c>
      <c r="EF74" s="229">
        <v>5.4000000000000003E-3</v>
      </c>
      <c r="EG74" s="230">
        <v>1913264</v>
      </c>
      <c r="EH74" s="230">
        <v>2464140</v>
      </c>
      <c r="EI74" s="229">
        <v>-0.22359999999999999</v>
      </c>
      <c r="EJ74" s="229">
        <v>0.63629999999999998</v>
      </c>
      <c r="EK74" s="231">
        <v>1840.97</v>
      </c>
      <c r="EL74" s="231">
        <v>1217.27</v>
      </c>
      <c r="EM74" s="228">
        <v>327.37</v>
      </c>
      <c r="EN74" s="228">
        <v>123.2</v>
      </c>
      <c r="EO74" s="231">
        <v>3385.6</v>
      </c>
      <c r="EP74" s="231">
        <v>3387.73</v>
      </c>
      <c r="EQ74" s="228">
        <v>-2.12</v>
      </c>
      <c r="ER74" s="229">
        <v>-5.9999999999999995E-4</v>
      </c>
      <c r="ES74" s="231">
        <v>1844.4</v>
      </c>
      <c r="ET74" s="228">
        <v>892.35</v>
      </c>
      <c r="EU74" s="231">
        <v>2953.37</v>
      </c>
      <c r="EV74" s="231">
        <v>106857976</v>
      </c>
      <c r="EW74" s="231">
        <v>5690.12</v>
      </c>
      <c r="EX74" s="231">
        <v>5539.88</v>
      </c>
      <c r="EY74" s="228">
        <v>150.24</v>
      </c>
      <c r="EZ74" s="229">
        <v>2.7099999999999999E-2</v>
      </c>
      <c r="FA74" s="229">
        <v>0.3337</v>
      </c>
      <c r="FB74" s="227" t="s">
        <v>237</v>
      </c>
      <c r="FC74">
        <f t="shared" si="1"/>
        <v>146</v>
      </c>
    </row>
    <row r="75" spans="1:159" ht="17.25" hidden="1" thickBot="1" x14ac:dyDescent="0.3">
      <c r="A75" s="226">
        <v>46064</v>
      </c>
      <c r="B75" s="227" t="s">
        <v>175</v>
      </c>
      <c r="C75" s="227" t="s">
        <v>475</v>
      </c>
      <c r="D75" s="228">
        <v>300</v>
      </c>
      <c r="E75" s="228">
        <v>13</v>
      </c>
      <c r="F75" s="231">
        <v>2831.7</v>
      </c>
      <c r="G75" s="231">
        <v>2819.5</v>
      </c>
      <c r="H75" s="228">
        <v>12.2</v>
      </c>
      <c r="I75" s="229">
        <v>4.3E-3</v>
      </c>
      <c r="J75" s="231">
        <v>2826.9</v>
      </c>
      <c r="K75" s="231">
        <v>2816.8</v>
      </c>
      <c r="L75" s="228">
        <v>10.1</v>
      </c>
      <c r="M75" s="229">
        <v>3.5999999999999999E-3</v>
      </c>
      <c r="N75" s="231">
        <v>2831.7</v>
      </c>
      <c r="O75" s="231">
        <v>2819.5</v>
      </c>
      <c r="P75" s="228">
        <v>12.2</v>
      </c>
      <c r="Q75" s="229">
        <v>4.3E-3</v>
      </c>
      <c r="R75" s="231">
        <v>2847.3</v>
      </c>
      <c r="S75" s="231">
        <v>2834.5</v>
      </c>
      <c r="T75" s="228">
        <v>12.8</v>
      </c>
      <c r="U75" s="229">
        <v>4.4999999999999997E-3</v>
      </c>
      <c r="V75" s="231">
        <v>2862.7</v>
      </c>
      <c r="W75" s="231">
        <v>2849.5</v>
      </c>
      <c r="X75" s="228">
        <v>13.2</v>
      </c>
      <c r="Y75" s="229">
        <v>4.5999999999999999E-3</v>
      </c>
      <c r="Z75" s="228">
        <v>4.8</v>
      </c>
      <c r="AA75" s="228">
        <v>2.7</v>
      </c>
      <c r="AB75" s="228">
        <v>2.1</v>
      </c>
      <c r="AC75" s="229">
        <v>1.6999999999999999E-3</v>
      </c>
      <c r="AD75" s="228">
        <v>4.8</v>
      </c>
      <c r="AE75" s="228">
        <v>2.7</v>
      </c>
      <c r="AF75" s="228">
        <v>2.1</v>
      </c>
      <c r="AG75" s="229">
        <v>1.6999999999999999E-3</v>
      </c>
      <c r="AH75" s="228">
        <v>20.399999999999999</v>
      </c>
      <c r="AI75" s="228">
        <v>17.7</v>
      </c>
      <c r="AJ75" s="228">
        <v>2.7</v>
      </c>
      <c r="AK75" s="229">
        <v>7.1999999999999998E-3</v>
      </c>
      <c r="AL75" s="228">
        <v>35.799999999999997</v>
      </c>
      <c r="AM75" s="228">
        <v>32.700000000000003</v>
      </c>
      <c r="AN75" s="228">
        <v>3.1</v>
      </c>
      <c r="AO75" s="229">
        <v>1.2699999999999999E-2</v>
      </c>
      <c r="AP75" s="231">
        <v>2826.93</v>
      </c>
      <c r="AQ75" s="231">
        <v>2842.03</v>
      </c>
      <c r="AR75" s="228">
        <v>0</v>
      </c>
      <c r="AS75" s="228">
        <v>222</v>
      </c>
      <c r="AT75" s="228">
        <v>371</v>
      </c>
      <c r="AU75" s="228">
        <v>-149</v>
      </c>
      <c r="AV75" s="229">
        <v>-0.4012</v>
      </c>
      <c r="AW75" s="228">
        <v>212</v>
      </c>
      <c r="AX75" s="228">
        <v>348</v>
      </c>
      <c r="AY75" s="228">
        <v>-136</v>
      </c>
      <c r="AZ75" s="229">
        <v>-0.39190000000000003</v>
      </c>
      <c r="BA75" s="228">
        <v>10</v>
      </c>
      <c r="BB75" s="228">
        <v>22</v>
      </c>
      <c r="BC75" s="228">
        <v>-12</v>
      </c>
      <c r="BD75" s="229">
        <v>-0.52690000000000003</v>
      </c>
      <c r="BE75" s="228">
        <v>0</v>
      </c>
      <c r="BF75" s="228">
        <v>1</v>
      </c>
      <c r="BG75" s="228">
        <v>-1</v>
      </c>
      <c r="BH75" s="229">
        <v>-0.70589999999999997</v>
      </c>
      <c r="BI75" s="228">
        <v>644</v>
      </c>
      <c r="BJ75" s="230">
        <v>1729</v>
      </c>
      <c r="BK75" s="230">
        <v>-1085</v>
      </c>
      <c r="BL75" s="229">
        <v>-0.62760000000000005</v>
      </c>
      <c r="BM75" s="228">
        <v>308</v>
      </c>
      <c r="BN75" s="228">
        <v>667</v>
      </c>
      <c r="BO75" s="228">
        <v>-359</v>
      </c>
      <c r="BP75" s="229">
        <v>-0.53839999999999999</v>
      </c>
      <c r="BQ75" s="230">
        <v>1174</v>
      </c>
      <c r="BR75" s="230">
        <v>2767</v>
      </c>
      <c r="BS75" s="230">
        <v>-1593</v>
      </c>
      <c r="BT75" s="229">
        <v>-0.57569999999999999</v>
      </c>
      <c r="BU75" s="230">
        <v>758268</v>
      </c>
      <c r="BV75" s="230">
        <v>1018252</v>
      </c>
      <c r="BW75" s="230">
        <v>-259984</v>
      </c>
      <c r="BX75" s="229">
        <v>-0.25530000000000003</v>
      </c>
      <c r="BY75" s="230">
        <v>1753</v>
      </c>
      <c r="BZ75" s="230">
        <v>1794</v>
      </c>
      <c r="CA75" s="228">
        <v>-41</v>
      </c>
      <c r="CB75" s="229">
        <v>-2.2599999999999999E-2</v>
      </c>
      <c r="CC75" s="230">
        <v>1722</v>
      </c>
      <c r="CD75" s="230">
        <v>1764</v>
      </c>
      <c r="CE75" s="228">
        <v>-42</v>
      </c>
      <c r="CF75" s="229">
        <v>-2.3599999999999999E-2</v>
      </c>
      <c r="CG75" s="228">
        <v>29</v>
      </c>
      <c r="CH75" s="228">
        <v>28</v>
      </c>
      <c r="CI75" s="228">
        <v>1</v>
      </c>
      <c r="CJ75" s="229">
        <v>2.7E-2</v>
      </c>
      <c r="CK75" s="228">
        <v>2</v>
      </c>
      <c r="CL75" s="228">
        <v>2</v>
      </c>
      <c r="CM75" s="228">
        <v>0</v>
      </c>
      <c r="CN75" s="229">
        <v>0.1429</v>
      </c>
      <c r="CO75" s="228">
        <v>548</v>
      </c>
      <c r="CP75" s="228">
        <v>538</v>
      </c>
      <c r="CQ75" s="228">
        <v>9</v>
      </c>
      <c r="CR75" s="229">
        <v>1.7399999999999999E-2</v>
      </c>
      <c r="CS75" s="228">
        <v>498</v>
      </c>
      <c r="CT75" s="228">
        <v>488</v>
      </c>
      <c r="CU75" s="228">
        <v>11</v>
      </c>
      <c r="CV75" s="229">
        <v>2.18E-2</v>
      </c>
      <c r="CW75" s="230">
        <v>2799</v>
      </c>
      <c r="CX75" s="230">
        <v>2820</v>
      </c>
      <c r="CY75" s="228">
        <v>-21</v>
      </c>
      <c r="CZ75" s="229">
        <v>-7.3000000000000001E-3</v>
      </c>
      <c r="DA75" s="228">
        <v>23.67</v>
      </c>
      <c r="DB75" s="228">
        <v>24.47</v>
      </c>
      <c r="DC75" s="228">
        <v>-0.8</v>
      </c>
      <c r="DD75" s="228">
        <v>-0.8</v>
      </c>
      <c r="DE75" s="228">
        <v>34.380000000000003</v>
      </c>
      <c r="DF75" s="228">
        <v>34.47</v>
      </c>
      <c r="DG75" s="228">
        <v>-10.71</v>
      </c>
      <c r="DH75" s="228">
        <v>-0.09</v>
      </c>
      <c r="DI75" s="228">
        <v>22.81</v>
      </c>
      <c r="DJ75" s="228">
        <v>23.44</v>
      </c>
      <c r="DK75" s="228">
        <v>-0.63</v>
      </c>
      <c r="DL75" s="228">
        <v>-0.63</v>
      </c>
      <c r="DM75" s="228">
        <v>25.47</v>
      </c>
      <c r="DN75" s="228">
        <v>27.14</v>
      </c>
      <c r="DO75" s="228">
        <v>-1.67</v>
      </c>
      <c r="DP75" s="228">
        <v>-1.67</v>
      </c>
      <c r="DQ75" s="228">
        <v>0.91</v>
      </c>
      <c r="DR75" s="228">
        <v>0.91</v>
      </c>
      <c r="DS75" s="228">
        <v>0</v>
      </c>
      <c r="DT75" s="229">
        <v>0</v>
      </c>
      <c r="DU75" s="231">
        <v>3000</v>
      </c>
      <c r="DV75" s="231">
        <v>2600</v>
      </c>
      <c r="DW75" s="228">
        <v>0.48</v>
      </c>
      <c r="DX75" s="228">
        <v>0.39</v>
      </c>
      <c r="DY75" s="228">
        <v>0.09</v>
      </c>
      <c r="DZ75" s="229">
        <v>0.23080000000000001</v>
      </c>
      <c r="EA75" s="229">
        <v>1.77E-2</v>
      </c>
      <c r="EB75" s="230">
        <v>106200</v>
      </c>
      <c r="EC75" s="229">
        <v>5.4999999999999997E-3</v>
      </c>
      <c r="ED75" s="229">
        <v>1.77E-2</v>
      </c>
      <c r="EE75" s="228">
        <v>15.1</v>
      </c>
      <c r="EF75" s="229">
        <v>5.3E-3</v>
      </c>
      <c r="EG75" s="230">
        <v>544703</v>
      </c>
      <c r="EH75" s="230">
        <v>532135</v>
      </c>
      <c r="EI75" s="229">
        <v>2.3599999999999999E-2</v>
      </c>
      <c r="EJ75" s="229">
        <v>0.71840000000000004</v>
      </c>
      <c r="EK75" s="228">
        <v>661.51</v>
      </c>
      <c r="EL75" s="228">
        <v>297.06</v>
      </c>
      <c r="EM75" s="228">
        <v>222.09</v>
      </c>
      <c r="EN75" s="228">
        <v>45.53</v>
      </c>
      <c r="EO75" s="231">
        <v>1180.6500000000001</v>
      </c>
      <c r="EP75" s="231">
        <v>2760.86</v>
      </c>
      <c r="EQ75" s="231">
        <v>-1580.21</v>
      </c>
      <c r="ER75" s="229">
        <v>-0.57240000000000002</v>
      </c>
      <c r="ES75" s="228">
        <v>542.83000000000004</v>
      </c>
      <c r="ET75" s="228">
        <v>456.71</v>
      </c>
      <c r="EU75" s="231">
        <v>1753.49</v>
      </c>
      <c r="EV75" s="231">
        <v>30592324</v>
      </c>
      <c r="EW75" s="231">
        <v>2753.02</v>
      </c>
      <c r="EX75" s="231">
        <v>2764.45</v>
      </c>
      <c r="EY75" s="228">
        <v>-11.43</v>
      </c>
      <c r="EZ75" s="229">
        <v>-4.1000000000000003E-3</v>
      </c>
      <c r="FA75" s="229">
        <v>0.3231</v>
      </c>
      <c r="FB75" s="227" t="s">
        <v>556</v>
      </c>
      <c r="FC75">
        <f t="shared" si="1"/>
        <v>31</v>
      </c>
    </row>
    <row r="76" spans="1:159" ht="17.25" hidden="1" thickBot="1" x14ac:dyDescent="0.3">
      <c r="A76" s="226">
        <v>46064</v>
      </c>
      <c r="B76" s="227" t="s">
        <v>172</v>
      </c>
      <c r="C76" s="227" t="s">
        <v>224</v>
      </c>
      <c r="D76" s="228">
        <v>550</v>
      </c>
      <c r="E76" s="228">
        <v>13</v>
      </c>
      <c r="F76" s="228">
        <v>930.7</v>
      </c>
      <c r="G76" s="228">
        <v>935.8</v>
      </c>
      <c r="H76" s="228">
        <v>-5.0999999999999996</v>
      </c>
      <c r="I76" s="229">
        <v>-5.4000000000000003E-3</v>
      </c>
      <c r="J76" s="228">
        <v>927.1</v>
      </c>
      <c r="K76" s="228">
        <v>932.4</v>
      </c>
      <c r="L76" s="228">
        <v>-5.3</v>
      </c>
      <c r="M76" s="229">
        <v>-5.7000000000000002E-3</v>
      </c>
      <c r="N76" s="228">
        <v>930.7</v>
      </c>
      <c r="O76" s="228">
        <v>935.8</v>
      </c>
      <c r="P76" s="228">
        <v>-5.0999999999999996</v>
      </c>
      <c r="Q76" s="229">
        <v>-5.4000000000000003E-3</v>
      </c>
      <c r="R76" s="228">
        <v>936.55</v>
      </c>
      <c r="S76" s="228">
        <v>941.95</v>
      </c>
      <c r="T76" s="228">
        <v>-5.4</v>
      </c>
      <c r="U76" s="229">
        <v>-5.7000000000000002E-3</v>
      </c>
      <c r="V76" s="228">
        <v>942</v>
      </c>
      <c r="W76" s="228">
        <v>947.4</v>
      </c>
      <c r="X76" s="228">
        <v>-5.4</v>
      </c>
      <c r="Y76" s="229">
        <v>-5.7000000000000002E-3</v>
      </c>
      <c r="Z76" s="228">
        <v>3.6</v>
      </c>
      <c r="AA76" s="228">
        <v>3.4</v>
      </c>
      <c r="AB76" s="228">
        <v>0.2</v>
      </c>
      <c r="AC76" s="229">
        <v>3.8999999999999998E-3</v>
      </c>
      <c r="AD76" s="228">
        <v>3.6</v>
      </c>
      <c r="AE76" s="228">
        <v>3.4</v>
      </c>
      <c r="AF76" s="228">
        <v>0.2</v>
      </c>
      <c r="AG76" s="229">
        <v>3.8999999999999998E-3</v>
      </c>
      <c r="AH76" s="228">
        <v>9.4499999999999993</v>
      </c>
      <c r="AI76" s="228">
        <v>9.5500000000000007</v>
      </c>
      <c r="AJ76" s="228">
        <v>-0.1</v>
      </c>
      <c r="AK76" s="229">
        <v>1.0200000000000001E-2</v>
      </c>
      <c r="AL76" s="228">
        <v>14.9</v>
      </c>
      <c r="AM76" s="228">
        <v>15</v>
      </c>
      <c r="AN76" s="228">
        <v>-0.1</v>
      </c>
      <c r="AO76" s="229">
        <v>1.61E-2</v>
      </c>
      <c r="AP76" s="228">
        <v>932.66</v>
      </c>
      <c r="AQ76" s="228">
        <v>937.94</v>
      </c>
      <c r="AR76" s="228">
        <v>0</v>
      </c>
      <c r="AS76" s="230">
        <v>1961</v>
      </c>
      <c r="AT76" s="230">
        <v>1741</v>
      </c>
      <c r="AU76" s="228">
        <v>220</v>
      </c>
      <c r="AV76" s="229">
        <v>0.12640000000000001</v>
      </c>
      <c r="AW76" s="230">
        <v>1787</v>
      </c>
      <c r="AX76" s="230">
        <v>1561</v>
      </c>
      <c r="AY76" s="228">
        <v>227</v>
      </c>
      <c r="AZ76" s="229">
        <v>0.14510000000000001</v>
      </c>
      <c r="BA76" s="228">
        <v>153</v>
      </c>
      <c r="BB76" s="228">
        <v>165</v>
      </c>
      <c r="BC76" s="228">
        <v>-11</v>
      </c>
      <c r="BD76" s="229">
        <v>-6.8099999999999994E-2</v>
      </c>
      <c r="BE76" s="228">
        <v>21</v>
      </c>
      <c r="BF76" s="228">
        <v>16</v>
      </c>
      <c r="BG76" s="228">
        <v>5</v>
      </c>
      <c r="BH76" s="229">
        <v>0.29899999999999999</v>
      </c>
      <c r="BI76" s="230">
        <v>6508</v>
      </c>
      <c r="BJ76" s="230">
        <v>6003</v>
      </c>
      <c r="BK76" s="228">
        <v>504</v>
      </c>
      <c r="BL76" s="229">
        <v>8.4000000000000005E-2</v>
      </c>
      <c r="BM76" s="230">
        <v>3256</v>
      </c>
      <c r="BN76" s="230">
        <v>3314</v>
      </c>
      <c r="BO76" s="228">
        <v>-58</v>
      </c>
      <c r="BP76" s="229">
        <v>-1.7600000000000001E-2</v>
      </c>
      <c r="BQ76" s="230">
        <v>11725</v>
      </c>
      <c r="BR76" s="230">
        <v>11059</v>
      </c>
      <c r="BS76" s="228">
        <v>666</v>
      </c>
      <c r="BT76" s="229">
        <v>6.0199999999999997E-2</v>
      </c>
      <c r="BU76" s="230">
        <v>26779407</v>
      </c>
      <c r="BV76" s="230">
        <v>33074284</v>
      </c>
      <c r="BW76" s="230">
        <v>-6294877</v>
      </c>
      <c r="BX76" s="229">
        <v>-0.1903</v>
      </c>
      <c r="BY76" s="230">
        <v>24490</v>
      </c>
      <c r="BZ76" s="230">
        <v>24256</v>
      </c>
      <c r="CA76" s="228">
        <v>234</v>
      </c>
      <c r="CB76" s="229">
        <v>9.5999999999999992E-3</v>
      </c>
      <c r="CC76" s="230">
        <v>21593</v>
      </c>
      <c r="CD76" s="230">
        <v>21462</v>
      </c>
      <c r="CE76" s="228">
        <v>131</v>
      </c>
      <c r="CF76" s="229">
        <v>6.1000000000000004E-3</v>
      </c>
      <c r="CG76" s="230">
        <v>2782</v>
      </c>
      <c r="CH76" s="230">
        <v>2691</v>
      </c>
      <c r="CI76" s="228">
        <v>91</v>
      </c>
      <c r="CJ76" s="229">
        <v>3.3799999999999997E-2</v>
      </c>
      <c r="CK76" s="228">
        <v>114</v>
      </c>
      <c r="CL76" s="228">
        <v>102</v>
      </c>
      <c r="CM76" s="228">
        <v>12</v>
      </c>
      <c r="CN76" s="229">
        <v>0.1217</v>
      </c>
      <c r="CO76" s="230">
        <v>6011</v>
      </c>
      <c r="CP76" s="230">
        <v>5421</v>
      </c>
      <c r="CQ76" s="228">
        <v>590</v>
      </c>
      <c r="CR76" s="229">
        <v>0.1089</v>
      </c>
      <c r="CS76" s="230">
        <v>3316</v>
      </c>
      <c r="CT76" s="230">
        <v>3153</v>
      </c>
      <c r="CU76" s="228">
        <v>163</v>
      </c>
      <c r="CV76" s="229">
        <v>5.16E-2</v>
      </c>
      <c r="CW76" s="230">
        <v>33817</v>
      </c>
      <c r="CX76" s="230">
        <v>32830</v>
      </c>
      <c r="CY76" s="228">
        <v>987</v>
      </c>
      <c r="CZ76" s="229">
        <v>3.0099999999999998E-2</v>
      </c>
      <c r="DA76" s="228">
        <v>19.16</v>
      </c>
      <c r="DB76" s="228">
        <v>18.72</v>
      </c>
      <c r="DC76" s="228">
        <v>0.44</v>
      </c>
      <c r="DD76" s="228">
        <v>0.44</v>
      </c>
      <c r="DE76" s="228">
        <v>19.41</v>
      </c>
      <c r="DF76" s="228">
        <v>19.45</v>
      </c>
      <c r="DG76" s="228">
        <v>-0.25</v>
      </c>
      <c r="DH76" s="228">
        <v>-0.04</v>
      </c>
      <c r="DI76" s="228">
        <v>19.260000000000002</v>
      </c>
      <c r="DJ76" s="228">
        <v>18.87</v>
      </c>
      <c r="DK76" s="228">
        <v>0.39</v>
      </c>
      <c r="DL76" s="228">
        <v>0.39</v>
      </c>
      <c r="DM76" s="228">
        <v>18.95</v>
      </c>
      <c r="DN76" s="228">
        <v>18.45</v>
      </c>
      <c r="DO76" s="228">
        <v>0.5</v>
      </c>
      <c r="DP76" s="228">
        <v>0.5</v>
      </c>
      <c r="DQ76" s="228">
        <v>0.55000000000000004</v>
      </c>
      <c r="DR76" s="228">
        <v>0.57999999999999996</v>
      </c>
      <c r="DS76" s="228">
        <v>-0.03</v>
      </c>
      <c r="DT76" s="229">
        <v>-5.1700000000000003E-2</v>
      </c>
      <c r="DU76" s="228">
        <v>950</v>
      </c>
      <c r="DV76" s="228">
        <v>930</v>
      </c>
      <c r="DW76" s="228">
        <v>0.5</v>
      </c>
      <c r="DX76" s="228">
        <v>0.55000000000000004</v>
      </c>
      <c r="DY76" s="228">
        <v>-0.05</v>
      </c>
      <c r="DZ76" s="229">
        <v>-9.0899999999999995E-2</v>
      </c>
      <c r="EA76" s="229">
        <v>0.1183</v>
      </c>
      <c r="EB76" s="230">
        <v>30012950</v>
      </c>
      <c r="EC76" s="229">
        <v>6.3E-3</v>
      </c>
      <c r="ED76" s="229">
        <v>0.1183</v>
      </c>
      <c r="EE76" s="228">
        <v>5.28</v>
      </c>
      <c r="EF76" s="229">
        <v>5.7000000000000002E-3</v>
      </c>
      <c r="EG76" s="230">
        <v>18470149</v>
      </c>
      <c r="EH76" s="230">
        <v>19497953</v>
      </c>
      <c r="EI76" s="229">
        <v>-5.2699999999999997E-2</v>
      </c>
      <c r="EJ76" s="229">
        <v>0.68969999999999998</v>
      </c>
      <c r="EK76" s="231">
        <v>6711.58</v>
      </c>
      <c r="EL76" s="231">
        <v>3242.97</v>
      </c>
      <c r="EM76" s="231">
        <v>1966.57</v>
      </c>
      <c r="EN76" s="228">
        <v>303.68</v>
      </c>
      <c r="EO76" s="231">
        <v>11921.13</v>
      </c>
      <c r="EP76" s="231">
        <v>11303.98</v>
      </c>
      <c r="EQ76" s="228">
        <v>617.15</v>
      </c>
      <c r="ER76" s="229">
        <v>5.4600000000000003E-2</v>
      </c>
      <c r="ES76" s="231">
        <v>6228.12</v>
      </c>
      <c r="ET76" s="231">
        <v>3285.44</v>
      </c>
      <c r="EU76" s="231">
        <v>24508.43</v>
      </c>
      <c r="EV76" s="231">
        <v>1330694977</v>
      </c>
      <c r="EW76" s="231">
        <v>34021.980000000003</v>
      </c>
      <c r="EX76" s="231">
        <v>33165.279999999999</v>
      </c>
      <c r="EY76" s="228">
        <v>856.7</v>
      </c>
      <c r="EZ76" s="229">
        <v>2.58E-2</v>
      </c>
      <c r="FA76" s="229">
        <v>0.27310000000000001</v>
      </c>
      <c r="FB76" s="227" t="s">
        <v>567</v>
      </c>
      <c r="FC76">
        <f t="shared" si="1"/>
        <v>2897</v>
      </c>
    </row>
    <row r="77" spans="1:159" ht="17.25" hidden="1" thickBot="1" x14ac:dyDescent="0.3">
      <c r="A77" s="226">
        <v>46064</v>
      </c>
      <c r="B77" s="227" t="s">
        <v>175</v>
      </c>
      <c r="C77" s="227" t="s">
        <v>225</v>
      </c>
      <c r="D77" s="228">
        <v>1100</v>
      </c>
      <c r="E77" s="228">
        <v>13</v>
      </c>
      <c r="F77" s="228">
        <v>702.95</v>
      </c>
      <c r="G77" s="228">
        <v>706.35</v>
      </c>
      <c r="H77" s="228">
        <v>-3.4</v>
      </c>
      <c r="I77" s="229">
        <v>-4.7999999999999996E-3</v>
      </c>
      <c r="J77" s="228">
        <v>701.1</v>
      </c>
      <c r="K77" s="228">
        <v>703.95</v>
      </c>
      <c r="L77" s="228">
        <v>-2.85</v>
      </c>
      <c r="M77" s="229">
        <v>-4.0000000000000001E-3</v>
      </c>
      <c r="N77" s="228">
        <v>702.95</v>
      </c>
      <c r="O77" s="228">
        <v>706.35</v>
      </c>
      <c r="P77" s="228">
        <v>-3.4</v>
      </c>
      <c r="Q77" s="229">
        <v>-4.7999999999999996E-3</v>
      </c>
      <c r="R77" s="228">
        <v>707.3</v>
      </c>
      <c r="S77" s="228">
        <v>710.85</v>
      </c>
      <c r="T77" s="228">
        <v>-3.55</v>
      </c>
      <c r="U77" s="229">
        <v>-5.0000000000000001E-3</v>
      </c>
      <c r="V77" s="228">
        <v>712.35</v>
      </c>
      <c r="W77" s="228">
        <v>716</v>
      </c>
      <c r="X77" s="228">
        <v>-3.65</v>
      </c>
      <c r="Y77" s="229">
        <v>-5.1000000000000004E-3</v>
      </c>
      <c r="Z77" s="228">
        <v>1.85</v>
      </c>
      <c r="AA77" s="228">
        <v>2.4</v>
      </c>
      <c r="AB77" s="228">
        <v>-0.55000000000000004</v>
      </c>
      <c r="AC77" s="229">
        <v>2.5999999999999999E-3</v>
      </c>
      <c r="AD77" s="228">
        <v>1.85</v>
      </c>
      <c r="AE77" s="228">
        <v>2.4</v>
      </c>
      <c r="AF77" s="228">
        <v>-0.55000000000000004</v>
      </c>
      <c r="AG77" s="229">
        <v>2.5999999999999999E-3</v>
      </c>
      <c r="AH77" s="228">
        <v>6.2</v>
      </c>
      <c r="AI77" s="228">
        <v>6.9</v>
      </c>
      <c r="AJ77" s="228">
        <v>-0.7</v>
      </c>
      <c r="AK77" s="229">
        <v>8.8000000000000005E-3</v>
      </c>
      <c r="AL77" s="228">
        <v>11.25</v>
      </c>
      <c r="AM77" s="228">
        <v>12.05</v>
      </c>
      <c r="AN77" s="228">
        <v>-0.8</v>
      </c>
      <c r="AO77" s="229">
        <v>1.6E-2</v>
      </c>
      <c r="AP77" s="228">
        <v>703.66</v>
      </c>
      <c r="AQ77" s="228">
        <v>708.09</v>
      </c>
      <c r="AR77" s="228">
        <v>0</v>
      </c>
      <c r="AS77" s="228">
        <v>280</v>
      </c>
      <c r="AT77" s="228">
        <v>198</v>
      </c>
      <c r="AU77" s="228">
        <v>82</v>
      </c>
      <c r="AV77" s="229">
        <v>0.41249999999999998</v>
      </c>
      <c r="AW77" s="228">
        <v>224</v>
      </c>
      <c r="AX77" s="228">
        <v>181</v>
      </c>
      <c r="AY77" s="228">
        <v>43</v>
      </c>
      <c r="AZ77" s="229">
        <v>0.2389</v>
      </c>
      <c r="BA77" s="228">
        <v>54</v>
      </c>
      <c r="BB77" s="228">
        <v>16</v>
      </c>
      <c r="BC77" s="228">
        <v>37</v>
      </c>
      <c r="BD77" s="229">
        <v>2.3048000000000002</v>
      </c>
      <c r="BE77" s="228">
        <v>2</v>
      </c>
      <c r="BF77" s="228">
        <v>1</v>
      </c>
      <c r="BG77" s="228">
        <v>1</v>
      </c>
      <c r="BH77" s="229">
        <v>1.3</v>
      </c>
      <c r="BI77" s="228">
        <v>652</v>
      </c>
      <c r="BJ77" s="228">
        <v>685</v>
      </c>
      <c r="BK77" s="228">
        <v>-33</v>
      </c>
      <c r="BL77" s="229">
        <v>-4.8300000000000003E-2</v>
      </c>
      <c r="BM77" s="228">
        <v>253</v>
      </c>
      <c r="BN77" s="228">
        <v>227</v>
      </c>
      <c r="BO77" s="228">
        <v>26</v>
      </c>
      <c r="BP77" s="229">
        <v>0.1157</v>
      </c>
      <c r="BQ77" s="230">
        <v>1185</v>
      </c>
      <c r="BR77" s="230">
        <v>1110</v>
      </c>
      <c r="BS77" s="228">
        <v>75</v>
      </c>
      <c r="BT77" s="229">
        <v>6.7400000000000002E-2</v>
      </c>
      <c r="BU77" s="230">
        <v>1912923</v>
      </c>
      <c r="BV77" s="230">
        <v>2469858</v>
      </c>
      <c r="BW77" s="230">
        <v>-556935</v>
      </c>
      <c r="BX77" s="229">
        <v>-0.22550000000000001</v>
      </c>
      <c r="BY77" s="230">
        <v>2716</v>
      </c>
      <c r="BZ77" s="230">
        <v>2685</v>
      </c>
      <c r="CA77" s="228">
        <v>31</v>
      </c>
      <c r="CB77" s="229">
        <v>1.15E-2</v>
      </c>
      <c r="CC77" s="230">
        <v>2583</v>
      </c>
      <c r="CD77" s="230">
        <v>2593</v>
      </c>
      <c r="CE77" s="228">
        <v>-10</v>
      </c>
      <c r="CF77" s="229">
        <v>-3.8E-3</v>
      </c>
      <c r="CG77" s="228">
        <v>126</v>
      </c>
      <c r="CH77" s="228">
        <v>85</v>
      </c>
      <c r="CI77" s="228">
        <v>41</v>
      </c>
      <c r="CJ77" s="229">
        <v>0.47549999999999998</v>
      </c>
      <c r="CK77" s="228">
        <v>7</v>
      </c>
      <c r="CL77" s="228">
        <v>7</v>
      </c>
      <c r="CM77" s="228">
        <v>0</v>
      </c>
      <c r="CN77" s="229">
        <v>2.2200000000000001E-2</v>
      </c>
      <c r="CO77" s="230">
        <v>1123</v>
      </c>
      <c r="CP77" s="230">
        <v>1073</v>
      </c>
      <c r="CQ77" s="228">
        <v>50</v>
      </c>
      <c r="CR77" s="229">
        <v>4.6199999999999998E-2</v>
      </c>
      <c r="CS77" s="228">
        <v>478</v>
      </c>
      <c r="CT77" s="228">
        <v>466</v>
      </c>
      <c r="CU77" s="228">
        <v>12</v>
      </c>
      <c r="CV77" s="229">
        <v>2.5700000000000001E-2</v>
      </c>
      <c r="CW77" s="230">
        <v>4317</v>
      </c>
      <c r="CX77" s="230">
        <v>4225</v>
      </c>
      <c r="CY77" s="228">
        <v>92</v>
      </c>
      <c r="CZ77" s="229">
        <v>2.1899999999999999E-2</v>
      </c>
      <c r="DA77" s="228">
        <v>21.37</v>
      </c>
      <c r="DB77" s="228">
        <v>20.79</v>
      </c>
      <c r="DC77" s="228">
        <v>0.57999999999999996</v>
      </c>
      <c r="DD77" s="228">
        <v>0.57999999999999996</v>
      </c>
      <c r="DE77" s="228">
        <v>24.47</v>
      </c>
      <c r="DF77" s="228">
        <v>24.53</v>
      </c>
      <c r="DG77" s="228">
        <v>-3.1</v>
      </c>
      <c r="DH77" s="228">
        <v>-0.06</v>
      </c>
      <c r="DI77" s="228">
        <v>21.66</v>
      </c>
      <c r="DJ77" s="228">
        <v>20.84</v>
      </c>
      <c r="DK77" s="228">
        <v>0.82</v>
      </c>
      <c r="DL77" s="228">
        <v>0.82</v>
      </c>
      <c r="DM77" s="228">
        <v>20.6</v>
      </c>
      <c r="DN77" s="228">
        <v>20.65</v>
      </c>
      <c r="DO77" s="228">
        <v>-0.05</v>
      </c>
      <c r="DP77" s="228">
        <v>-0.05</v>
      </c>
      <c r="DQ77" s="228">
        <v>0.43</v>
      </c>
      <c r="DR77" s="228">
        <v>0.43</v>
      </c>
      <c r="DS77" s="228">
        <v>0</v>
      </c>
      <c r="DT77" s="229">
        <v>0</v>
      </c>
      <c r="DU77" s="228">
        <v>740</v>
      </c>
      <c r="DV77" s="228">
        <v>700</v>
      </c>
      <c r="DW77" s="228">
        <v>0.39</v>
      </c>
      <c r="DX77" s="228">
        <v>0.33</v>
      </c>
      <c r="DY77" s="228">
        <v>0.06</v>
      </c>
      <c r="DZ77" s="229">
        <v>0.18179999999999999</v>
      </c>
      <c r="EA77" s="229">
        <v>4.9000000000000002E-2</v>
      </c>
      <c r="EB77" s="230">
        <v>1313400</v>
      </c>
      <c r="EC77" s="229">
        <v>6.1999999999999998E-3</v>
      </c>
      <c r="ED77" s="229">
        <v>4.9000000000000002E-2</v>
      </c>
      <c r="EE77" s="228">
        <v>4.43</v>
      </c>
      <c r="EF77" s="229">
        <v>6.3E-3</v>
      </c>
      <c r="EG77" s="230">
        <v>1130299</v>
      </c>
      <c r="EH77" s="230">
        <v>1717488</v>
      </c>
      <c r="EI77" s="229">
        <v>-0.34189999999999998</v>
      </c>
      <c r="EJ77" s="229">
        <v>0.59089999999999998</v>
      </c>
      <c r="EK77" s="228">
        <v>676.37</v>
      </c>
      <c r="EL77" s="228">
        <v>253.48</v>
      </c>
      <c r="EM77" s="228">
        <v>280.25</v>
      </c>
      <c r="EN77" s="228">
        <v>35.46</v>
      </c>
      <c r="EO77" s="231">
        <v>1210.0999999999999</v>
      </c>
      <c r="EP77" s="231">
        <v>1141.69</v>
      </c>
      <c r="EQ77" s="228">
        <v>68.41</v>
      </c>
      <c r="ER77" s="229">
        <v>5.9900000000000002E-2</v>
      </c>
      <c r="ES77" s="231">
        <v>1192.78</v>
      </c>
      <c r="ET77" s="228">
        <v>472.26</v>
      </c>
      <c r="EU77" s="231">
        <v>2716.67</v>
      </c>
      <c r="EV77" s="231">
        <v>128849634</v>
      </c>
      <c r="EW77" s="231">
        <v>4381.71</v>
      </c>
      <c r="EX77" s="231">
        <v>4303.43</v>
      </c>
      <c r="EY77" s="228">
        <v>78.28</v>
      </c>
      <c r="EZ77" s="229">
        <v>1.8200000000000001E-2</v>
      </c>
      <c r="FA77" s="229">
        <v>0.47660000000000002</v>
      </c>
      <c r="FB77" s="227" t="s">
        <v>567</v>
      </c>
      <c r="FC77">
        <f t="shared" si="1"/>
        <v>133</v>
      </c>
    </row>
    <row r="78" spans="1:159" ht="17.25" hidden="1" thickBot="1" x14ac:dyDescent="0.3">
      <c r="A78" s="226">
        <v>46064</v>
      </c>
      <c r="B78" s="227" t="s">
        <v>162</v>
      </c>
      <c r="C78" s="227" t="s">
        <v>226</v>
      </c>
      <c r="D78" s="228">
        <v>150</v>
      </c>
      <c r="E78" s="228">
        <v>13</v>
      </c>
      <c r="F78" s="231">
        <v>5700.5</v>
      </c>
      <c r="G78" s="231">
        <v>5664</v>
      </c>
      <c r="H78" s="228">
        <v>36.5</v>
      </c>
      <c r="I78" s="229">
        <v>6.4000000000000003E-3</v>
      </c>
      <c r="J78" s="231">
        <v>5682.5</v>
      </c>
      <c r="K78" s="231">
        <v>5753.5</v>
      </c>
      <c r="L78" s="228">
        <v>-71</v>
      </c>
      <c r="M78" s="229">
        <v>-1.23E-2</v>
      </c>
      <c r="N78" s="231">
        <v>5700.5</v>
      </c>
      <c r="O78" s="231">
        <v>5664</v>
      </c>
      <c r="P78" s="228">
        <v>36.5</v>
      </c>
      <c r="Q78" s="229">
        <v>6.4000000000000003E-3</v>
      </c>
      <c r="R78" s="231">
        <v>5734.5</v>
      </c>
      <c r="S78" s="231">
        <v>5695</v>
      </c>
      <c r="T78" s="228">
        <v>39.5</v>
      </c>
      <c r="U78" s="229">
        <v>6.8999999999999999E-3</v>
      </c>
      <c r="V78" s="231">
        <v>5772</v>
      </c>
      <c r="W78" s="231">
        <v>5726.5</v>
      </c>
      <c r="X78" s="228">
        <v>45.5</v>
      </c>
      <c r="Y78" s="229">
        <v>7.9000000000000008E-3</v>
      </c>
      <c r="Z78" s="228">
        <v>18</v>
      </c>
      <c r="AA78" s="228">
        <v>-89.5</v>
      </c>
      <c r="AB78" s="228">
        <v>107.5</v>
      </c>
      <c r="AC78" s="229">
        <v>3.2000000000000002E-3</v>
      </c>
      <c r="AD78" s="228">
        <v>18</v>
      </c>
      <c r="AE78" s="228">
        <v>-89.5</v>
      </c>
      <c r="AF78" s="228">
        <v>107.5</v>
      </c>
      <c r="AG78" s="229">
        <v>3.2000000000000002E-3</v>
      </c>
      <c r="AH78" s="228">
        <v>52</v>
      </c>
      <c r="AI78" s="228">
        <v>-58.5</v>
      </c>
      <c r="AJ78" s="228">
        <v>110.5</v>
      </c>
      <c r="AK78" s="229">
        <v>9.1999999999999998E-3</v>
      </c>
      <c r="AL78" s="228">
        <v>89.5</v>
      </c>
      <c r="AM78" s="228">
        <v>-27</v>
      </c>
      <c r="AN78" s="228">
        <v>116.5</v>
      </c>
      <c r="AO78" s="229">
        <v>1.5800000000000002E-2</v>
      </c>
      <c r="AP78" s="231">
        <v>5690.31</v>
      </c>
      <c r="AQ78" s="231">
        <v>5739.36</v>
      </c>
      <c r="AR78" s="228">
        <v>0</v>
      </c>
      <c r="AS78" s="228">
        <v>946</v>
      </c>
      <c r="AT78" s="228">
        <v>678</v>
      </c>
      <c r="AU78" s="228">
        <v>268</v>
      </c>
      <c r="AV78" s="229">
        <v>0.39460000000000001</v>
      </c>
      <c r="AW78" s="228">
        <v>900</v>
      </c>
      <c r="AX78" s="228">
        <v>651</v>
      </c>
      <c r="AY78" s="228">
        <v>249</v>
      </c>
      <c r="AZ78" s="229">
        <v>0.38159999999999999</v>
      </c>
      <c r="BA78" s="228">
        <v>41</v>
      </c>
      <c r="BB78" s="228">
        <v>26</v>
      </c>
      <c r="BC78" s="228">
        <v>15</v>
      </c>
      <c r="BD78" s="229">
        <v>0.5867</v>
      </c>
      <c r="BE78" s="228">
        <v>5</v>
      </c>
      <c r="BF78" s="228">
        <v>1</v>
      </c>
      <c r="BG78" s="228">
        <v>4</v>
      </c>
      <c r="BH78" s="229">
        <v>3.1333000000000002</v>
      </c>
      <c r="BI78" s="230">
        <v>4949</v>
      </c>
      <c r="BJ78" s="230">
        <v>3499</v>
      </c>
      <c r="BK78" s="230">
        <v>1450</v>
      </c>
      <c r="BL78" s="229">
        <v>0.41439999999999999</v>
      </c>
      <c r="BM78" s="230">
        <v>1969</v>
      </c>
      <c r="BN78" s="230">
        <v>1172</v>
      </c>
      <c r="BO78" s="228">
        <v>797</v>
      </c>
      <c r="BP78" s="229">
        <v>0.68010000000000004</v>
      </c>
      <c r="BQ78" s="230">
        <v>7864</v>
      </c>
      <c r="BR78" s="230">
        <v>5349</v>
      </c>
      <c r="BS78" s="230">
        <v>2515</v>
      </c>
      <c r="BT78" s="229">
        <v>0.47010000000000002</v>
      </c>
      <c r="BU78" s="230">
        <v>696704</v>
      </c>
      <c r="BV78" s="230">
        <v>838236</v>
      </c>
      <c r="BW78" s="230">
        <v>-141532</v>
      </c>
      <c r="BX78" s="229">
        <v>-0.16880000000000001</v>
      </c>
      <c r="BY78" s="230">
        <v>2132</v>
      </c>
      <c r="BZ78" s="230">
        <v>2219</v>
      </c>
      <c r="CA78" s="228">
        <v>-87</v>
      </c>
      <c r="CB78" s="229">
        <v>-3.9E-2</v>
      </c>
      <c r="CC78" s="230">
        <v>2062</v>
      </c>
      <c r="CD78" s="230">
        <v>2156</v>
      </c>
      <c r="CE78" s="228">
        <v>-94</v>
      </c>
      <c r="CF78" s="229">
        <v>-4.3700000000000003E-2</v>
      </c>
      <c r="CG78" s="228">
        <v>63</v>
      </c>
      <c r="CH78" s="228">
        <v>57</v>
      </c>
      <c r="CI78" s="228">
        <v>7</v>
      </c>
      <c r="CJ78" s="229">
        <v>0.1208</v>
      </c>
      <c r="CK78" s="228">
        <v>7</v>
      </c>
      <c r="CL78" s="228">
        <v>6</v>
      </c>
      <c r="CM78" s="228">
        <v>1</v>
      </c>
      <c r="CN78" s="229">
        <v>0.12330000000000001</v>
      </c>
      <c r="CO78" s="230">
        <v>1828</v>
      </c>
      <c r="CP78" s="230">
        <v>2028</v>
      </c>
      <c r="CQ78" s="228">
        <v>-200</v>
      </c>
      <c r="CR78" s="229">
        <v>-9.8699999999999996E-2</v>
      </c>
      <c r="CS78" s="230">
        <v>1123</v>
      </c>
      <c r="CT78" s="230">
        <v>1127</v>
      </c>
      <c r="CU78" s="228">
        <v>-4</v>
      </c>
      <c r="CV78" s="229">
        <v>-3.5999999999999999E-3</v>
      </c>
      <c r="CW78" s="230">
        <v>5083</v>
      </c>
      <c r="CX78" s="230">
        <v>5374</v>
      </c>
      <c r="CY78" s="228">
        <v>-291</v>
      </c>
      <c r="CZ78" s="229">
        <v>-5.4100000000000002E-2</v>
      </c>
      <c r="DA78" s="228">
        <v>26.66</v>
      </c>
      <c r="DB78" s="228">
        <v>27.8</v>
      </c>
      <c r="DC78" s="228">
        <v>-1.1399999999999999</v>
      </c>
      <c r="DD78" s="228">
        <v>-1.1399999999999999</v>
      </c>
      <c r="DE78" s="228">
        <v>29.76</v>
      </c>
      <c r="DF78" s="228">
        <v>29.82</v>
      </c>
      <c r="DG78" s="228">
        <v>-3.1</v>
      </c>
      <c r="DH78" s="228">
        <v>-0.06</v>
      </c>
      <c r="DI78" s="228">
        <v>26.54</v>
      </c>
      <c r="DJ78" s="228">
        <v>27.8</v>
      </c>
      <c r="DK78" s="228">
        <v>-1.26</v>
      </c>
      <c r="DL78" s="228">
        <v>-1.26</v>
      </c>
      <c r="DM78" s="228">
        <v>26.96</v>
      </c>
      <c r="DN78" s="228">
        <v>27.8</v>
      </c>
      <c r="DO78" s="228">
        <v>-0.84</v>
      </c>
      <c r="DP78" s="228">
        <v>-0.84</v>
      </c>
      <c r="DQ78" s="228">
        <v>0.61</v>
      </c>
      <c r="DR78" s="228">
        <v>0.56000000000000005</v>
      </c>
      <c r="DS78" s="228">
        <v>0.05</v>
      </c>
      <c r="DT78" s="229">
        <v>8.9300000000000004E-2</v>
      </c>
      <c r="DU78" s="231">
        <v>5800</v>
      </c>
      <c r="DV78" s="231">
        <v>5700</v>
      </c>
      <c r="DW78" s="228">
        <v>0.4</v>
      </c>
      <c r="DX78" s="228">
        <v>0.33</v>
      </c>
      <c r="DY78" s="228">
        <v>7.0000000000000007E-2</v>
      </c>
      <c r="DZ78" s="229">
        <v>0.21210000000000001</v>
      </c>
      <c r="EA78" s="229">
        <v>3.3000000000000002E-2</v>
      </c>
      <c r="EB78" s="230">
        <v>110250</v>
      </c>
      <c r="EC78" s="229">
        <v>6.0000000000000001E-3</v>
      </c>
      <c r="ED78" s="229">
        <v>3.3000000000000002E-2</v>
      </c>
      <c r="EE78" s="228">
        <v>49.05</v>
      </c>
      <c r="EF78" s="229">
        <v>8.6E-3</v>
      </c>
      <c r="EG78" s="230">
        <v>242725</v>
      </c>
      <c r="EH78" s="230">
        <v>516703</v>
      </c>
      <c r="EI78" s="229">
        <v>-0.5302</v>
      </c>
      <c r="EJ78" s="229">
        <v>0.34839999999999999</v>
      </c>
      <c r="EK78" s="231">
        <v>5144.83</v>
      </c>
      <c r="EL78" s="231">
        <v>1939.69</v>
      </c>
      <c r="EM78" s="228">
        <v>944.71</v>
      </c>
      <c r="EN78" s="228">
        <v>74.86</v>
      </c>
      <c r="EO78" s="231">
        <v>8029.23</v>
      </c>
      <c r="EP78" s="231">
        <v>5471.99</v>
      </c>
      <c r="EQ78" s="231">
        <v>2557.2399999999998</v>
      </c>
      <c r="ER78" s="229">
        <v>0.46729999999999999</v>
      </c>
      <c r="ES78" s="231">
        <v>1910.7</v>
      </c>
      <c r="ET78" s="231">
        <v>1055.06</v>
      </c>
      <c r="EU78" s="231">
        <v>2132.85</v>
      </c>
      <c r="EV78" s="231">
        <v>19586951</v>
      </c>
      <c r="EW78" s="231">
        <v>5098.6099999999997</v>
      </c>
      <c r="EX78" s="231">
        <v>5381.18</v>
      </c>
      <c r="EY78" s="228">
        <v>-282.57</v>
      </c>
      <c r="EZ78" s="229">
        <v>-5.2499999999999998E-2</v>
      </c>
      <c r="FA78" s="229">
        <v>0.45529999999999998</v>
      </c>
      <c r="FB78" s="227" t="s">
        <v>556</v>
      </c>
      <c r="FC78">
        <f t="shared" si="1"/>
        <v>70</v>
      </c>
    </row>
    <row r="79" spans="1:159" ht="17.25" hidden="1" thickBot="1" x14ac:dyDescent="0.3">
      <c r="A79" s="226">
        <v>46064</v>
      </c>
      <c r="B79" s="227" t="s">
        <v>227</v>
      </c>
      <c r="C79" s="227" t="s">
        <v>228</v>
      </c>
      <c r="D79" s="228">
        <v>700</v>
      </c>
      <c r="E79" s="228">
        <v>13</v>
      </c>
      <c r="F79" s="228">
        <v>964.85</v>
      </c>
      <c r="G79" s="228">
        <v>968.2</v>
      </c>
      <c r="H79" s="228">
        <v>-3.35</v>
      </c>
      <c r="I79" s="229">
        <v>-3.5000000000000001E-3</v>
      </c>
      <c r="J79" s="228">
        <v>965.95</v>
      </c>
      <c r="K79" s="228">
        <v>968.9</v>
      </c>
      <c r="L79" s="228">
        <v>-2.95</v>
      </c>
      <c r="M79" s="229">
        <v>-3.0000000000000001E-3</v>
      </c>
      <c r="N79" s="228">
        <v>964.85</v>
      </c>
      <c r="O79" s="228">
        <v>968.2</v>
      </c>
      <c r="P79" s="228">
        <v>-3.35</v>
      </c>
      <c r="Q79" s="229">
        <v>-3.5000000000000001E-3</v>
      </c>
      <c r="R79" s="228">
        <v>970.5</v>
      </c>
      <c r="S79" s="228">
        <v>973.35</v>
      </c>
      <c r="T79" s="228">
        <v>-2.85</v>
      </c>
      <c r="U79" s="229">
        <v>-2.8999999999999998E-3</v>
      </c>
      <c r="V79" s="228">
        <v>976.1</v>
      </c>
      <c r="W79" s="228">
        <v>979.15</v>
      </c>
      <c r="X79" s="228">
        <v>-3.05</v>
      </c>
      <c r="Y79" s="229">
        <v>-3.0999999999999999E-3</v>
      </c>
      <c r="Z79" s="228">
        <v>-1.1000000000000001</v>
      </c>
      <c r="AA79" s="228">
        <v>-0.7</v>
      </c>
      <c r="AB79" s="228">
        <v>-0.4</v>
      </c>
      <c r="AC79" s="229">
        <v>-1.1000000000000001E-3</v>
      </c>
      <c r="AD79" s="228">
        <v>-1.1000000000000001</v>
      </c>
      <c r="AE79" s="228">
        <v>-0.7</v>
      </c>
      <c r="AF79" s="228">
        <v>-0.4</v>
      </c>
      <c r="AG79" s="229">
        <v>-1.1000000000000001E-3</v>
      </c>
      <c r="AH79" s="228">
        <v>4.55</v>
      </c>
      <c r="AI79" s="228">
        <v>4.45</v>
      </c>
      <c r="AJ79" s="228">
        <v>0.1</v>
      </c>
      <c r="AK79" s="229">
        <v>4.7000000000000002E-3</v>
      </c>
      <c r="AL79" s="228">
        <v>10.15</v>
      </c>
      <c r="AM79" s="228">
        <v>10.25</v>
      </c>
      <c r="AN79" s="228">
        <v>-0.1</v>
      </c>
      <c r="AO79" s="229">
        <v>1.0500000000000001E-2</v>
      </c>
      <c r="AP79" s="228">
        <v>958.89</v>
      </c>
      <c r="AQ79" s="228">
        <v>962.48</v>
      </c>
      <c r="AR79" s="228">
        <v>0</v>
      </c>
      <c r="AS79" s="230">
        <v>1159</v>
      </c>
      <c r="AT79" s="228">
        <v>579</v>
      </c>
      <c r="AU79" s="228">
        <v>580</v>
      </c>
      <c r="AV79" s="229">
        <v>1.002</v>
      </c>
      <c r="AW79" s="230">
        <v>1063</v>
      </c>
      <c r="AX79" s="228">
        <v>540</v>
      </c>
      <c r="AY79" s="228">
        <v>523</v>
      </c>
      <c r="AZ79" s="229">
        <v>0.96960000000000002</v>
      </c>
      <c r="BA79" s="228">
        <v>91</v>
      </c>
      <c r="BB79" s="228">
        <v>36</v>
      </c>
      <c r="BC79" s="228">
        <v>55</v>
      </c>
      <c r="BD79" s="229">
        <v>1.5482</v>
      </c>
      <c r="BE79" s="228">
        <v>6</v>
      </c>
      <c r="BF79" s="228">
        <v>4</v>
      </c>
      <c r="BG79" s="228">
        <v>2</v>
      </c>
      <c r="BH79" s="229">
        <v>0.47370000000000001</v>
      </c>
      <c r="BI79" s="230">
        <v>2280</v>
      </c>
      <c r="BJ79" s="230">
        <v>1376</v>
      </c>
      <c r="BK79" s="228">
        <v>904</v>
      </c>
      <c r="BL79" s="229">
        <v>0.65680000000000005</v>
      </c>
      <c r="BM79" s="230">
        <v>1352</v>
      </c>
      <c r="BN79" s="228">
        <v>612</v>
      </c>
      <c r="BO79" s="228">
        <v>739</v>
      </c>
      <c r="BP79" s="229">
        <v>1.2079</v>
      </c>
      <c r="BQ79" s="230">
        <v>4791</v>
      </c>
      <c r="BR79" s="230">
        <v>2568</v>
      </c>
      <c r="BS79" s="230">
        <v>2224</v>
      </c>
      <c r="BT79" s="229">
        <v>0.86609999999999998</v>
      </c>
      <c r="BU79" s="230">
        <v>6426219</v>
      </c>
      <c r="BV79" s="230">
        <v>4299409</v>
      </c>
      <c r="BW79" s="230">
        <v>2126810</v>
      </c>
      <c r="BX79" s="229">
        <v>0.49469999999999997</v>
      </c>
      <c r="BY79" s="230">
        <v>4463</v>
      </c>
      <c r="BZ79" s="230">
        <v>4391</v>
      </c>
      <c r="CA79" s="228">
        <v>72</v>
      </c>
      <c r="CB79" s="229">
        <v>1.6400000000000001E-2</v>
      </c>
      <c r="CC79" s="230">
        <v>4188</v>
      </c>
      <c r="CD79" s="230">
        <v>4158</v>
      </c>
      <c r="CE79" s="228">
        <v>30</v>
      </c>
      <c r="CF79" s="229">
        <v>7.1000000000000004E-3</v>
      </c>
      <c r="CG79" s="228">
        <v>258</v>
      </c>
      <c r="CH79" s="228">
        <v>217</v>
      </c>
      <c r="CI79" s="228">
        <v>41</v>
      </c>
      <c r="CJ79" s="229">
        <v>0.18809999999999999</v>
      </c>
      <c r="CK79" s="228">
        <v>17</v>
      </c>
      <c r="CL79" s="228">
        <v>16</v>
      </c>
      <c r="CM79" s="228">
        <v>2</v>
      </c>
      <c r="CN79" s="229">
        <v>0.1026</v>
      </c>
      <c r="CO79" s="230">
        <v>1297</v>
      </c>
      <c r="CP79" s="230">
        <v>1209</v>
      </c>
      <c r="CQ79" s="228">
        <v>88</v>
      </c>
      <c r="CR79" s="229">
        <v>7.3099999999999998E-2</v>
      </c>
      <c r="CS79" s="230">
        <v>1031</v>
      </c>
      <c r="CT79" s="228">
        <v>904</v>
      </c>
      <c r="CU79" s="228">
        <v>127</v>
      </c>
      <c r="CV79" s="229">
        <v>0.1409</v>
      </c>
      <c r="CW79" s="230">
        <v>6792</v>
      </c>
      <c r="CX79" s="230">
        <v>6504</v>
      </c>
      <c r="CY79" s="228">
        <v>288</v>
      </c>
      <c r="CZ79" s="229">
        <v>4.4299999999999999E-2</v>
      </c>
      <c r="DA79" s="228">
        <v>46.57</v>
      </c>
      <c r="DB79" s="228">
        <v>42.82</v>
      </c>
      <c r="DC79" s="228">
        <v>3.75</v>
      </c>
      <c r="DD79" s="228">
        <v>3.75</v>
      </c>
      <c r="DE79" s="228">
        <v>34.479999999999997</v>
      </c>
      <c r="DF79" s="228">
        <v>34.57</v>
      </c>
      <c r="DG79" s="228">
        <v>12.09</v>
      </c>
      <c r="DH79" s="228">
        <v>-0.09</v>
      </c>
      <c r="DI79" s="228">
        <v>46.37</v>
      </c>
      <c r="DJ79" s="228">
        <v>42.64</v>
      </c>
      <c r="DK79" s="228">
        <v>3.73</v>
      </c>
      <c r="DL79" s="228">
        <v>3.73</v>
      </c>
      <c r="DM79" s="228">
        <v>46.92</v>
      </c>
      <c r="DN79" s="228">
        <v>43.23</v>
      </c>
      <c r="DO79" s="228">
        <v>3.69</v>
      </c>
      <c r="DP79" s="228">
        <v>3.69</v>
      </c>
      <c r="DQ79" s="228">
        <v>0.8</v>
      </c>
      <c r="DR79" s="228">
        <v>0.75</v>
      </c>
      <c r="DS79" s="228">
        <v>0.05</v>
      </c>
      <c r="DT79" s="229">
        <v>6.6699999999999995E-2</v>
      </c>
      <c r="DU79" s="231">
        <v>1000</v>
      </c>
      <c r="DV79" s="228">
        <v>900</v>
      </c>
      <c r="DW79" s="228">
        <v>0.59</v>
      </c>
      <c r="DX79" s="228">
        <v>0.44</v>
      </c>
      <c r="DY79" s="228">
        <v>0.15</v>
      </c>
      <c r="DZ79" s="229">
        <v>0.34089999999999998</v>
      </c>
      <c r="EA79" s="229">
        <v>6.1699999999999998E-2</v>
      </c>
      <c r="EB79" s="230">
        <v>2415700</v>
      </c>
      <c r="EC79" s="229">
        <v>5.8999999999999999E-3</v>
      </c>
      <c r="ED79" s="229">
        <v>6.1699999999999998E-2</v>
      </c>
      <c r="EE79" s="228">
        <v>3.59</v>
      </c>
      <c r="EF79" s="229">
        <v>3.7000000000000002E-3</v>
      </c>
      <c r="EG79" s="230">
        <v>3658635</v>
      </c>
      <c r="EH79" s="230">
        <v>2389792</v>
      </c>
      <c r="EI79" s="229">
        <v>0.53090000000000004</v>
      </c>
      <c r="EJ79" s="229">
        <v>0.56930000000000003</v>
      </c>
      <c r="EK79" s="231">
        <v>2397.19</v>
      </c>
      <c r="EL79" s="231">
        <v>1339.71</v>
      </c>
      <c r="EM79" s="231">
        <v>1152.55</v>
      </c>
      <c r="EN79" s="228">
        <v>95.54</v>
      </c>
      <c r="EO79" s="231">
        <v>4889.45</v>
      </c>
      <c r="EP79" s="231">
        <v>2643.87</v>
      </c>
      <c r="EQ79" s="231">
        <v>2245.58</v>
      </c>
      <c r="ER79" s="229">
        <v>0.84940000000000004</v>
      </c>
      <c r="ES79" s="231">
        <v>1346.51</v>
      </c>
      <c r="ET79" s="228">
        <v>977.05</v>
      </c>
      <c r="EU79" s="231">
        <v>4465</v>
      </c>
      <c r="EV79" s="231">
        <v>212176873</v>
      </c>
      <c r="EW79" s="231">
        <v>6788.55</v>
      </c>
      <c r="EX79" s="231">
        <v>6514.59</v>
      </c>
      <c r="EY79" s="228">
        <v>273.95999999999998</v>
      </c>
      <c r="EZ79" s="229">
        <v>4.2099999999999999E-2</v>
      </c>
      <c r="FA79" s="229">
        <v>0.33179999999999998</v>
      </c>
      <c r="FB79" s="227" t="s">
        <v>567</v>
      </c>
      <c r="FC79">
        <f t="shared" si="1"/>
        <v>275</v>
      </c>
    </row>
    <row r="80" spans="1:159" ht="17.25" hidden="1" thickBot="1" x14ac:dyDescent="0.3">
      <c r="A80" s="226">
        <v>46064</v>
      </c>
      <c r="B80" s="227" t="s">
        <v>193</v>
      </c>
      <c r="C80" s="227" t="s">
        <v>229</v>
      </c>
      <c r="D80" s="228">
        <v>2025</v>
      </c>
      <c r="E80" s="228">
        <v>13</v>
      </c>
      <c r="F80" s="228">
        <v>462.1</v>
      </c>
      <c r="G80" s="228">
        <v>462.25</v>
      </c>
      <c r="H80" s="228">
        <v>-0.15</v>
      </c>
      <c r="I80" s="229">
        <v>-2.9999999999999997E-4</v>
      </c>
      <c r="J80" s="228">
        <v>461.75</v>
      </c>
      <c r="K80" s="228">
        <v>461.25</v>
      </c>
      <c r="L80" s="228">
        <v>0.5</v>
      </c>
      <c r="M80" s="229">
        <v>1.1000000000000001E-3</v>
      </c>
      <c r="N80" s="228">
        <v>462.1</v>
      </c>
      <c r="O80" s="228">
        <v>462.25</v>
      </c>
      <c r="P80" s="228">
        <v>-0.15</v>
      </c>
      <c r="Q80" s="229">
        <v>-2.9999999999999997E-4</v>
      </c>
      <c r="R80" s="228">
        <v>464.7</v>
      </c>
      <c r="S80" s="228">
        <v>464.85</v>
      </c>
      <c r="T80" s="228">
        <v>-0.15</v>
      </c>
      <c r="U80" s="229">
        <v>-2.9999999999999997E-4</v>
      </c>
      <c r="V80" s="228">
        <v>466</v>
      </c>
      <c r="W80" s="228">
        <v>466.2</v>
      </c>
      <c r="X80" s="228">
        <v>-0.2</v>
      </c>
      <c r="Y80" s="229">
        <v>-4.0000000000000002E-4</v>
      </c>
      <c r="Z80" s="228">
        <v>0.35</v>
      </c>
      <c r="AA80" s="228">
        <v>1</v>
      </c>
      <c r="AB80" s="228">
        <v>-0.65</v>
      </c>
      <c r="AC80" s="229">
        <v>8.0000000000000004E-4</v>
      </c>
      <c r="AD80" s="228">
        <v>0.35</v>
      </c>
      <c r="AE80" s="228">
        <v>1</v>
      </c>
      <c r="AF80" s="228">
        <v>-0.65</v>
      </c>
      <c r="AG80" s="229">
        <v>8.0000000000000004E-4</v>
      </c>
      <c r="AH80" s="228">
        <v>2.95</v>
      </c>
      <c r="AI80" s="228">
        <v>3.6</v>
      </c>
      <c r="AJ80" s="228">
        <v>-0.65</v>
      </c>
      <c r="AK80" s="229">
        <v>6.4000000000000003E-3</v>
      </c>
      <c r="AL80" s="228">
        <v>4.25</v>
      </c>
      <c r="AM80" s="228">
        <v>4.95</v>
      </c>
      <c r="AN80" s="228">
        <v>-0.7</v>
      </c>
      <c r="AO80" s="229">
        <v>9.1999999999999998E-3</v>
      </c>
      <c r="AP80" s="228">
        <v>462.95</v>
      </c>
      <c r="AQ80" s="228">
        <v>465.76</v>
      </c>
      <c r="AR80" s="228">
        <v>0</v>
      </c>
      <c r="AS80" s="228">
        <v>210</v>
      </c>
      <c r="AT80" s="228">
        <v>197</v>
      </c>
      <c r="AU80" s="228">
        <v>13</v>
      </c>
      <c r="AV80" s="229">
        <v>6.3600000000000004E-2</v>
      </c>
      <c r="AW80" s="228">
        <v>196</v>
      </c>
      <c r="AX80" s="228">
        <v>189</v>
      </c>
      <c r="AY80" s="228">
        <v>7</v>
      </c>
      <c r="AZ80" s="229">
        <v>3.61E-2</v>
      </c>
      <c r="BA80" s="228">
        <v>12</v>
      </c>
      <c r="BB80" s="228">
        <v>7</v>
      </c>
      <c r="BC80" s="228">
        <v>5</v>
      </c>
      <c r="BD80" s="229">
        <v>0.72</v>
      </c>
      <c r="BE80" s="228">
        <v>2</v>
      </c>
      <c r="BF80" s="228">
        <v>1</v>
      </c>
      <c r="BG80" s="228">
        <v>1</v>
      </c>
      <c r="BH80" s="229">
        <v>0.7</v>
      </c>
      <c r="BI80" s="228">
        <v>675</v>
      </c>
      <c r="BJ80" s="228">
        <v>624</v>
      </c>
      <c r="BK80" s="228">
        <v>51</v>
      </c>
      <c r="BL80" s="229">
        <v>8.1699999999999995E-2</v>
      </c>
      <c r="BM80" s="228">
        <v>191</v>
      </c>
      <c r="BN80" s="228">
        <v>240</v>
      </c>
      <c r="BO80" s="228">
        <v>-49</v>
      </c>
      <c r="BP80" s="229">
        <v>-0.2031</v>
      </c>
      <c r="BQ80" s="230">
        <v>1076</v>
      </c>
      <c r="BR80" s="230">
        <v>1062</v>
      </c>
      <c r="BS80" s="228">
        <v>15</v>
      </c>
      <c r="BT80" s="229">
        <v>1.3899999999999999E-2</v>
      </c>
      <c r="BU80" s="230">
        <v>3070406</v>
      </c>
      <c r="BV80" s="230">
        <v>2751252</v>
      </c>
      <c r="BW80" s="230">
        <v>319154</v>
      </c>
      <c r="BX80" s="229">
        <v>0.11600000000000001</v>
      </c>
      <c r="BY80" s="230">
        <v>1800</v>
      </c>
      <c r="BZ80" s="230">
        <v>1788</v>
      </c>
      <c r="CA80" s="228">
        <v>12</v>
      </c>
      <c r="CB80" s="229">
        <v>6.4999999999999997E-3</v>
      </c>
      <c r="CC80" s="230">
        <v>1758</v>
      </c>
      <c r="CD80" s="230">
        <v>1751</v>
      </c>
      <c r="CE80" s="228">
        <v>8</v>
      </c>
      <c r="CF80" s="229">
        <v>4.4999999999999997E-3</v>
      </c>
      <c r="CG80" s="228">
        <v>35</v>
      </c>
      <c r="CH80" s="228">
        <v>32</v>
      </c>
      <c r="CI80" s="228">
        <v>3</v>
      </c>
      <c r="CJ80" s="229">
        <v>9.5699999999999993E-2</v>
      </c>
      <c r="CK80" s="228">
        <v>6</v>
      </c>
      <c r="CL80" s="228">
        <v>5</v>
      </c>
      <c r="CM80" s="228">
        <v>1</v>
      </c>
      <c r="CN80" s="229">
        <v>0.1071</v>
      </c>
      <c r="CO80" s="228">
        <v>744</v>
      </c>
      <c r="CP80" s="228">
        <v>740</v>
      </c>
      <c r="CQ80" s="228">
        <v>4</v>
      </c>
      <c r="CR80" s="229">
        <v>5.3E-3</v>
      </c>
      <c r="CS80" s="228">
        <v>491</v>
      </c>
      <c r="CT80" s="228">
        <v>496</v>
      </c>
      <c r="CU80" s="228">
        <v>-5</v>
      </c>
      <c r="CV80" s="229">
        <v>-1.06E-2</v>
      </c>
      <c r="CW80" s="230">
        <v>3034</v>
      </c>
      <c r="CX80" s="230">
        <v>3024</v>
      </c>
      <c r="CY80" s="228">
        <v>10</v>
      </c>
      <c r="CZ80" s="229">
        <v>3.3999999999999998E-3</v>
      </c>
      <c r="DA80" s="228">
        <v>31.66</v>
      </c>
      <c r="DB80" s="228">
        <v>33.130000000000003</v>
      </c>
      <c r="DC80" s="228">
        <v>-1.47</v>
      </c>
      <c r="DD80" s="228">
        <v>-1.47</v>
      </c>
      <c r="DE80" s="228">
        <v>38.56</v>
      </c>
      <c r="DF80" s="228">
        <v>38.659999999999997</v>
      </c>
      <c r="DG80" s="228">
        <v>-6.9</v>
      </c>
      <c r="DH80" s="228">
        <v>-0.1</v>
      </c>
      <c r="DI80" s="228">
        <v>31.28</v>
      </c>
      <c r="DJ80" s="228">
        <v>32.57</v>
      </c>
      <c r="DK80" s="228">
        <v>-1.29</v>
      </c>
      <c r="DL80" s="228">
        <v>-1.29</v>
      </c>
      <c r="DM80" s="228">
        <v>33</v>
      </c>
      <c r="DN80" s="228">
        <v>34.6</v>
      </c>
      <c r="DO80" s="228">
        <v>-1.6</v>
      </c>
      <c r="DP80" s="228">
        <v>-1.6</v>
      </c>
      <c r="DQ80" s="228">
        <v>0.66</v>
      </c>
      <c r="DR80" s="228">
        <v>0.67</v>
      </c>
      <c r="DS80" s="228">
        <v>-0.01</v>
      </c>
      <c r="DT80" s="229">
        <v>-1.49E-2</v>
      </c>
      <c r="DU80" s="228">
        <v>460</v>
      </c>
      <c r="DV80" s="228">
        <v>450</v>
      </c>
      <c r="DW80" s="228">
        <v>0.28000000000000003</v>
      </c>
      <c r="DX80" s="228">
        <v>0.38</v>
      </c>
      <c r="DY80" s="228">
        <v>-0.1</v>
      </c>
      <c r="DZ80" s="229">
        <v>-0.26319999999999999</v>
      </c>
      <c r="EA80" s="229">
        <v>2.29E-2</v>
      </c>
      <c r="EB80" s="230">
        <v>812025</v>
      </c>
      <c r="EC80" s="229">
        <v>5.5999999999999999E-3</v>
      </c>
      <c r="ED80" s="229">
        <v>2.29E-2</v>
      </c>
      <c r="EE80" s="228">
        <v>2.81</v>
      </c>
      <c r="EF80" s="229">
        <v>6.1000000000000004E-3</v>
      </c>
      <c r="EG80" s="230">
        <v>1514192</v>
      </c>
      <c r="EH80" s="230">
        <v>1143261</v>
      </c>
      <c r="EI80" s="229">
        <v>0.32440000000000002</v>
      </c>
      <c r="EJ80" s="229">
        <v>0.49320000000000003</v>
      </c>
      <c r="EK80" s="228">
        <v>705.44</v>
      </c>
      <c r="EL80" s="228">
        <v>187.01</v>
      </c>
      <c r="EM80" s="228">
        <v>210.28</v>
      </c>
      <c r="EN80" s="228">
        <v>32.130000000000003</v>
      </c>
      <c r="EO80" s="231">
        <v>1102.73</v>
      </c>
      <c r="EP80" s="231">
        <v>1086.83</v>
      </c>
      <c r="EQ80" s="228">
        <v>15.9</v>
      </c>
      <c r="ER80" s="229">
        <v>1.46E-2</v>
      </c>
      <c r="ES80" s="228">
        <v>759.85</v>
      </c>
      <c r="ET80" s="228">
        <v>459.51</v>
      </c>
      <c r="EU80" s="231">
        <v>1799.89</v>
      </c>
      <c r="EV80" s="231">
        <v>143933168</v>
      </c>
      <c r="EW80" s="231">
        <v>3019.25</v>
      </c>
      <c r="EX80" s="231">
        <v>3009.08</v>
      </c>
      <c r="EY80" s="228">
        <v>10.17</v>
      </c>
      <c r="EZ80" s="229">
        <v>3.3999999999999998E-3</v>
      </c>
      <c r="FA80" s="229">
        <v>0.45619999999999999</v>
      </c>
      <c r="FB80" s="227" t="s">
        <v>567</v>
      </c>
      <c r="FC80">
        <f t="shared" si="1"/>
        <v>42</v>
      </c>
    </row>
    <row r="81" spans="1:159" ht="17.25" hidden="1" thickBot="1" x14ac:dyDescent="0.3">
      <c r="A81" s="226">
        <v>46064</v>
      </c>
      <c r="B81" s="227" t="s">
        <v>168</v>
      </c>
      <c r="C81" s="227" t="s">
        <v>230</v>
      </c>
      <c r="D81" s="228">
        <v>300</v>
      </c>
      <c r="E81" s="228">
        <v>13</v>
      </c>
      <c r="F81" s="231">
        <v>2469.1999999999998</v>
      </c>
      <c r="G81" s="231">
        <v>2454.1999999999998</v>
      </c>
      <c r="H81" s="228">
        <v>15</v>
      </c>
      <c r="I81" s="229">
        <v>6.1000000000000004E-3</v>
      </c>
      <c r="J81" s="231">
        <v>2462.9</v>
      </c>
      <c r="K81" s="231">
        <v>2453.6</v>
      </c>
      <c r="L81" s="228">
        <v>9.3000000000000007</v>
      </c>
      <c r="M81" s="229">
        <v>3.8E-3</v>
      </c>
      <c r="N81" s="231">
        <v>2469.1999999999998</v>
      </c>
      <c r="O81" s="231">
        <v>2454.1999999999998</v>
      </c>
      <c r="P81" s="228">
        <v>15</v>
      </c>
      <c r="Q81" s="229">
        <v>6.1000000000000004E-3</v>
      </c>
      <c r="R81" s="231">
        <v>2481.5</v>
      </c>
      <c r="S81" s="231">
        <v>2467.4</v>
      </c>
      <c r="T81" s="228">
        <v>14.1</v>
      </c>
      <c r="U81" s="229">
        <v>5.7000000000000002E-3</v>
      </c>
      <c r="V81" s="231">
        <v>2494.6</v>
      </c>
      <c r="W81" s="231">
        <v>2483.6999999999998</v>
      </c>
      <c r="X81" s="228">
        <v>10.9</v>
      </c>
      <c r="Y81" s="229">
        <v>4.4000000000000003E-3</v>
      </c>
      <c r="Z81" s="228">
        <v>6.3</v>
      </c>
      <c r="AA81" s="228">
        <v>0.6</v>
      </c>
      <c r="AB81" s="228">
        <v>5.7</v>
      </c>
      <c r="AC81" s="229">
        <v>2.5999999999999999E-3</v>
      </c>
      <c r="AD81" s="228">
        <v>6.3</v>
      </c>
      <c r="AE81" s="228">
        <v>0.6</v>
      </c>
      <c r="AF81" s="228">
        <v>5.7</v>
      </c>
      <c r="AG81" s="229">
        <v>2.5999999999999999E-3</v>
      </c>
      <c r="AH81" s="228">
        <v>18.600000000000001</v>
      </c>
      <c r="AI81" s="228">
        <v>13.8</v>
      </c>
      <c r="AJ81" s="228">
        <v>4.8</v>
      </c>
      <c r="AK81" s="229">
        <v>7.6E-3</v>
      </c>
      <c r="AL81" s="228">
        <v>31.7</v>
      </c>
      <c r="AM81" s="228">
        <v>30.1</v>
      </c>
      <c r="AN81" s="228">
        <v>1.6</v>
      </c>
      <c r="AO81" s="229">
        <v>1.29E-2</v>
      </c>
      <c r="AP81" s="231">
        <v>2464.9699999999998</v>
      </c>
      <c r="AQ81" s="231">
        <v>2477.59</v>
      </c>
      <c r="AR81" s="228">
        <v>0</v>
      </c>
      <c r="AS81" s="228">
        <v>416</v>
      </c>
      <c r="AT81" s="228">
        <v>302</v>
      </c>
      <c r="AU81" s="228">
        <v>114</v>
      </c>
      <c r="AV81" s="229">
        <v>0.37790000000000001</v>
      </c>
      <c r="AW81" s="228">
        <v>370</v>
      </c>
      <c r="AX81" s="228">
        <v>275</v>
      </c>
      <c r="AY81" s="228">
        <v>95</v>
      </c>
      <c r="AZ81" s="229">
        <v>0.34510000000000002</v>
      </c>
      <c r="BA81" s="228">
        <v>43</v>
      </c>
      <c r="BB81" s="228">
        <v>24</v>
      </c>
      <c r="BC81" s="228">
        <v>19</v>
      </c>
      <c r="BD81" s="229">
        <v>0.80689999999999995</v>
      </c>
      <c r="BE81" s="228">
        <v>4</v>
      </c>
      <c r="BF81" s="228">
        <v>4</v>
      </c>
      <c r="BG81" s="228">
        <v>0</v>
      </c>
      <c r="BH81" s="229">
        <v>4.1700000000000001E-2</v>
      </c>
      <c r="BI81" s="230">
        <v>2029</v>
      </c>
      <c r="BJ81" s="230">
        <v>1822</v>
      </c>
      <c r="BK81" s="228">
        <v>208</v>
      </c>
      <c r="BL81" s="229">
        <v>0.11409999999999999</v>
      </c>
      <c r="BM81" s="228">
        <v>886</v>
      </c>
      <c r="BN81" s="228">
        <v>672</v>
      </c>
      <c r="BO81" s="228">
        <v>213</v>
      </c>
      <c r="BP81" s="229">
        <v>0.3175</v>
      </c>
      <c r="BQ81" s="230">
        <v>3332</v>
      </c>
      <c r="BR81" s="230">
        <v>2796</v>
      </c>
      <c r="BS81" s="228">
        <v>535</v>
      </c>
      <c r="BT81" s="229">
        <v>0.1915</v>
      </c>
      <c r="BU81" s="230">
        <v>1191024</v>
      </c>
      <c r="BV81" s="230">
        <v>812491</v>
      </c>
      <c r="BW81" s="230">
        <v>378533</v>
      </c>
      <c r="BX81" s="229">
        <v>0.46589999999999998</v>
      </c>
      <c r="BY81" s="230">
        <v>3692</v>
      </c>
      <c r="BZ81" s="230">
        <v>3684</v>
      </c>
      <c r="CA81" s="228">
        <v>8</v>
      </c>
      <c r="CB81" s="229">
        <v>2.2000000000000001E-3</v>
      </c>
      <c r="CC81" s="230">
        <v>3583</v>
      </c>
      <c r="CD81" s="230">
        <v>3592</v>
      </c>
      <c r="CE81" s="228">
        <v>-9</v>
      </c>
      <c r="CF81" s="229">
        <v>-2.5000000000000001E-3</v>
      </c>
      <c r="CG81" s="228">
        <v>100</v>
      </c>
      <c r="CH81" s="228">
        <v>84</v>
      </c>
      <c r="CI81" s="228">
        <v>16</v>
      </c>
      <c r="CJ81" s="229">
        <v>0.19520000000000001</v>
      </c>
      <c r="CK81" s="228">
        <v>9</v>
      </c>
      <c r="CL81" s="228">
        <v>8</v>
      </c>
      <c r="CM81" s="228">
        <v>1</v>
      </c>
      <c r="CN81" s="229">
        <v>6.4799999999999996E-2</v>
      </c>
      <c r="CO81" s="230">
        <v>1393</v>
      </c>
      <c r="CP81" s="230">
        <v>1323</v>
      </c>
      <c r="CQ81" s="228">
        <v>71</v>
      </c>
      <c r="CR81" s="229">
        <v>5.33E-2</v>
      </c>
      <c r="CS81" s="230">
        <v>1002</v>
      </c>
      <c r="CT81" s="228">
        <v>928</v>
      </c>
      <c r="CU81" s="228">
        <v>74</v>
      </c>
      <c r="CV81" s="229">
        <v>0.08</v>
      </c>
      <c r="CW81" s="230">
        <v>6087</v>
      </c>
      <c r="CX81" s="230">
        <v>5935</v>
      </c>
      <c r="CY81" s="228">
        <v>153</v>
      </c>
      <c r="CZ81" s="229">
        <v>2.5700000000000001E-2</v>
      </c>
      <c r="DA81" s="228">
        <v>28.13</v>
      </c>
      <c r="DB81" s="228">
        <v>26.96</v>
      </c>
      <c r="DC81" s="228">
        <v>1.17</v>
      </c>
      <c r="DD81" s="228">
        <v>1.17</v>
      </c>
      <c r="DE81" s="228">
        <v>21.72</v>
      </c>
      <c r="DF81" s="228">
        <v>21.77</v>
      </c>
      <c r="DG81" s="228">
        <v>6.41</v>
      </c>
      <c r="DH81" s="228">
        <v>-0.05</v>
      </c>
      <c r="DI81" s="228">
        <v>27.63</v>
      </c>
      <c r="DJ81" s="228">
        <v>26.74</v>
      </c>
      <c r="DK81" s="228">
        <v>0.89</v>
      </c>
      <c r="DL81" s="228">
        <v>0.89</v>
      </c>
      <c r="DM81" s="228">
        <v>29.29</v>
      </c>
      <c r="DN81" s="228">
        <v>27.55</v>
      </c>
      <c r="DO81" s="228">
        <v>1.74</v>
      </c>
      <c r="DP81" s="228">
        <v>1.74</v>
      </c>
      <c r="DQ81" s="228">
        <v>0.72</v>
      </c>
      <c r="DR81" s="228">
        <v>0.7</v>
      </c>
      <c r="DS81" s="228">
        <v>0.02</v>
      </c>
      <c r="DT81" s="229">
        <v>2.86E-2</v>
      </c>
      <c r="DU81" s="231">
        <v>2500</v>
      </c>
      <c r="DV81" s="231">
        <v>2340</v>
      </c>
      <c r="DW81" s="228">
        <v>0.44</v>
      </c>
      <c r="DX81" s="228">
        <v>0.37</v>
      </c>
      <c r="DY81" s="228">
        <v>7.0000000000000007E-2</v>
      </c>
      <c r="DZ81" s="229">
        <v>0.18920000000000001</v>
      </c>
      <c r="EA81" s="229">
        <v>2.9499999999999998E-2</v>
      </c>
      <c r="EB81" s="230">
        <v>372000</v>
      </c>
      <c r="EC81" s="229">
        <v>5.0000000000000001E-3</v>
      </c>
      <c r="ED81" s="229">
        <v>2.9499999999999998E-2</v>
      </c>
      <c r="EE81" s="228">
        <v>12.62</v>
      </c>
      <c r="EF81" s="229">
        <v>5.1000000000000004E-3</v>
      </c>
      <c r="EG81" s="230">
        <v>744334</v>
      </c>
      <c r="EH81" s="230">
        <v>386167</v>
      </c>
      <c r="EI81" s="229">
        <v>0.92749999999999999</v>
      </c>
      <c r="EJ81" s="229">
        <v>0.625</v>
      </c>
      <c r="EK81" s="231">
        <v>2119.44</v>
      </c>
      <c r="EL81" s="228">
        <v>842.65</v>
      </c>
      <c r="EM81" s="228">
        <v>415.78</v>
      </c>
      <c r="EN81" s="228">
        <v>55.46</v>
      </c>
      <c r="EO81" s="231">
        <v>3377.88</v>
      </c>
      <c r="EP81" s="231">
        <v>2813.88</v>
      </c>
      <c r="EQ81" s="228">
        <v>564</v>
      </c>
      <c r="ER81" s="229">
        <v>0.20039999999999999</v>
      </c>
      <c r="ES81" s="231">
        <v>1424</v>
      </c>
      <c r="ET81" s="228">
        <v>932.95</v>
      </c>
      <c r="EU81" s="231">
        <v>3692.39</v>
      </c>
      <c r="EV81" s="231">
        <v>91001773</v>
      </c>
      <c r="EW81" s="231">
        <v>6049.33</v>
      </c>
      <c r="EX81" s="231">
        <v>5866.62</v>
      </c>
      <c r="EY81" s="228">
        <v>182.71</v>
      </c>
      <c r="EZ81" s="229">
        <v>3.1099999999999999E-2</v>
      </c>
      <c r="FA81" s="229">
        <v>0.27089999999999997</v>
      </c>
      <c r="FB81" s="227" t="s">
        <v>555</v>
      </c>
      <c r="FC81">
        <f t="shared" si="1"/>
        <v>109</v>
      </c>
    </row>
    <row r="82" spans="1:159" ht="17.25" hidden="1" thickBot="1" x14ac:dyDescent="0.3">
      <c r="A82" s="226">
        <v>46064</v>
      </c>
      <c r="B82" s="227" t="s">
        <v>227</v>
      </c>
      <c r="C82" s="227" t="s">
        <v>667</v>
      </c>
      <c r="D82" s="228">
        <v>1225</v>
      </c>
      <c r="E82" s="228">
        <v>13</v>
      </c>
      <c r="F82" s="228">
        <v>630.9</v>
      </c>
      <c r="G82" s="228">
        <v>619.54999999999995</v>
      </c>
      <c r="H82" s="228">
        <v>11.35</v>
      </c>
      <c r="I82" s="229">
        <v>1.83E-2</v>
      </c>
      <c r="J82" s="228">
        <v>628.54999999999995</v>
      </c>
      <c r="K82" s="228">
        <v>617.70000000000005</v>
      </c>
      <c r="L82" s="228">
        <v>10.85</v>
      </c>
      <c r="M82" s="229">
        <v>1.7600000000000001E-2</v>
      </c>
      <c r="N82" s="228">
        <v>630.9</v>
      </c>
      <c r="O82" s="228">
        <v>619.54999999999995</v>
      </c>
      <c r="P82" s="228">
        <v>11.35</v>
      </c>
      <c r="Q82" s="229">
        <v>1.83E-2</v>
      </c>
      <c r="R82" s="228">
        <v>634.9</v>
      </c>
      <c r="S82" s="228">
        <v>623.04999999999995</v>
      </c>
      <c r="T82" s="228">
        <v>11.85</v>
      </c>
      <c r="U82" s="229">
        <v>1.9E-2</v>
      </c>
      <c r="V82" s="228">
        <v>639</v>
      </c>
      <c r="W82" s="228">
        <v>626.9</v>
      </c>
      <c r="X82" s="228">
        <v>12.1</v>
      </c>
      <c r="Y82" s="229">
        <v>1.9300000000000001E-2</v>
      </c>
      <c r="Z82" s="228">
        <v>2.35</v>
      </c>
      <c r="AA82" s="228">
        <v>1.85</v>
      </c>
      <c r="AB82" s="228">
        <v>0.5</v>
      </c>
      <c r="AC82" s="229">
        <v>3.7000000000000002E-3</v>
      </c>
      <c r="AD82" s="228">
        <v>2.35</v>
      </c>
      <c r="AE82" s="228">
        <v>1.85</v>
      </c>
      <c r="AF82" s="228">
        <v>0.5</v>
      </c>
      <c r="AG82" s="229">
        <v>3.7000000000000002E-3</v>
      </c>
      <c r="AH82" s="228">
        <v>6.35</v>
      </c>
      <c r="AI82" s="228">
        <v>5.35</v>
      </c>
      <c r="AJ82" s="228">
        <v>1</v>
      </c>
      <c r="AK82" s="229">
        <v>1.01E-2</v>
      </c>
      <c r="AL82" s="228">
        <v>10.45</v>
      </c>
      <c r="AM82" s="228">
        <v>9.1999999999999993</v>
      </c>
      <c r="AN82" s="228">
        <v>1.25</v>
      </c>
      <c r="AO82" s="229">
        <v>1.66E-2</v>
      </c>
      <c r="AP82" s="228">
        <v>626.91999999999996</v>
      </c>
      <c r="AQ82" s="228">
        <v>630.17999999999995</v>
      </c>
      <c r="AR82" s="228">
        <v>0</v>
      </c>
      <c r="AS82" s="228">
        <v>601</v>
      </c>
      <c r="AT82" s="228">
        <v>540</v>
      </c>
      <c r="AU82" s="228">
        <v>61</v>
      </c>
      <c r="AV82" s="229">
        <v>0.1132</v>
      </c>
      <c r="AW82" s="228">
        <v>524</v>
      </c>
      <c r="AX82" s="228">
        <v>469</v>
      </c>
      <c r="AY82" s="228">
        <v>55</v>
      </c>
      <c r="AZ82" s="229">
        <v>0.11799999999999999</v>
      </c>
      <c r="BA82" s="228">
        <v>66</v>
      </c>
      <c r="BB82" s="228">
        <v>68</v>
      </c>
      <c r="BC82" s="228">
        <v>-1</v>
      </c>
      <c r="BD82" s="229">
        <v>-2.1600000000000001E-2</v>
      </c>
      <c r="BE82" s="228">
        <v>10</v>
      </c>
      <c r="BF82" s="228">
        <v>3</v>
      </c>
      <c r="BG82" s="228">
        <v>7</v>
      </c>
      <c r="BH82" s="229">
        <v>2.35</v>
      </c>
      <c r="BI82" s="230">
        <v>2814</v>
      </c>
      <c r="BJ82" s="230">
        <v>2950</v>
      </c>
      <c r="BK82" s="228">
        <v>-136</v>
      </c>
      <c r="BL82" s="229">
        <v>-4.6100000000000002E-2</v>
      </c>
      <c r="BM82" s="230">
        <v>1276</v>
      </c>
      <c r="BN82" s="230">
        <v>1616</v>
      </c>
      <c r="BO82" s="228">
        <v>-340</v>
      </c>
      <c r="BP82" s="229">
        <v>-0.21049999999999999</v>
      </c>
      <c r="BQ82" s="230">
        <v>4691</v>
      </c>
      <c r="BR82" s="230">
        <v>5106</v>
      </c>
      <c r="BS82" s="228">
        <v>-415</v>
      </c>
      <c r="BT82" s="229">
        <v>-8.1299999999999997E-2</v>
      </c>
      <c r="BU82" s="230">
        <v>6820900</v>
      </c>
      <c r="BV82" s="230">
        <v>8009522</v>
      </c>
      <c r="BW82" s="230">
        <v>-1188622</v>
      </c>
      <c r="BX82" s="229">
        <v>-0.1484</v>
      </c>
      <c r="BY82" s="230">
        <v>2446</v>
      </c>
      <c r="BZ82" s="230">
        <v>2489</v>
      </c>
      <c r="CA82" s="228">
        <v>-44</v>
      </c>
      <c r="CB82" s="229">
        <v>-1.7500000000000002E-2</v>
      </c>
      <c r="CC82" s="230">
        <v>2199</v>
      </c>
      <c r="CD82" s="230">
        <v>2242</v>
      </c>
      <c r="CE82" s="228">
        <v>-43</v>
      </c>
      <c r="CF82" s="229">
        <v>-1.9199999999999998E-2</v>
      </c>
      <c r="CG82" s="228">
        <v>205</v>
      </c>
      <c r="CH82" s="228">
        <v>203</v>
      </c>
      <c r="CI82" s="228">
        <v>2</v>
      </c>
      <c r="CJ82" s="229">
        <v>9.9000000000000008E-3</v>
      </c>
      <c r="CK82" s="228">
        <v>42</v>
      </c>
      <c r="CL82" s="228">
        <v>44</v>
      </c>
      <c r="CM82" s="228">
        <v>-2</v>
      </c>
      <c r="CN82" s="229">
        <v>-5.4199999999999998E-2</v>
      </c>
      <c r="CO82" s="230">
        <v>4280</v>
      </c>
      <c r="CP82" s="230">
        <v>4420</v>
      </c>
      <c r="CQ82" s="228">
        <v>-140</v>
      </c>
      <c r="CR82" s="229">
        <v>-3.1699999999999999E-2</v>
      </c>
      <c r="CS82" s="230">
        <v>2366</v>
      </c>
      <c r="CT82" s="230">
        <v>2399</v>
      </c>
      <c r="CU82" s="228">
        <v>-33</v>
      </c>
      <c r="CV82" s="229">
        <v>-1.37E-2</v>
      </c>
      <c r="CW82" s="230">
        <v>9092</v>
      </c>
      <c r="CX82" s="230">
        <v>9308</v>
      </c>
      <c r="CY82" s="228">
        <v>-216</v>
      </c>
      <c r="CZ82" s="229">
        <v>-2.3300000000000001E-2</v>
      </c>
      <c r="DA82" s="228">
        <v>45.66</v>
      </c>
      <c r="DB82" s="228">
        <v>48.15</v>
      </c>
      <c r="DC82" s="228">
        <v>-2.4900000000000002</v>
      </c>
      <c r="DD82" s="228">
        <v>-2.4900000000000002</v>
      </c>
      <c r="DE82" s="228">
        <v>50.58</v>
      </c>
      <c r="DF82" s="228">
        <v>50.65</v>
      </c>
      <c r="DG82" s="228">
        <v>-4.92</v>
      </c>
      <c r="DH82" s="228">
        <v>-7.0000000000000007E-2</v>
      </c>
      <c r="DI82" s="228">
        <v>46.23</v>
      </c>
      <c r="DJ82" s="228">
        <v>49.28</v>
      </c>
      <c r="DK82" s="228">
        <v>-3.05</v>
      </c>
      <c r="DL82" s="228">
        <v>-3.05</v>
      </c>
      <c r="DM82" s="228">
        <v>44.4</v>
      </c>
      <c r="DN82" s="228">
        <v>46.09</v>
      </c>
      <c r="DO82" s="228">
        <v>-1.69</v>
      </c>
      <c r="DP82" s="228">
        <v>-1.69</v>
      </c>
      <c r="DQ82" s="228">
        <v>0.55000000000000004</v>
      </c>
      <c r="DR82" s="228">
        <v>0.54</v>
      </c>
      <c r="DS82" s="228">
        <v>0.01</v>
      </c>
      <c r="DT82" s="229">
        <v>1.8499999999999999E-2</v>
      </c>
      <c r="DU82" s="228">
        <v>700</v>
      </c>
      <c r="DV82" s="228">
        <v>600</v>
      </c>
      <c r="DW82" s="228">
        <v>0.45</v>
      </c>
      <c r="DX82" s="228">
        <v>0.55000000000000004</v>
      </c>
      <c r="DY82" s="228">
        <v>-0.1</v>
      </c>
      <c r="DZ82" s="229">
        <v>-0.18179999999999999</v>
      </c>
      <c r="EA82" s="229">
        <v>0.10100000000000001</v>
      </c>
      <c r="EB82" s="230">
        <v>3922450</v>
      </c>
      <c r="EC82" s="229">
        <v>6.3E-3</v>
      </c>
      <c r="ED82" s="229">
        <v>0.10100000000000001</v>
      </c>
      <c r="EE82" s="228">
        <v>3.26</v>
      </c>
      <c r="EF82" s="229">
        <v>5.1999999999999998E-3</v>
      </c>
      <c r="EG82" s="230">
        <v>2016067</v>
      </c>
      <c r="EH82" s="230">
        <v>2462438</v>
      </c>
      <c r="EI82" s="229">
        <v>-0.18129999999999999</v>
      </c>
      <c r="EJ82" s="229">
        <v>0.29559999999999997</v>
      </c>
      <c r="EK82" s="231">
        <v>3028.4</v>
      </c>
      <c r="EL82" s="231">
        <v>1231.47</v>
      </c>
      <c r="EM82" s="228">
        <v>597.74</v>
      </c>
      <c r="EN82" s="228">
        <v>100.3</v>
      </c>
      <c r="EO82" s="231">
        <v>4857.6099999999997</v>
      </c>
      <c r="EP82" s="231">
        <v>5297.78</v>
      </c>
      <c r="EQ82" s="228">
        <v>-440.17</v>
      </c>
      <c r="ER82" s="229">
        <v>-8.3099999999999993E-2</v>
      </c>
      <c r="ES82" s="231">
        <v>4744.58</v>
      </c>
      <c r="ET82" s="231">
        <v>2301.09</v>
      </c>
      <c r="EU82" s="231">
        <v>2447.6799999999998</v>
      </c>
      <c r="EV82" s="231">
        <v>161247058</v>
      </c>
      <c r="EW82" s="231">
        <v>9493.35</v>
      </c>
      <c r="EX82" s="231">
        <v>9681.9599999999991</v>
      </c>
      <c r="EY82" s="228">
        <v>-188.61</v>
      </c>
      <c r="EZ82" s="229">
        <v>-1.95E-2</v>
      </c>
      <c r="FA82" s="229">
        <v>0.89370000000000005</v>
      </c>
      <c r="FB82" s="227" t="s">
        <v>556</v>
      </c>
      <c r="FC82">
        <f t="shared" si="1"/>
        <v>247</v>
      </c>
    </row>
    <row r="83" spans="1:159" ht="17.25" hidden="1" thickBot="1" x14ac:dyDescent="0.3">
      <c r="A83" s="226">
        <v>46064</v>
      </c>
      <c r="B83" s="227" t="s">
        <v>206</v>
      </c>
      <c r="C83" s="227" t="s">
        <v>608</v>
      </c>
      <c r="D83" s="228">
        <v>2775</v>
      </c>
      <c r="E83" s="228">
        <v>13</v>
      </c>
      <c r="F83" s="228">
        <v>193.89</v>
      </c>
      <c r="G83" s="228">
        <v>194.08</v>
      </c>
      <c r="H83" s="228">
        <v>-0.19</v>
      </c>
      <c r="I83" s="229">
        <v>-1E-3</v>
      </c>
      <c r="J83" s="228">
        <v>193.24</v>
      </c>
      <c r="K83" s="228">
        <v>193.91</v>
      </c>
      <c r="L83" s="228">
        <v>-0.67</v>
      </c>
      <c r="M83" s="229">
        <v>-3.5000000000000001E-3</v>
      </c>
      <c r="N83" s="228">
        <v>193.89</v>
      </c>
      <c r="O83" s="228">
        <v>194.08</v>
      </c>
      <c r="P83" s="228">
        <v>-0.19</v>
      </c>
      <c r="Q83" s="229">
        <v>-1E-3</v>
      </c>
      <c r="R83" s="228">
        <v>194.51</v>
      </c>
      <c r="S83" s="228">
        <v>195.1</v>
      </c>
      <c r="T83" s="228">
        <v>-0.59</v>
      </c>
      <c r="U83" s="229">
        <v>-3.0000000000000001E-3</v>
      </c>
      <c r="V83" s="228">
        <v>195</v>
      </c>
      <c r="W83" s="228">
        <v>196</v>
      </c>
      <c r="X83" s="228">
        <v>-1</v>
      </c>
      <c r="Y83" s="229">
        <v>-5.1000000000000004E-3</v>
      </c>
      <c r="Z83" s="228">
        <v>0.65</v>
      </c>
      <c r="AA83" s="228">
        <v>0.17</v>
      </c>
      <c r="AB83" s="228">
        <v>0.48</v>
      </c>
      <c r="AC83" s="229">
        <v>3.3999999999999998E-3</v>
      </c>
      <c r="AD83" s="228">
        <v>0.65</v>
      </c>
      <c r="AE83" s="228">
        <v>0.17</v>
      </c>
      <c r="AF83" s="228">
        <v>0.48</v>
      </c>
      <c r="AG83" s="229">
        <v>3.3999999999999998E-3</v>
      </c>
      <c r="AH83" s="228">
        <v>1.27</v>
      </c>
      <c r="AI83" s="228">
        <v>1.19</v>
      </c>
      <c r="AJ83" s="228">
        <v>0.08</v>
      </c>
      <c r="AK83" s="229">
        <v>6.6E-3</v>
      </c>
      <c r="AL83" s="228">
        <v>1.76</v>
      </c>
      <c r="AM83" s="228">
        <v>2.09</v>
      </c>
      <c r="AN83" s="228">
        <v>-0.33</v>
      </c>
      <c r="AO83" s="229">
        <v>9.1000000000000004E-3</v>
      </c>
      <c r="AP83" s="228">
        <v>192.69</v>
      </c>
      <c r="AQ83" s="228">
        <v>193.34</v>
      </c>
      <c r="AR83" s="228">
        <v>0</v>
      </c>
      <c r="AS83" s="228">
        <v>141</v>
      </c>
      <c r="AT83" s="228">
        <v>87</v>
      </c>
      <c r="AU83" s="228">
        <v>53</v>
      </c>
      <c r="AV83" s="229">
        <v>0.61140000000000005</v>
      </c>
      <c r="AW83" s="228">
        <v>121</v>
      </c>
      <c r="AX83" s="228">
        <v>72</v>
      </c>
      <c r="AY83" s="228">
        <v>48</v>
      </c>
      <c r="AZ83" s="229">
        <v>0.66620000000000001</v>
      </c>
      <c r="BA83" s="228">
        <v>20</v>
      </c>
      <c r="BB83" s="228">
        <v>14</v>
      </c>
      <c r="BC83" s="228">
        <v>5</v>
      </c>
      <c r="BD83" s="229">
        <v>0.36470000000000002</v>
      </c>
      <c r="BE83" s="228">
        <v>0</v>
      </c>
      <c r="BF83" s="228">
        <v>1</v>
      </c>
      <c r="BG83" s="228">
        <v>0</v>
      </c>
      <c r="BH83" s="229">
        <v>-0.2</v>
      </c>
      <c r="BI83" s="228">
        <v>261</v>
      </c>
      <c r="BJ83" s="228">
        <v>243</v>
      </c>
      <c r="BK83" s="228">
        <v>18</v>
      </c>
      <c r="BL83" s="229">
        <v>7.4700000000000003E-2</v>
      </c>
      <c r="BM83" s="228">
        <v>122</v>
      </c>
      <c r="BN83" s="228">
        <v>123</v>
      </c>
      <c r="BO83" s="228">
        <v>-1</v>
      </c>
      <c r="BP83" s="229">
        <v>-1.14E-2</v>
      </c>
      <c r="BQ83" s="228">
        <v>523</v>
      </c>
      <c r="BR83" s="228">
        <v>453</v>
      </c>
      <c r="BS83" s="228">
        <v>70</v>
      </c>
      <c r="BT83" s="229">
        <v>0.15459999999999999</v>
      </c>
      <c r="BU83" s="230">
        <v>2304282</v>
      </c>
      <c r="BV83" s="230">
        <v>2377164</v>
      </c>
      <c r="BW83" s="230">
        <v>-72882</v>
      </c>
      <c r="BX83" s="229">
        <v>-3.0700000000000002E-2</v>
      </c>
      <c r="BY83" s="228">
        <v>826</v>
      </c>
      <c r="BZ83" s="228">
        <v>808</v>
      </c>
      <c r="CA83" s="228">
        <v>18</v>
      </c>
      <c r="CB83" s="229">
        <v>2.2800000000000001E-2</v>
      </c>
      <c r="CC83" s="228">
        <v>770</v>
      </c>
      <c r="CD83" s="228">
        <v>757</v>
      </c>
      <c r="CE83" s="228">
        <v>13</v>
      </c>
      <c r="CF83" s="229">
        <v>1.6799999999999999E-2</v>
      </c>
      <c r="CG83" s="228">
        <v>52</v>
      </c>
      <c r="CH83" s="228">
        <v>47</v>
      </c>
      <c r="CI83" s="228">
        <v>6</v>
      </c>
      <c r="CJ83" s="229">
        <v>0.12230000000000001</v>
      </c>
      <c r="CK83" s="228">
        <v>4</v>
      </c>
      <c r="CL83" s="228">
        <v>4</v>
      </c>
      <c r="CM83" s="228">
        <v>0</v>
      </c>
      <c r="CN83" s="229">
        <v>1.3899999999999999E-2</v>
      </c>
      <c r="CO83" s="228">
        <v>657</v>
      </c>
      <c r="CP83" s="228">
        <v>654</v>
      </c>
      <c r="CQ83" s="228">
        <v>3</v>
      </c>
      <c r="CR83" s="229">
        <v>4.8999999999999998E-3</v>
      </c>
      <c r="CS83" s="228">
        <v>380</v>
      </c>
      <c r="CT83" s="228">
        <v>388</v>
      </c>
      <c r="CU83" s="228">
        <v>-8</v>
      </c>
      <c r="CV83" s="229">
        <v>-2.1600000000000001E-2</v>
      </c>
      <c r="CW83" s="230">
        <v>1863</v>
      </c>
      <c r="CX83" s="230">
        <v>1850</v>
      </c>
      <c r="CY83" s="228">
        <v>13</v>
      </c>
      <c r="CZ83" s="229">
        <v>7.1999999999999998E-3</v>
      </c>
      <c r="DA83" s="228">
        <v>36.74</v>
      </c>
      <c r="DB83" s="228">
        <v>37.479999999999997</v>
      </c>
      <c r="DC83" s="228">
        <v>-0.74</v>
      </c>
      <c r="DD83" s="228">
        <v>-0.74</v>
      </c>
      <c r="DE83" s="228">
        <v>49.89</v>
      </c>
      <c r="DF83" s="228">
        <v>50.02</v>
      </c>
      <c r="DG83" s="228">
        <v>-13.15</v>
      </c>
      <c r="DH83" s="228">
        <v>-0.13</v>
      </c>
      <c r="DI83" s="228">
        <v>36.94</v>
      </c>
      <c r="DJ83" s="228">
        <v>37.99</v>
      </c>
      <c r="DK83" s="228">
        <v>-1.05</v>
      </c>
      <c r="DL83" s="228">
        <v>-1.05</v>
      </c>
      <c r="DM83" s="228">
        <v>36.33</v>
      </c>
      <c r="DN83" s="228">
        <v>36.5</v>
      </c>
      <c r="DO83" s="228">
        <v>-0.17</v>
      </c>
      <c r="DP83" s="228">
        <v>-0.17</v>
      </c>
      <c r="DQ83" s="228">
        <v>0.57999999999999996</v>
      </c>
      <c r="DR83" s="228">
        <v>0.59</v>
      </c>
      <c r="DS83" s="228">
        <v>-0.01</v>
      </c>
      <c r="DT83" s="229">
        <v>-1.6899999999999998E-2</v>
      </c>
      <c r="DU83" s="228">
        <v>200</v>
      </c>
      <c r="DV83" s="228">
        <v>180</v>
      </c>
      <c r="DW83" s="228">
        <v>0.47</v>
      </c>
      <c r="DX83" s="228">
        <v>0.51</v>
      </c>
      <c r="DY83" s="228">
        <v>-0.04</v>
      </c>
      <c r="DZ83" s="229">
        <v>-7.8399999999999997E-2</v>
      </c>
      <c r="EA83" s="229">
        <v>6.8099999999999994E-2</v>
      </c>
      <c r="EB83" s="230">
        <v>2605725</v>
      </c>
      <c r="EC83" s="229">
        <v>3.2000000000000002E-3</v>
      </c>
      <c r="ED83" s="229">
        <v>6.8099999999999994E-2</v>
      </c>
      <c r="EE83" s="228">
        <v>0.65</v>
      </c>
      <c r="EF83" s="229">
        <v>3.3999999999999998E-3</v>
      </c>
      <c r="EG83" s="230">
        <v>627611</v>
      </c>
      <c r="EH83" s="230">
        <v>884213</v>
      </c>
      <c r="EI83" s="229">
        <v>-0.29020000000000001</v>
      </c>
      <c r="EJ83" s="229">
        <v>0.27239999999999998</v>
      </c>
      <c r="EK83" s="228">
        <v>277.24</v>
      </c>
      <c r="EL83" s="228">
        <v>119.68</v>
      </c>
      <c r="EM83" s="228">
        <v>139.74</v>
      </c>
      <c r="EN83" s="228">
        <v>27.35</v>
      </c>
      <c r="EO83" s="228">
        <v>536.65</v>
      </c>
      <c r="EP83" s="228">
        <v>468.31</v>
      </c>
      <c r="EQ83" s="228">
        <v>68.349999999999994</v>
      </c>
      <c r="ER83" s="229">
        <v>0.1459</v>
      </c>
      <c r="ES83" s="228">
        <v>700.18</v>
      </c>
      <c r="ET83" s="228">
        <v>372.02</v>
      </c>
      <c r="EU83" s="228">
        <v>826.52</v>
      </c>
      <c r="EV83" s="231">
        <v>75071250</v>
      </c>
      <c r="EW83" s="231">
        <v>1898.72</v>
      </c>
      <c r="EX83" s="231">
        <v>1885.61</v>
      </c>
      <c r="EY83" s="228">
        <v>13.11</v>
      </c>
      <c r="EZ83" s="229">
        <v>7.0000000000000001E-3</v>
      </c>
      <c r="FA83" s="229">
        <v>1.2799</v>
      </c>
      <c r="FB83" s="227" t="s">
        <v>567</v>
      </c>
      <c r="FC83">
        <f t="shared" si="1"/>
        <v>56</v>
      </c>
    </row>
    <row r="84" spans="1:159" ht="17.25" hidden="1" thickBot="1" x14ac:dyDescent="0.3">
      <c r="A84" s="226">
        <v>46064</v>
      </c>
      <c r="B84" s="227" t="s">
        <v>172</v>
      </c>
      <c r="C84" s="227" t="s">
        <v>232</v>
      </c>
      <c r="D84" s="228">
        <v>700</v>
      </c>
      <c r="E84" s="228">
        <v>13</v>
      </c>
      <c r="F84" s="231">
        <v>1409.6</v>
      </c>
      <c r="G84" s="231">
        <v>1408.3</v>
      </c>
      <c r="H84" s="228">
        <v>1.3</v>
      </c>
      <c r="I84" s="229">
        <v>8.9999999999999998E-4</v>
      </c>
      <c r="J84" s="231">
        <v>1406.1</v>
      </c>
      <c r="K84" s="231">
        <v>1406.5</v>
      </c>
      <c r="L84" s="228">
        <v>-0.4</v>
      </c>
      <c r="M84" s="229">
        <v>-2.9999999999999997E-4</v>
      </c>
      <c r="N84" s="231">
        <v>1409.6</v>
      </c>
      <c r="O84" s="231">
        <v>1408.3</v>
      </c>
      <c r="P84" s="228">
        <v>1.3</v>
      </c>
      <c r="Q84" s="229">
        <v>8.9999999999999998E-4</v>
      </c>
      <c r="R84" s="231">
        <v>1418.5</v>
      </c>
      <c r="S84" s="231">
        <v>1416.8</v>
      </c>
      <c r="T84" s="228">
        <v>1.7</v>
      </c>
      <c r="U84" s="229">
        <v>1.1999999999999999E-3</v>
      </c>
      <c r="V84" s="231">
        <v>1427.5</v>
      </c>
      <c r="W84" s="231">
        <v>1426.6</v>
      </c>
      <c r="X84" s="228">
        <v>0.9</v>
      </c>
      <c r="Y84" s="229">
        <v>5.9999999999999995E-4</v>
      </c>
      <c r="Z84" s="228">
        <v>3.5</v>
      </c>
      <c r="AA84" s="228">
        <v>1.8</v>
      </c>
      <c r="AB84" s="228">
        <v>1.7</v>
      </c>
      <c r="AC84" s="229">
        <v>2.5000000000000001E-3</v>
      </c>
      <c r="AD84" s="228">
        <v>3.5</v>
      </c>
      <c r="AE84" s="228">
        <v>1.8</v>
      </c>
      <c r="AF84" s="228">
        <v>1.7</v>
      </c>
      <c r="AG84" s="229">
        <v>2.5000000000000001E-3</v>
      </c>
      <c r="AH84" s="228">
        <v>12.4</v>
      </c>
      <c r="AI84" s="228">
        <v>10.3</v>
      </c>
      <c r="AJ84" s="228">
        <v>2.1</v>
      </c>
      <c r="AK84" s="229">
        <v>8.8000000000000005E-3</v>
      </c>
      <c r="AL84" s="228">
        <v>21.4</v>
      </c>
      <c r="AM84" s="228">
        <v>20.100000000000001</v>
      </c>
      <c r="AN84" s="228">
        <v>1.3</v>
      </c>
      <c r="AO84" s="229">
        <v>1.52E-2</v>
      </c>
      <c r="AP84" s="231">
        <v>1408.99</v>
      </c>
      <c r="AQ84" s="231">
        <v>1417.29</v>
      </c>
      <c r="AR84" s="228">
        <v>0</v>
      </c>
      <c r="AS84" s="230">
        <v>1495</v>
      </c>
      <c r="AT84" s="230">
        <v>1540</v>
      </c>
      <c r="AU84" s="228">
        <v>-45</v>
      </c>
      <c r="AV84" s="229">
        <v>-2.9000000000000001E-2</v>
      </c>
      <c r="AW84" s="230">
        <v>1402</v>
      </c>
      <c r="AX84" s="230">
        <v>1469</v>
      </c>
      <c r="AY84" s="228">
        <v>-66</v>
      </c>
      <c r="AZ84" s="229">
        <v>-4.4999999999999998E-2</v>
      </c>
      <c r="BA84" s="228">
        <v>86</v>
      </c>
      <c r="BB84" s="228">
        <v>63</v>
      </c>
      <c r="BC84" s="228">
        <v>23</v>
      </c>
      <c r="BD84" s="229">
        <v>0.36359999999999998</v>
      </c>
      <c r="BE84" s="228">
        <v>7</v>
      </c>
      <c r="BF84" s="228">
        <v>8</v>
      </c>
      <c r="BG84" s="228">
        <v>-1</v>
      </c>
      <c r="BH84" s="229">
        <v>-0.17069999999999999</v>
      </c>
      <c r="BI84" s="230">
        <v>3067</v>
      </c>
      <c r="BJ84" s="230">
        <v>4683</v>
      </c>
      <c r="BK84" s="230">
        <v>-1617</v>
      </c>
      <c r="BL84" s="229">
        <v>-0.34520000000000001</v>
      </c>
      <c r="BM84" s="230">
        <v>2235</v>
      </c>
      <c r="BN84" s="230">
        <v>3218</v>
      </c>
      <c r="BO84" s="228">
        <v>-983</v>
      </c>
      <c r="BP84" s="229">
        <v>-0.30549999999999999</v>
      </c>
      <c r="BQ84" s="230">
        <v>6797</v>
      </c>
      <c r="BR84" s="230">
        <v>9441</v>
      </c>
      <c r="BS84" s="230">
        <v>-2644</v>
      </c>
      <c r="BT84" s="229">
        <v>-0.28010000000000002</v>
      </c>
      <c r="BU84" s="230">
        <v>12063529</v>
      </c>
      <c r="BV84" s="230">
        <v>20123601</v>
      </c>
      <c r="BW84" s="230">
        <v>-8060072</v>
      </c>
      <c r="BX84" s="229">
        <v>-0.40050000000000002</v>
      </c>
      <c r="BY84" s="230">
        <v>17405</v>
      </c>
      <c r="BZ84" s="230">
        <v>17146</v>
      </c>
      <c r="CA84" s="228">
        <v>259</v>
      </c>
      <c r="CB84" s="229">
        <v>1.5100000000000001E-2</v>
      </c>
      <c r="CC84" s="230">
        <v>15466</v>
      </c>
      <c r="CD84" s="230">
        <v>15232</v>
      </c>
      <c r="CE84" s="228">
        <v>234</v>
      </c>
      <c r="CF84" s="229">
        <v>1.5299999999999999E-2</v>
      </c>
      <c r="CG84" s="230">
        <v>1889</v>
      </c>
      <c r="CH84" s="230">
        <v>1864</v>
      </c>
      <c r="CI84" s="228">
        <v>25</v>
      </c>
      <c r="CJ84" s="229">
        <v>1.32E-2</v>
      </c>
      <c r="CK84" s="228">
        <v>50</v>
      </c>
      <c r="CL84" s="228">
        <v>50</v>
      </c>
      <c r="CM84" s="228">
        <v>0</v>
      </c>
      <c r="CN84" s="229">
        <v>7.9000000000000008E-3</v>
      </c>
      <c r="CO84" s="230">
        <v>5156</v>
      </c>
      <c r="CP84" s="230">
        <v>5168</v>
      </c>
      <c r="CQ84" s="228">
        <v>-12</v>
      </c>
      <c r="CR84" s="229">
        <v>-2.3999999999999998E-3</v>
      </c>
      <c r="CS84" s="230">
        <v>3361</v>
      </c>
      <c r="CT84" s="230">
        <v>3314</v>
      </c>
      <c r="CU84" s="228">
        <v>47</v>
      </c>
      <c r="CV84" s="229">
        <v>1.43E-2</v>
      </c>
      <c r="CW84" s="230">
        <v>25922</v>
      </c>
      <c r="CX84" s="230">
        <v>25628</v>
      </c>
      <c r="CY84" s="228">
        <v>294</v>
      </c>
      <c r="CZ84" s="229">
        <v>1.15E-2</v>
      </c>
      <c r="DA84" s="228">
        <v>14.98</v>
      </c>
      <c r="DB84" s="228">
        <v>14.69</v>
      </c>
      <c r="DC84" s="228">
        <v>0.28999999999999998</v>
      </c>
      <c r="DD84" s="228">
        <v>0.28999999999999998</v>
      </c>
      <c r="DE84" s="228">
        <v>21.06</v>
      </c>
      <c r="DF84" s="228">
        <v>21.12</v>
      </c>
      <c r="DG84" s="228">
        <v>-6.08</v>
      </c>
      <c r="DH84" s="228">
        <v>-0.06</v>
      </c>
      <c r="DI84" s="228">
        <v>14.4</v>
      </c>
      <c r="DJ84" s="228">
        <v>14.15</v>
      </c>
      <c r="DK84" s="228">
        <v>0.25</v>
      </c>
      <c r="DL84" s="228">
        <v>0.25</v>
      </c>
      <c r="DM84" s="228">
        <v>15.79</v>
      </c>
      <c r="DN84" s="228">
        <v>15.47</v>
      </c>
      <c r="DO84" s="228">
        <v>0.32</v>
      </c>
      <c r="DP84" s="228">
        <v>0.32</v>
      </c>
      <c r="DQ84" s="228">
        <v>0.65</v>
      </c>
      <c r="DR84" s="228">
        <v>0.64</v>
      </c>
      <c r="DS84" s="228">
        <v>0.01</v>
      </c>
      <c r="DT84" s="229">
        <v>1.5599999999999999E-2</v>
      </c>
      <c r="DU84" s="231">
        <v>1410</v>
      </c>
      <c r="DV84" s="231">
        <v>1400</v>
      </c>
      <c r="DW84" s="228">
        <v>0.73</v>
      </c>
      <c r="DX84" s="228">
        <v>0.69</v>
      </c>
      <c r="DY84" s="228">
        <v>0.04</v>
      </c>
      <c r="DZ84" s="229">
        <v>5.8000000000000003E-2</v>
      </c>
      <c r="EA84" s="229">
        <v>0.1114</v>
      </c>
      <c r="EB84" s="230">
        <v>13579300</v>
      </c>
      <c r="EC84" s="229">
        <v>6.3E-3</v>
      </c>
      <c r="ED84" s="229">
        <v>0.1114</v>
      </c>
      <c r="EE84" s="228">
        <v>8.3000000000000007</v>
      </c>
      <c r="EF84" s="229">
        <v>5.8999999999999999E-3</v>
      </c>
      <c r="EG84" s="230">
        <v>8528166</v>
      </c>
      <c r="EH84" s="230">
        <v>12909031</v>
      </c>
      <c r="EI84" s="229">
        <v>-0.33939999999999998</v>
      </c>
      <c r="EJ84" s="229">
        <v>0.70689999999999997</v>
      </c>
      <c r="EK84" s="231">
        <v>3121.46</v>
      </c>
      <c r="EL84" s="231">
        <v>2204.37</v>
      </c>
      <c r="EM84" s="231">
        <v>1494.92</v>
      </c>
      <c r="EN84" s="228">
        <v>171.62</v>
      </c>
      <c r="EO84" s="231">
        <v>6820.75</v>
      </c>
      <c r="EP84" s="231">
        <v>9463.44</v>
      </c>
      <c r="EQ84" s="231">
        <v>-2642.69</v>
      </c>
      <c r="ER84" s="229">
        <v>-0.27929999999999999</v>
      </c>
      <c r="ES84" s="231">
        <v>5172.4799999999996</v>
      </c>
      <c r="ET84" s="231">
        <v>3243.91</v>
      </c>
      <c r="EU84" s="231">
        <v>17417.52</v>
      </c>
      <c r="EV84" s="231">
        <v>580601807</v>
      </c>
      <c r="EW84" s="231">
        <v>25833.91</v>
      </c>
      <c r="EX84" s="231">
        <v>25515.85</v>
      </c>
      <c r="EY84" s="228">
        <v>318.06</v>
      </c>
      <c r="EZ84" s="229">
        <v>1.2500000000000001E-2</v>
      </c>
      <c r="FA84" s="229">
        <v>0.31669999999999998</v>
      </c>
      <c r="FB84" s="227" t="s">
        <v>555</v>
      </c>
      <c r="FC84">
        <f t="shared" si="1"/>
        <v>1939</v>
      </c>
    </row>
    <row r="85" spans="1:159" ht="17.25" hidden="1" thickBot="1" x14ac:dyDescent="0.3">
      <c r="A85" s="226">
        <v>46064</v>
      </c>
      <c r="B85" s="227" t="s">
        <v>175</v>
      </c>
      <c r="C85" s="227" t="s">
        <v>472</v>
      </c>
      <c r="D85" s="228">
        <v>325</v>
      </c>
      <c r="E85" s="228">
        <v>13</v>
      </c>
      <c r="F85" s="231">
        <v>1922.3</v>
      </c>
      <c r="G85" s="231">
        <v>1915.5</v>
      </c>
      <c r="H85" s="228">
        <v>6.8</v>
      </c>
      <c r="I85" s="229">
        <v>3.5000000000000001E-3</v>
      </c>
      <c r="J85" s="231">
        <v>1931.7</v>
      </c>
      <c r="K85" s="231">
        <v>1909.6</v>
      </c>
      <c r="L85" s="228">
        <v>22.1</v>
      </c>
      <c r="M85" s="229">
        <v>1.1599999999999999E-2</v>
      </c>
      <c r="N85" s="231">
        <v>1922.3</v>
      </c>
      <c r="O85" s="231">
        <v>1915.5</v>
      </c>
      <c r="P85" s="228">
        <v>6.8</v>
      </c>
      <c r="Q85" s="229">
        <v>3.5000000000000001E-3</v>
      </c>
      <c r="R85" s="231">
        <v>1918.5</v>
      </c>
      <c r="S85" s="231">
        <v>1914.2</v>
      </c>
      <c r="T85" s="228">
        <v>4.3</v>
      </c>
      <c r="U85" s="229">
        <v>2.2000000000000001E-3</v>
      </c>
      <c r="V85" s="231">
        <v>1915</v>
      </c>
      <c r="W85" s="231">
        <v>1928</v>
      </c>
      <c r="X85" s="228">
        <v>-13</v>
      </c>
      <c r="Y85" s="229">
        <v>-6.7000000000000002E-3</v>
      </c>
      <c r="Z85" s="228">
        <v>-9.4</v>
      </c>
      <c r="AA85" s="228">
        <v>5.9</v>
      </c>
      <c r="AB85" s="228">
        <v>-15.3</v>
      </c>
      <c r="AC85" s="229">
        <v>-4.8999999999999998E-3</v>
      </c>
      <c r="AD85" s="228">
        <v>-9.4</v>
      </c>
      <c r="AE85" s="228">
        <v>5.9</v>
      </c>
      <c r="AF85" s="228">
        <v>-15.3</v>
      </c>
      <c r="AG85" s="229">
        <v>-4.8999999999999998E-3</v>
      </c>
      <c r="AH85" s="228">
        <v>-13.2</v>
      </c>
      <c r="AI85" s="228">
        <v>4.5999999999999996</v>
      </c>
      <c r="AJ85" s="228">
        <v>-17.8</v>
      </c>
      <c r="AK85" s="229">
        <v>-6.7999999999999996E-3</v>
      </c>
      <c r="AL85" s="228">
        <v>-16.7</v>
      </c>
      <c r="AM85" s="228">
        <v>18.399999999999999</v>
      </c>
      <c r="AN85" s="228">
        <v>-35.1</v>
      </c>
      <c r="AO85" s="229">
        <v>-8.6E-3</v>
      </c>
      <c r="AP85" s="231">
        <v>1919.25</v>
      </c>
      <c r="AQ85" s="231">
        <v>1918.73</v>
      </c>
      <c r="AR85" s="228">
        <v>0</v>
      </c>
      <c r="AS85" s="228">
        <v>135</v>
      </c>
      <c r="AT85" s="228">
        <v>193</v>
      </c>
      <c r="AU85" s="228">
        <v>-58</v>
      </c>
      <c r="AV85" s="229">
        <v>-0.29849999999999999</v>
      </c>
      <c r="AW85" s="228">
        <v>128</v>
      </c>
      <c r="AX85" s="228">
        <v>188</v>
      </c>
      <c r="AY85" s="228">
        <v>-60</v>
      </c>
      <c r="AZ85" s="229">
        <v>-0.31719999999999998</v>
      </c>
      <c r="BA85" s="228">
        <v>6</v>
      </c>
      <c r="BB85" s="228">
        <v>4</v>
      </c>
      <c r="BC85" s="228">
        <v>2</v>
      </c>
      <c r="BD85" s="229">
        <v>0.47760000000000002</v>
      </c>
      <c r="BE85" s="228">
        <v>1</v>
      </c>
      <c r="BF85" s="228">
        <v>1</v>
      </c>
      <c r="BG85" s="228">
        <v>0</v>
      </c>
      <c r="BH85" s="229">
        <v>0.1</v>
      </c>
      <c r="BI85" s="228">
        <v>266</v>
      </c>
      <c r="BJ85" s="228">
        <v>500</v>
      </c>
      <c r="BK85" s="228">
        <v>-234</v>
      </c>
      <c r="BL85" s="229">
        <v>-0.46779999999999999</v>
      </c>
      <c r="BM85" s="228">
        <v>130</v>
      </c>
      <c r="BN85" s="228">
        <v>288</v>
      </c>
      <c r="BO85" s="228">
        <v>-158</v>
      </c>
      <c r="BP85" s="229">
        <v>-0.54869999999999997</v>
      </c>
      <c r="BQ85" s="228">
        <v>531</v>
      </c>
      <c r="BR85" s="228">
        <v>980</v>
      </c>
      <c r="BS85" s="228">
        <v>-449</v>
      </c>
      <c r="BT85" s="229">
        <v>-0.45829999999999999</v>
      </c>
      <c r="BU85" s="230">
        <v>588143</v>
      </c>
      <c r="BV85" s="230">
        <v>248305</v>
      </c>
      <c r="BW85" s="230">
        <v>339838</v>
      </c>
      <c r="BX85" s="229">
        <v>1.3686</v>
      </c>
      <c r="BY85" s="230">
        <v>1161</v>
      </c>
      <c r="BZ85" s="230">
        <v>1127</v>
      </c>
      <c r="CA85" s="228">
        <v>34</v>
      </c>
      <c r="CB85" s="229">
        <v>3.0200000000000001E-2</v>
      </c>
      <c r="CC85" s="230">
        <v>1142</v>
      </c>
      <c r="CD85" s="230">
        <v>1109</v>
      </c>
      <c r="CE85" s="228">
        <v>33</v>
      </c>
      <c r="CF85" s="229">
        <v>2.9600000000000001E-2</v>
      </c>
      <c r="CG85" s="228">
        <v>18</v>
      </c>
      <c r="CH85" s="228">
        <v>17</v>
      </c>
      <c r="CI85" s="228">
        <v>1</v>
      </c>
      <c r="CJ85" s="229">
        <v>5.9299999999999999E-2</v>
      </c>
      <c r="CK85" s="228">
        <v>1</v>
      </c>
      <c r="CL85" s="228">
        <v>1</v>
      </c>
      <c r="CM85" s="228">
        <v>0</v>
      </c>
      <c r="CN85" s="229">
        <v>0.26669999999999999</v>
      </c>
      <c r="CO85" s="228">
        <v>207</v>
      </c>
      <c r="CP85" s="228">
        <v>199</v>
      </c>
      <c r="CQ85" s="228">
        <v>8</v>
      </c>
      <c r="CR85" s="229">
        <v>3.9800000000000002E-2</v>
      </c>
      <c r="CS85" s="228">
        <v>217</v>
      </c>
      <c r="CT85" s="228">
        <v>203</v>
      </c>
      <c r="CU85" s="228">
        <v>14</v>
      </c>
      <c r="CV85" s="229">
        <v>7.1099999999999997E-2</v>
      </c>
      <c r="CW85" s="230">
        <v>1586</v>
      </c>
      <c r="CX85" s="230">
        <v>1529</v>
      </c>
      <c r="CY85" s="228">
        <v>56</v>
      </c>
      <c r="CZ85" s="229">
        <v>3.6900000000000002E-2</v>
      </c>
      <c r="DA85" s="228">
        <v>20.22</v>
      </c>
      <c r="DB85" s="228">
        <v>20.47</v>
      </c>
      <c r="DC85" s="228">
        <v>-0.25</v>
      </c>
      <c r="DD85" s="228">
        <v>-0.25</v>
      </c>
      <c r="DE85" s="228">
        <v>27.09</v>
      </c>
      <c r="DF85" s="228">
        <v>27.11</v>
      </c>
      <c r="DG85" s="228">
        <v>-6.87</v>
      </c>
      <c r="DH85" s="228">
        <v>-0.02</v>
      </c>
      <c r="DI85" s="228">
        <v>19.399999999999999</v>
      </c>
      <c r="DJ85" s="228">
        <v>19.739999999999998</v>
      </c>
      <c r="DK85" s="228">
        <v>-0.34</v>
      </c>
      <c r="DL85" s="228">
        <v>-0.34</v>
      </c>
      <c r="DM85" s="228">
        <v>21.91</v>
      </c>
      <c r="DN85" s="228">
        <v>21.74</v>
      </c>
      <c r="DO85" s="228">
        <v>0.17</v>
      </c>
      <c r="DP85" s="228">
        <v>0.17</v>
      </c>
      <c r="DQ85" s="228">
        <v>1.05</v>
      </c>
      <c r="DR85" s="228">
        <v>1.02</v>
      </c>
      <c r="DS85" s="228">
        <v>0.03</v>
      </c>
      <c r="DT85" s="229">
        <v>2.9399999999999999E-2</v>
      </c>
      <c r="DU85" s="231">
        <v>2000</v>
      </c>
      <c r="DV85" s="231">
        <v>1880</v>
      </c>
      <c r="DW85" s="228">
        <v>0.49</v>
      </c>
      <c r="DX85" s="228">
        <v>0.57999999999999996</v>
      </c>
      <c r="DY85" s="228">
        <v>-0.09</v>
      </c>
      <c r="DZ85" s="229">
        <v>-0.1552</v>
      </c>
      <c r="EA85" s="229">
        <v>1.6400000000000001E-2</v>
      </c>
      <c r="EB85" s="230">
        <v>92625</v>
      </c>
      <c r="EC85" s="229">
        <v>-2E-3</v>
      </c>
      <c r="ED85" s="229">
        <v>1.6400000000000001E-2</v>
      </c>
      <c r="EE85" s="228">
        <v>-0.52</v>
      </c>
      <c r="EF85" s="229">
        <v>-2.9999999999999997E-4</v>
      </c>
      <c r="EG85" s="230">
        <v>367802</v>
      </c>
      <c r="EH85" s="230">
        <v>97078</v>
      </c>
      <c r="EI85" s="229">
        <v>2.7887</v>
      </c>
      <c r="EJ85" s="229">
        <v>0.62539999999999996</v>
      </c>
      <c r="EK85" s="228">
        <v>273.86</v>
      </c>
      <c r="EL85" s="228">
        <v>125.38</v>
      </c>
      <c r="EM85" s="228">
        <v>134.97999999999999</v>
      </c>
      <c r="EN85" s="228">
        <v>18.079999999999998</v>
      </c>
      <c r="EO85" s="228">
        <v>534.22</v>
      </c>
      <c r="EP85" s="228">
        <v>979.36</v>
      </c>
      <c r="EQ85" s="228">
        <v>-445.14</v>
      </c>
      <c r="ER85" s="229">
        <v>-0.45450000000000002</v>
      </c>
      <c r="ES85" s="228">
        <v>210.04</v>
      </c>
      <c r="ET85" s="228">
        <v>205.88</v>
      </c>
      <c r="EU85" s="231">
        <v>1161.3</v>
      </c>
      <c r="EV85" s="231">
        <v>28747897</v>
      </c>
      <c r="EW85" s="231">
        <v>1577.23</v>
      </c>
      <c r="EX85" s="231">
        <v>1515.63</v>
      </c>
      <c r="EY85" s="228">
        <v>61.6</v>
      </c>
      <c r="EZ85" s="229">
        <v>4.0599999999999997E-2</v>
      </c>
      <c r="FA85" s="229">
        <v>0.28689999999999999</v>
      </c>
      <c r="FB85" s="227" t="s">
        <v>555</v>
      </c>
      <c r="FC85">
        <f t="shared" si="1"/>
        <v>19</v>
      </c>
    </row>
    <row r="86" spans="1:159" ht="17.25" hidden="1" thickBot="1" x14ac:dyDescent="0.3">
      <c r="A86" s="226">
        <v>46064</v>
      </c>
      <c r="B86" s="227" t="s">
        <v>175</v>
      </c>
      <c r="C86" s="227" t="s">
        <v>233</v>
      </c>
      <c r="D86" s="228">
        <v>925</v>
      </c>
      <c r="E86" s="228">
        <v>13</v>
      </c>
      <c r="F86" s="228">
        <v>643.15</v>
      </c>
      <c r="G86" s="228">
        <v>644.85</v>
      </c>
      <c r="H86" s="228">
        <v>-1.7</v>
      </c>
      <c r="I86" s="229">
        <v>-2.5999999999999999E-3</v>
      </c>
      <c r="J86" s="228">
        <v>640.95000000000005</v>
      </c>
      <c r="K86" s="228">
        <v>643</v>
      </c>
      <c r="L86" s="228">
        <v>-2.0499999999999998</v>
      </c>
      <c r="M86" s="229">
        <v>-3.2000000000000002E-3</v>
      </c>
      <c r="N86" s="228">
        <v>643.15</v>
      </c>
      <c r="O86" s="228">
        <v>644.85</v>
      </c>
      <c r="P86" s="228">
        <v>-1.7</v>
      </c>
      <c r="Q86" s="229">
        <v>-2.5999999999999999E-3</v>
      </c>
      <c r="R86" s="228">
        <v>646.54999999999995</v>
      </c>
      <c r="S86" s="228">
        <v>648.15</v>
      </c>
      <c r="T86" s="228">
        <v>-1.6</v>
      </c>
      <c r="U86" s="229">
        <v>-2.5000000000000001E-3</v>
      </c>
      <c r="V86" s="228">
        <v>650.20000000000005</v>
      </c>
      <c r="W86" s="228">
        <v>652.54999999999995</v>
      </c>
      <c r="X86" s="228">
        <v>-2.35</v>
      </c>
      <c r="Y86" s="229">
        <v>-3.5999999999999999E-3</v>
      </c>
      <c r="Z86" s="228">
        <v>2.2000000000000002</v>
      </c>
      <c r="AA86" s="228">
        <v>1.85</v>
      </c>
      <c r="AB86" s="228">
        <v>0.35</v>
      </c>
      <c r="AC86" s="229">
        <v>3.3999999999999998E-3</v>
      </c>
      <c r="AD86" s="228">
        <v>2.2000000000000002</v>
      </c>
      <c r="AE86" s="228">
        <v>1.85</v>
      </c>
      <c r="AF86" s="228">
        <v>0.35</v>
      </c>
      <c r="AG86" s="229">
        <v>3.3999999999999998E-3</v>
      </c>
      <c r="AH86" s="228">
        <v>5.6</v>
      </c>
      <c r="AI86" s="228">
        <v>5.15</v>
      </c>
      <c r="AJ86" s="228">
        <v>0.45</v>
      </c>
      <c r="AK86" s="229">
        <v>8.6999999999999994E-3</v>
      </c>
      <c r="AL86" s="228">
        <v>9.25</v>
      </c>
      <c r="AM86" s="228">
        <v>9.5500000000000007</v>
      </c>
      <c r="AN86" s="228">
        <v>-0.3</v>
      </c>
      <c r="AO86" s="229">
        <v>1.44E-2</v>
      </c>
      <c r="AP86" s="228">
        <v>642.5</v>
      </c>
      <c r="AQ86" s="228">
        <v>645.80999999999995</v>
      </c>
      <c r="AR86" s="228">
        <v>0</v>
      </c>
      <c r="AS86" s="228">
        <v>78</v>
      </c>
      <c r="AT86" s="228">
        <v>188</v>
      </c>
      <c r="AU86" s="228">
        <v>-110</v>
      </c>
      <c r="AV86" s="229">
        <v>-0.58560000000000001</v>
      </c>
      <c r="AW86" s="228">
        <v>75</v>
      </c>
      <c r="AX86" s="228">
        <v>181</v>
      </c>
      <c r="AY86" s="228">
        <v>-106</v>
      </c>
      <c r="AZ86" s="229">
        <v>-0.58320000000000005</v>
      </c>
      <c r="BA86" s="228">
        <v>2</v>
      </c>
      <c r="BB86" s="228">
        <v>6</v>
      </c>
      <c r="BC86" s="228">
        <v>-4</v>
      </c>
      <c r="BD86" s="229">
        <v>-0.67679999999999996</v>
      </c>
      <c r="BE86" s="228">
        <v>0</v>
      </c>
      <c r="BF86" s="228">
        <v>1</v>
      </c>
      <c r="BG86" s="228">
        <v>0</v>
      </c>
      <c r="BH86" s="229">
        <v>-0.46150000000000002</v>
      </c>
      <c r="BI86" s="228">
        <v>124</v>
      </c>
      <c r="BJ86" s="228">
        <v>204</v>
      </c>
      <c r="BK86" s="228">
        <v>-81</v>
      </c>
      <c r="BL86" s="229">
        <v>-0.39600000000000002</v>
      </c>
      <c r="BM86" s="228">
        <v>72</v>
      </c>
      <c r="BN86" s="228">
        <v>172</v>
      </c>
      <c r="BO86" s="228">
        <v>-100</v>
      </c>
      <c r="BP86" s="229">
        <v>-0.57989999999999997</v>
      </c>
      <c r="BQ86" s="228">
        <v>274</v>
      </c>
      <c r="BR86" s="228">
        <v>564</v>
      </c>
      <c r="BS86" s="228">
        <v>-291</v>
      </c>
      <c r="BT86" s="229">
        <v>-0.51519999999999999</v>
      </c>
      <c r="BU86" s="230">
        <v>736728</v>
      </c>
      <c r="BV86" s="230">
        <v>1733095</v>
      </c>
      <c r="BW86" s="230">
        <v>-996367</v>
      </c>
      <c r="BX86" s="229">
        <v>-0.57489999999999997</v>
      </c>
      <c r="BY86" s="230">
        <v>1002</v>
      </c>
      <c r="BZ86" s="228">
        <v>995</v>
      </c>
      <c r="CA86" s="228">
        <v>7</v>
      </c>
      <c r="CB86" s="229">
        <v>7.3000000000000001E-3</v>
      </c>
      <c r="CC86" s="228">
        <v>995</v>
      </c>
      <c r="CD86" s="228">
        <v>989</v>
      </c>
      <c r="CE86" s="228">
        <v>7</v>
      </c>
      <c r="CF86" s="229">
        <v>6.7999999999999996E-3</v>
      </c>
      <c r="CG86" s="228">
        <v>6</v>
      </c>
      <c r="CH86" s="228">
        <v>5</v>
      </c>
      <c r="CI86" s="228">
        <v>0</v>
      </c>
      <c r="CJ86" s="229">
        <v>6.8199999999999997E-2</v>
      </c>
      <c r="CK86" s="228">
        <v>1</v>
      </c>
      <c r="CL86" s="228">
        <v>1</v>
      </c>
      <c r="CM86" s="228">
        <v>0</v>
      </c>
      <c r="CN86" s="229">
        <v>0.21429999999999999</v>
      </c>
      <c r="CO86" s="228">
        <v>193</v>
      </c>
      <c r="CP86" s="228">
        <v>200</v>
      </c>
      <c r="CQ86" s="228">
        <v>-7</v>
      </c>
      <c r="CR86" s="229">
        <v>-3.4500000000000003E-2</v>
      </c>
      <c r="CS86" s="228">
        <v>139</v>
      </c>
      <c r="CT86" s="228">
        <v>146</v>
      </c>
      <c r="CU86" s="228">
        <v>-7</v>
      </c>
      <c r="CV86" s="229">
        <v>-4.5600000000000002E-2</v>
      </c>
      <c r="CW86" s="230">
        <v>1334</v>
      </c>
      <c r="CX86" s="230">
        <v>1341</v>
      </c>
      <c r="CY86" s="228">
        <v>-6</v>
      </c>
      <c r="CZ86" s="229">
        <v>-4.7000000000000002E-3</v>
      </c>
      <c r="DA86" s="228">
        <v>22.42</v>
      </c>
      <c r="DB86" s="228">
        <v>22.75</v>
      </c>
      <c r="DC86" s="228">
        <v>-0.33</v>
      </c>
      <c r="DD86" s="228">
        <v>-0.33</v>
      </c>
      <c r="DE86" s="228">
        <v>26.67</v>
      </c>
      <c r="DF86" s="228">
        <v>26.73</v>
      </c>
      <c r="DG86" s="228">
        <v>-4.25</v>
      </c>
      <c r="DH86" s="228">
        <v>-0.06</v>
      </c>
      <c r="DI86" s="228">
        <v>21.97</v>
      </c>
      <c r="DJ86" s="228">
        <v>21.7</v>
      </c>
      <c r="DK86" s="228">
        <v>0.27</v>
      </c>
      <c r="DL86" s="228">
        <v>0.27</v>
      </c>
      <c r="DM86" s="228">
        <v>23.19</v>
      </c>
      <c r="DN86" s="228">
        <v>24</v>
      </c>
      <c r="DO86" s="228">
        <v>-0.81</v>
      </c>
      <c r="DP86" s="228">
        <v>-0.81</v>
      </c>
      <c r="DQ86" s="228">
        <v>0.72</v>
      </c>
      <c r="DR86" s="228">
        <v>0.73</v>
      </c>
      <c r="DS86" s="228">
        <v>-0.01</v>
      </c>
      <c r="DT86" s="229">
        <v>-1.37E-2</v>
      </c>
      <c r="DU86" s="228">
        <v>660</v>
      </c>
      <c r="DV86" s="228">
        <v>600</v>
      </c>
      <c r="DW86" s="228">
        <v>0.59</v>
      </c>
      <c r="DX86" s="228">
        <v>0.84</v>
      </c>
      <c r="DY86" s="228">
        <v>-0.25</v>
      </c>
      <c r="DZ86" s="229">
        <v>-0.29759999999999998</v>
      </c>
      <c r="EA86" s="229">
        <v>6.6E-3</v>
      </c>
      <c r="EB86" s="230">
        <v>94350</v>
      </c>
      <c r="EC86" s="229">
        <v>5.3E-3</v>
      </c>
      <c r="ED86" s="229">
        <v>6.6E-3</v>
      </c>
      <c r="EE86" s="228">
        <v>3.31</v>
      </c>
      <c r="EF86" s="229">
        <v>5.1999999999999998E-3</v>
      </c>
      <c r="EG86" s="230">
        <v>394344</v>
      </c>
      <c r="EH86" s="230">
        <v>1170542</v>
      </c>
      <c r="EI86" s="229">
        <v>-0.66310000000000002</v>
      </c>
      <c r="EJ86" s="229">
        <v>0.5353</v>
      </c>
      <c r="EK86" s="228">
        <v>128.32</v>
      </c>
      <c r="EL86" s="228">
        <v>71.95</v>
      </c>
      <c r="EM86" s="228">
        <v>77.69</v>
      </c>
      <c r="EN86" s="228">
        <v>19.920000000000002</v>
      </c>
      <c r="EO86" s="228">
        <v>277.95999999999998</v>
      </c>
      <c r="EP86" s="228">
        <v>571.72</v>
      </c>
      <c r="EQ86" s="228">
        <v>-293.76</v>
      </c>
      <c r="ER86" s="229">
        <v>-0.51380000000000003</v>
      </c>
      <c r="ES86" s="228">
        <v>201.95</v>
      </c>
      <c r="ET86" s="228">
        <v>135.06</v>
      </c>
      <c r="EU86" s="231">
        <v>1002.05</v>
      </c>
      <c r="EV86" s="231">
        <v>58746582</v>
      </c>
      <c r="EW86" s="231">
        <v>1339.06</v>
      </c>
      <c r="EX86" s="231">
        <v>1348.58</v>
      </c>
      <c r="EY86" s="228">
        <v>-9.52</v>
      </c>
      <c r="EZ86" s="229">
        <v>-7.1000000000000004E-3</v>
      </c>
      <c r="FA86" s="229">
        <v>0.35320000000000001</v>
      </c>
      <c r="FB86" s="227" t="s">
        <v>567</v>
      </c>
      <c r="FC86">
        <f t="shared" si="1"/>
        <v>7</v>
      </c>
    </row>
    <row r="87" spans="1:159" ht="17.25" hidden="1" thickBot="1" x14ac:dyDescent="0.3">
      <c r="A87" s="226">
        <v>46064</v>
      </c>
      <c r="B87" s="227" t="s">
        <v>188</v>
      </c>
      <c r="C87" s="227" t="s">
        <v>234</v>
      </c>
      <c r="D87" s="228">
        <v>71475</v>
      </c>
      <c r="E87" s="228">
        <v>13</v>
      </c>
      <c r="F87" s="228">
        <v>11.85</v>
      </c>
      <c r="G87" s="228">
        <v>11.51</v>
      </c>
      <c r="H87" s="228">
        <v>0.34</v>
      </c>
      <c r="I87" s="229">
        <v>2.9499999999999998E-2</v>
      </c>
      <c r="J87" s="228">
        <v>11.85</v>
      </c>
      <c r="K87" s="228">
        <v>11.48</v>
      </c>
      <c r="L87" s="228">
        <v>0.37</v>
      </c>
      <c r="M87" s="229">
        <v>3.2199999999999999E-2</v>
      </c>
      <c r="N87" s="228">
        <v>11.85</v>
      </c>
      <c r="O87" s="228">
        <v>11.51</v>
      </c>
      <c r="P87" s="228">
        <v>0.34</v>
      </c>
      <c r="Q87" s="229">
        <v>2.9499999999999998E-2</v>
      </c>
      <c r="R87" s="228">
        <v>11.94</v>
      </c>
      <c r="S87" s="228">
        <v>11.6</v>
      </c>
      <c r="T87" s="228">
        <v>0.34</v>
      </c>
      <c r="U87" s="229">
        <v>2.93E-2</v>
      </c>
      <c r="V87" s="228">
        <v>12.01</v>
      </c>
      <c r="W87" s="228">
        <v>11.68</v>
      </c>
      <c r="X87" s="228">
        <v>0.33</v>
      </c>
      <c r="Y87" s="229">
        <v>2.8299999999999999E-2</v>
      </c>
      <c r="Z87" s="228">
        <v>0</v>
      </c>
      <c r="AA87" s="228">
        <v>0.03</v>
      </c>
      <c r="AB87" s="228">
        <v>-0.03</v>
      </c>
      <c r="AC87" s="229">
        <v>0</v>
      </c>
      <c r="AD87" s="228">
        <v>0</v>
      </c>
      <c r="AE87" s="228">
        <v>0.03</v>
      </c>
      <c r="AF87" s="228">
        <v>-0.03</v>
      </c>
      <c r="AG87" s="229">
        <v>0</v>
      </c>
      <c r="AH87" s="228">
        <v>0.09</v>
      </c>
      <c r="AI87" s="228">
        <v>0.12</v>
      </c>
      <c r="AJ87" s="228">
        <v>-0.03</v>
      </c>
      <c r="AK87" s="229">
        <v>7.6E-3</v>
      </c>
      <c r="AL87" s="228">
        <v>0.16</v>
      </c>
      <c r="AM87" s="228">
        <v>0.2</v>
      </c>
      <c r="AN87" s="228">
        <v>-0.04</v>
      </c>
      <c r="AO87" s="229">
        <v>1.35E-2</v>
      </c>
      <c r="AP87" s="228">
        <v>11.72</v>
      </c>
      <c r="AQ87" s="228">
        <v>11.76</v>
      </c>
      <c r="AR87" s="228">
        <v>0</v>
      </c>
      <c r="AS87" s="230">
        <v>1162</v>
      </c>
      <c r="AT87" s="228">
        <v>565</v>
      </c>
      <c r="AU87" s="228">
        <v>597</v>
      </c>
      <c r="AV87" s="229">
        <v>1.0572999999999999</v>
      </c>
      <c r="AW87" s="228">
        <v>885</v>
      </c>
      <c r="AX87" s="228">
        <v>479</v>
      </c>
      <c r="AY87" s="228">
        <v>405</v>
      </c>
      <c r="AZ87" s="229">
        <v>0.84509999999999996</v>
      </c>
      <c r="BA87" s="228">
        <v>254</v>
      </c>
      <c r="BB87" s="228">
        <v>73</v>
      </c>
      <c r="BC87" s="228">
        <v>182</v>
      </c>
      <c r="BD87" s="229">
        <v>2.5082</v>
      </c>
      <c r="BE87" s="228">
        <v>23</v>
      </c>
      <c r="BF87" s="228">
        <v>13</v>
      </c>
      <c r="BG87" s="228">
        <v>10</v>
      </c>
      <c r="BH87" s="229">
        <v>0.78949999999999998</v>
      </c>
      <c r="BI87" s="230">
        <v>2213</v>
      </c>
      <c r="BJ87" s="228">
        <v>893</v>
      </c>
      <c r="BK87" s="230">
        <v>1320</v>
      </c>
      <c r="BL87" s="229">
        <v>1.4781</v>
      </c>
      <c r="BM87" s="228">
        <v>974</v>
      </c>
      <c r="BN87" s="228">
        <v>413</v>
      </c>
      <c r="BO87" s="228">
        <v>562</v>
      </c>
      <c r="BP87" s="229">
        <v>1.361</v>
      </c>
      <c r="BQ87" s="230">
        <v>4350</v>
      </c>
      <c r="BR87" s="230">
        <v>1871</v>
      </c>
      <c r="BS87" s="230">
        <v>2479</v>
      </c>
      <c r="BT87" s="229">
        <v>1.3251999999999999</v>
      </c>
      <c r="BU87" s="230">
        <v>926787744</v>
      </c>
      <c r="BV87" s="230">
        <v>429209162</v>
      </c>
      <c r="BW87" s="230">
        <v>497578582</v>
      </c>
      <c r="BX87" s="229">
        <v>1.1593</v>
      </c>
      <c r="BY87" s="230">
        <v>8458</v>
      </c>
      <c r="BZ87" s="230">
        <v>8521</v>
      </c>
      <c r="CA87" s="228">
        <v>-63</v>
      </c>
      <c r="CB87" s="229">
        <v>-7.4000000000000003E-3</v>
      </c>
      <c r="CC87" s="230">
        <v>7834</v>
      </c>
      <c r="CD87" s="230">
        <v>7994</v>
      </c>
      <c r="CE87" s="228">
        <v>-160</v>
      </c>
      <c r="CF87" s="229">
        <v>-0.02</v>
      </c>
      <c r="CG87" s="228">
        <v>580</v>
      </c>
      <c r="CH87" s="228">
        <v>487</v>
      </c>
      <c r="CI87" s="228">
        <v>92</v>
      </c>
      <c r="CJ87" s="229">
        <v>0.18959999999999999</v>
      </c>
      <c r="CK87" s="228">
        <v>44</v>
      </c>
      <c r="CL87" s="228">
        <v>40</v>
      </c>
      <c r="CM87" s="228">
        <v>4</v>
      </c>
      <c r="CN87" s="229">
        <v>0.1036</v>
      </c>
      <c r="CO87" s="230">
        <v>2035</v>
      </c>
      <c r="CP87" s="230">
        <v>2021</v>
      </c>
      <c r="CQ87" s="228">
        <v>14</v>
      </c>
      <c r="CR87" s="229">
        <v>7.1000000000000004E-3</v>
      </c>
      <c r="CS87" s="230">
        <v>1269</v>
      </c>
      <c r="CT87" s="230">
        <v>1241</v>
      </c>
      <c r="CU87" s="228">
        <v>28</v>
      </c>
      <c r="CV87" s="229">
        <v>2.2700000000000001E-2</v>
      </c>
      <c r="CW87" s="230">
        <v>11763</v>
      </c>
      <c r="CX87" s="230">
        <v>11783</v>
      </c>
      <c r="CY87" s="228">
        <v>-21</v>
      </c>
      <c r="CZ87" s="229">
        <v>-1.8E-3</v>
      </c>
      <c r="DA87" s="228">
        <v>55.63</v>
      </c>
      <c r="DB87" s="228">
        <v>56.15</v>
      </c>
      <c r="DC87" s="228">
        <v>-0.52</v>
      </c>
      <c r="DD87" s="228">
        <v>-0.52</v>
      </c>
      <c r="DE87" s="228">
        <v>67.63</v>
      </c>
      <c r="DF87" s="228">
        <v>67.680000000000007</v>
      </c>
      <c r="DG87" s="228">
        <v>-12</v>
      </c>
      <c r="DH87" s="228">
        <v>-0.05</v>
      </c>
      <c r="DI87" s="228">
        <v>55.57</v>
      </c>
      <c r="DJ87" s="228">
        <v>57.03</v>
      </c>
      <c r="DK87" s="228">
        <v>-1.46</v>
      </c>
      <c r="DL87" s="228">
        <v>-1.46</v>
      </c>
      <c r="DM87" s="228">
        <v>55.75</v>
      </c>
      <c r="DN87" s="228">
        <v>54.26</v>
      </c>
      <c r="DO87" s="228">
        <v>1.49</v>
      </c>
      <c r="DP87" s="228">
        <v>1.49</v>
      </c>
      <c r="DQ87" s="228">
        <v>0.62</v>
      </c>
      <c r="DR87" s="228">
        <v>0.61</v>
      </c>
      <c r="DS87" s="228">
        <v>0.01</v>
      </c>
      <c r="DT87" s="229">
        <v>1.6400000000000001E-2</v>
      </c>
      <c r="DU87" s="228">
        <v>12</v>
      </c>
      <c r="DV87" s="228">
        <v>10</v>
      </c>
      <c r="DW87" s="228">
        <v>0.44</v>
      </c>
      <c r="DX87" s="228">
        <v>0.46</v>
      </c>
      <c r="DY87" s="228">
        <v>-0.02</v>
      </c>
      <c r="DZ87" s="229">
        <v>-4.3499999999999997E-2</v>
      </c>
      <c r="EA87" s="229">
        <v>7.3800000000000004E-2</v>
      </c>
      <c r="EB87" s="230">
        <v>445146300</v>
      </c>
      <c r="EC87" s="229">
        <v>7.6E-3</v>
      </c>
      <c r="ED87" s="229">
        <v>7.3800000000000004E-2</v>
      </c>
      <c r="EE87" s="228">
        <v>0.04</v>
      </c>
      <c r="EF87" s="229">
        <v>3.3999999999999998E-3</v>
      </c>
      <c r="EG87" s="230">
        <v>295717448</v>
      </c>
      <c r="EH87" s="230">
        <v>121421633</v>
      </c>
      <c r="EI87" s="229">
        <v>1.4355</v>
      </c>
      <c r="EJ87" s="229">
        <v>0.31909999999999999</v>
      </c>
      <c r="EK87" s="231">
        <v>2430.33</v>
      </c>
      <c r="EL87" s="228">
        <v>908.66</v>
      </c>
      <c r="EM87" s="231">
        <v>1150.25</v>
      </c>
      <c r="EN87" s="228">
        <v>87.77</v>
      </c>
      <c r="EO87" s="231">
        <v>4489.24</v>
      </c>
      <c r="EP87" s="231">
        <v>1911.31</v>
      </c>
      <c r="EQ87" s="231">
        <v>2577.9299999999998</v>
      </c>
      <c r="ER87" s="229">
        <v>1.3488</v>
      </c>
      <c r="ES87" s="231">
        <v>2156.42</v>
      </c>
      <c r="ET87" s="231">
        <v>1115.07</v>
      </c>
      <c r="EU87" s="231">
        <v>8463.18</v>
      </c>
      <c r="EV87" s="231">
        <v>12037179660</v>
      </c>
      <c r="EW87" s="231">
        <v>11734.68</v>
      </c>
      <c r="EX87" s="231">
        <v>11496.41</v>
      </c>
      <c r="EY87" s="228">
        <v>238.27</v>
      </c>
      <c r="EZ87" s="229">
        <v>2.07E-2</v>
      </c>
      <c r="FA87" s="229">
        <v>0.8246</v>
      </c>
      <c r="FB87" s="227" t="s">
        <v>556</v>
      </c>
      <c r="FC87">
        <f t="shared" si="1"/>
        <v>624</v>
      </c>
    </row>
    <row r="88" spans="1:159" ht="17.25" hidden="1" thickBot="1" x14ac:dyDescent="0.3">
      <c r="A88" s="226">
        <v>46064</v>
      </c>
      <c r="B88" s="227" t="s">
        <v>172</v>
      </c>
      <c r="C88" s="227" t="s">
        <v>235</v>
      </c>
      <c r="D88" s="228">
        <v>9275</v>
      </c>
      <c r="E88" s="228">
        <v>13</v>
      </c>
      <c r="F88" s="228">
        <v>82.73</v>
      </c>
      <c r="G88" s="228">
        <v>84.08</v>
      </c>
      <c r="H88" s="228">
        <v>-1.35</v>
      </c>
      <c r="I88" s="229">
        <v>-1.61E-2</v>
      </c>
      <c r="J88" s="228">
        <v>82.56</v>
      </c>
      <c r="K88" s="228">
        <v>83.77</v>
      </c>
      <c r="L88" s="228">
        <v>-1.21</v>
      </c>
      <c r="M88" s="229">
        <v>-1.44E-2</v>
      </c>
      <c r="N88" s="228">
        <v>82.73</v>
      </c>
      <c r="O88" s="228">
        <v>84.08</v>
      </c>
      <c r="P88" s="228">
        <v>-1.35</v>
      </c>
      <c r="Q88" s="229">
        <v>-1.61E-2</v>
      </c>
      <c r="R88" s="228">
        <v>83.23</v>
      </c>
      <c r="S88" s="228">
        <v>84.58</v>
      </c>
      <c r="T88" s="228">
        <v>-1.35</v>
      </c>
      <c r="U88" s="229">
        <v>-1.6E-2</v>
      </c>
      <c r="V88" s="228">
        <v>83.74</v>
      </c>
      <c r="W88" s="228">
        <v>85</v>
      </c>
      <c r="X88" s="228">
        <v>-1.26</v>
      </c>
      <c r="Y88" s="229">
        <v>-1.4800000000000001E-2</v>
      </c>
      <c r="Z88" s="228">
        <v>0.17</v>
      </c>
      <c r="AA88" s="228">
        <v>0.31</v>
      </c>
      <c r="AB88" s="228">
        <v>-0.14000000000000001</v>
      </c>
      <c r="AC88" s="229">
        <v>2.0999999999999999E-3</v>
      </c>
      <c r="AD88" s="228">
        <v>0.17</v>
      </c>
      <c r="AE88" s="228">
        <v>0.31</v>
      </c>
      <c r="AF88" s="228">
        <v>-0.14000000000000001</v>
      </c>
      <c r="AG88" s="229">
        <v>2.0999999999999999E-3</v>
      </c>
      <c r="AH88" s="228">
        <v>0.67</v>
      </c>
      <c r="AI88" s="228">
        <v>0.81</v>
      </c>
      <c r="AJ88" s="228">
        <v>-0.14000000000000001</v>
      </c>
      <c r="AK88" s="229">
        <v>8.0999999999999996E-3</v>
      </c>
      <c r="AL88" s="228">
        <v>1.18</v>
      </c>
      <c r="AM88" s="228">
        <v>1.23</v>
      </c>
      <c r="AN88" s="228">
        <v>-0.05</v>
      </c>
      <c r="AO88" s="229">
        <v>1.43E-2</v>
      </c>
      <c r="AP88" s="228">
        <v>83.08</v>
      </c>
      <c r="AQ88" s="228">
        <v>83.61</v>
      </c>
      <c r="AR88" s="228">
        <v>0</v>
      </c>
      <c r="AS88" s="228">
        <v>380</v>
      </c>
      <c r="AT88" s="228">
        <v>266</v>
      </c>
      <c r="AU88" s="228">
        <v>114</v>
      </c>
      <c r="AV88" s="229">
        <v>0.4264</v>
      </c>
      <c r="AW88" s="228">
        <v>319</v>
      </c>
      <c r="AX88" s="228">
        <v>221</v>
      </c>
      <c r="AY88" s="228">
        <v>98</v>
      </c>
      <c r="AZ88" s="229">
        <v>0.44550000000000001</v>
      </c>
      <c r="BA88" s="228">
        <v>54</v>
      </c>
      <c r="BB88" s="228">
        <v>38</v>
      </c>
      <c r="BC88" s="228">
        <v>16</v>
      </c>
      <c r="BD88" s="229">
        <v>0.4128</v>
      </c>
      <c r="BE88" s="228">
        <v>7</v>
      </c>
      <c r="BF88" s="228">
        <v>7</v>
      </c>
      <c r="BG88" s="228">
        <v>-1</v>
      </c>
      <c r="BH88" s="229">
        <v>-8.5099999999999995E-2</v>
      </c>
      <c r="BI88" s="228">
        <v>828</v>
      </c>
      <c r="BJ88" s="228">
        <v>718</v>
      </c>
      <c r="BK88" s="228">
        <v>110</v>
      </c>
      <c r="BL88" s="229">
        <v>0.1532</v>
      </c>
      <c r="BM88" s="228">
        <v>484</v>
      </c>
      <c r="BN88" s="228">
        <v>287</v>
      </c>
      <c r="BO88" s="228">
        <v>197</v>
      </c>
      <c r="BP88" s="229">
        <v>0.68559999999999999</v>
      </c>
      <c r="BQ88" s="230">
        <v>1692</v>
      </c>
      <c r="BR88" s="230">
        <v>1272</v>
      </c>
      <c r="BS88" s="228">
        <v>420</v>
      </c>
      <c r="BT88" s="229">
        <v>0.3306</v>
      </c>
      <c r="BU88" s="230">
        <v>22180199</v>
      </c>
      <c r="BV88" s="230">
        <v>17782456</v>
      </c>
      <c r="BW88" s="230">
        <v>4397743</v>
      </c>
      <c r="BX88" s="229">
        <v>0.24729999999999999</v>
      </c>
      <c r="BY88" s="230">
        <v>2390</v>
      </c>
      <c r="BZ88" s="230">
        <v>2292</v>
      </c>
      <c r="CA88" s="228">
        <v>98</v>
      </c>
      <c r="CB88" s="229">
        <v>4.2799999999999998E-2</v>
      </c>
      <c r="CC88" s="230">
        <v>2188</v>
      </c>
      <c r="CD88" s="230">
        <v>2118</v>
      </c>
      <c r="CE88" s="228">
        <v>69</v>
      </c>
      <c r="CF88" s="229">
        <v>3.2599999999999997E-2</v>
      </c>
      <c r="CG88" s="228">
        <v>179</v>
      </c>
      <c r="CH88" s="228">
        <v>155</v>
      </c>
      <c r="CI88" s="228">
        <v>24</v>
      </c>
      <c r="CJ88" s="229">
        <v>0.15770000000000001</v>
      </c>
      <c r="CK88" s="228">
        <v>23</v>
      </c>
      <c r="CL88" s="228">
        <v>19</v>
      </c>
      <c r="CM88" s="228">
        <v>5</v>
      </c>
      <c r="CN88" s="229">
        <v>0.25</v>
      </c>
      <c r="CO88" s="230">
        <v>1185</v>
      </c>
      <c r="CP88" s="230">
        <v>1093</v>
      </c>
      <c r="CQ88" s="228">
        <v>92</v>
      </c>
      <c r="CR88" s="229">
        <v>8.4199999999999997E-2</v>
      </c>
      <c r="CS88" s="228">
        <v>811</v>
      </c>
      <c r="CT88" s="228">
        <v>777</v>
      </c>
      <c r="CU88" s="228">
        <v>34</v>
      </c>
      <c r="CV88" s="229">
        <v>4.3499999999999997E-2</v>
      </c>
      <c r="CW88" s="230">
        <v>4386</v>
      </c>
      <c r="CX88" s="230">
        <v>4162</v>
      </c>
      <c r="CY88" s="228">
        <v>224</v>
      </c>
      <c r="CZ88" s="229">
        <v>5.3800000000000001E-2</v>
      </c>
      <c r="DA88" s="228">
        <v>28.67</v>
      </c>
      <c r="DB88" s="228">
        <v>27.32</v>
      </c>
      <c r="DC88" s="228">
        <v>1.35</v>
      </c>
      <c r="DD88" s="228">
        <v>1.35</v>
      </c>
      <c r="DE88" s="228">
        <v>31.83</v>
      </c>
      <c r="DF88" s="228">
        <v>31.83</v>
      </c>
      <c r="DG88" s="228">
        <v>-3.16</v>
      </c>
      <c r="DH88" s="228">
        <v>0</v>
      </c>
      <c r="DI88" s="228">
        <v>29.01</v>
      </c>
      <c r="DJ88" s="228">
        <v>27.48</v>
      </c>
      <c r="DK88" s="228">
        <v>1.53</v>
      </c>
      <c r="DL88" s="228">
        <v>1.53</v>
      </c>
      <c r="DM88" s="228">
        <v>28.1</v>
      </c>
      <c r="DN88" s="228">
        <v>26.92</v>
      </c>
      <c r="DO88" s="228">
        <v>1.18</v>
      </c>
      <c r="DP88" s="228">
        <v>1.18</v>
      </c>
      <c r="DQ88" s="228">
        <v>0.68</v>
      </c>
      <c r="DR88" s="228">
        <v>0.71</v>
      </c>
      <c r="DS88" s="228">
        <v>-0.03</v>
      </c>
      <c r="DT88" s="229">
        <v>-4.2299999999999997E-2</v>
      </c>
      <c r="DU88" s="228">
        <v>85</v>
      </c>
      <c r="DV88" s="228">
        <v>80</v>
      </c>
      <c r="DW88" s="228">
        <v>0.57999999999999996</v>
      </c>
      <c r="DX88" s="228">
        <v>0.4</v>
      </c>
      <c r="DY88" s="228">
        <v>0.18</v>
      </c>
      <c r="DZ88" s="229">
        <v>0.45</v>
      </c>
      <c r="EA88" s="229">
        <v>8.4699999999999998E-2</v>
      </c>
      <c r="EB88" s="230">
        <v>20961500</v>
      </c>
      <c r="EC88" s="229">
        <v>6.0000000000000001E-3</v>
      </c>
      <c r="ED88" s="229">
        <v>8.4699999999999998E-2</v>
      </c>
      <c r="EE88" s="228">
        <v>0.53</v>
      </c>
      <c r="EF88" s="229">
        <v>6.4000000000000003E-3</v>
      </c>
      <c r="EG88" s="230">
        <v>12220791</v>
      </c>
      <c r="EH88" s="230">
        <v>10384769</v>
      </c>
      <c r="EI88" s="229">
        <v>0.17680000000000001</v>
      </c>
      <c r="EJ88" s="229">
        <v>0.55100000000000005</v>
      </c>
      <c r="EK88" s="228">
        <v>875.56</v>
      </c>
      <c r="EL88" s="228">
        <v>478.15</v>
      </c>
      <c r="EM88" s="228">
        <v>382.16</v>
      </c>
      <c r="EN88" s="228">
        <v>42.55</v>
      </c>
      <c r="EO88" s="231">
        <v>1735.87</v>
      </c>
      <c r="EP88" s="231">
        <v>1328.2</v>
      </c>
      <c r="EQ88" s="228">
        <v>407.67</v>
      </c>
      <c r="ER88" s="229">
        <v>0.30690000000000001</v>
      </c>
      <c r="ES88" s="231">
        <v>1251.9100000000001</v>
      </c>
      <c r="ET88" s="228">
        <v>791.91</v>
      </c>
      <c r="EU88" s="231">
        <v>2391.42</v>
      </c>
      <c r="EV88" s="231">
        <v>936861183</v>
      </c>
      <c r="EW88" s="231">
        <v>4435.24</v>
      </c>
      <c r="EX88" s="231">
        <v>4249.54</v>
      </c>
      <c r="EY88" s="228">
        <v>185.7</v>
      </c>
      <c r="EZ88" s="229">
        <v>4.3700000000000003E-2</v>
      </c>
      <c r="FA88" s="229">
        <v>0.56589999999999996</v>
      </c>
      <c r="FB88" s="227" t="s">
        <v>567</v>
      </c>
      <c r="FC88">
        <f t="shared" si="1"/>
        <v>202</v>
      </c>
    </row>
    <row r="89" spans="1:159" ht="17.25" hidden="1" thickBot="1" x14ac:dyDescent="0.3">
      <c r="A89" s="226">
        <v>46064</v>
      </c>
      <c r="B89" s="227" t="s">
        <v>161</v>
      </c>
      <c r="C89" s="227" t="s">
        <v>514</v>
      </c>
      <c r="D89" s="228">
        <v>3750</v>
      </c>
      <c r="E89" s="228">
        <v>13</v>
      </c>
      <c r="F89" s="228">
        <v>127.65</v>
      </c>
      <c r="G89" s="228">
        <v>126.23</v>
      </c>
      <c r="H89" s="228">
        <v>1.42</v>
      </c>
      <c r="I89" s="229">
        <v>1.12E-2</v>
      </c>
      <c r="J89" s="228">
        <v>127.16</v>
      </c>
      <c r="K89" s="228">
        <v>126.14</v>
      </c>
      <c r="L89" s="228">
        <v>1.02</v>
      </c>
      <c r="M89" s="229">
        <v>8.0999999999999996E-3</v>
      </c>
      <c r="N89" s="228">
        <v>127.65</v>
      </c>
      <c r="O89" s="228">
        <v>126.23</v>
      </c>
      <c r="P89" s="228">
        <v>1.42</v>
      </c>
      <c r="Q89" s="229">
        <v>1.12E-2</v>
      </c>
      <c r="R89" s="228">
        <v>128.33000000000001</v>
      </c>
      <c r="S89" s="228">
        <v>126.85</v>
      </c>
      <c r="T89" s="228">
        <v>1.48</v>
      </c>
      <c r="U89" s="229">
        <v>1.17E-2</v>
      </c>
      <c r="V89" s="228">
        <v>128.97</v>
      </c>
      <c r="W89" s="228">
        <v>127.74</v>
      </c>
      <c r="X89" s="228">
        <v>1.23</v>
      </c>
      <c r="Y89" s="229">
        <v>9.5999999999999992E-3</v>
      </c>
      <c r="Z89" s="228">
        <v>0.49</v>
      </c>
      <c r="AA89" s="228">
        <v>0.09</v>
      </c>
      <c r="AB89" s="228">
        <v>0.4</v>
      </c>
      <c r="AC89" s="229">
        <v>3.8999999999999998E-3</v>
      </c>
      <c r="AD89" s="228">
        <v>0.49</v>
      </c>
      <c r="AE89" s="228">
        <v>0.09</v>
      </c>
      <c r="AF89" s="228">
        <v>0.4</v>
      </c>
      <c r="AG89" s="229">
        <v>3.8999999999999998E-3</v>
      </c>
      <c r="AH89" s="228">
        <v>1.17</v>
      </c>
      <c r="AI89" s="228">
        <v>0.71</v>
      </c>
      <c r="AJ89" s="228">
        <v>0.46</v>
      </c>
      <c r="AK89" s="229">
        <v>9.1999999999999998E-3</v>
      </c>
      <c r="AL89" s="228">
        <v>1.81</v>
      </c>
      <c r="AM89" s="228">
        <v>1.6</v>
      </c>
      <c r="AN89" s="228">
        <v>0.21</v>
      </c>
      <c r="AO89" s="229">
        <v>1.4200000000000001E-2</v>
      </c>
      <c r="AP89" s="228">
        <v>126.8</v>
      </c>
      <c r="AQ89" s="228">
        <v>127.41</v>
      </c>
      <c r="AR89" s="228">
        <v>0</v>
      </c>
      <c r="AS89" s="228">
        <v>180</v>
      </c>
      <c r="AT89" s="228">
        <v>143</v>
      </c>
      <c r="AU89" s="228">
        <v>37</v>
      </c>
      <c r="AV89" s="229">
        <v>0.26119999999999999</v>
      </c>
      <c r="AW89" s="228">
        <v>142</v>
      </c>
      <c r="AX89" s="228">
        <v>114</v>
      </c>
      <c r="AY89" s="228">
        <v>27</v>
      </c>
      <c r="AZ89" s="229">
        <v>0.23780000000000001</v>
      </c>
      <c r="BA89" s="228">
        <v>35</v>
      </c>
      <c r="BB89" s="228">
        <v>24</v>
      </c>
      <c r="BC89" s="228">
        <v>10</v>
      </c>
      <c r="BD89" s="229">
        <v>0.43540000000000001</v>
      </c>
      <c r="BE89" s="228">
        <v>4</v>
      </c>
      <c r="BF89" s="228">
        <v>4</v>
      </c>
      <c r="BG89" s="228">
        <v>0</v>
      </c>
      <c r="BH89" s="229">
        <v>-0.10340000000000001</v>
      </c>
      <c r="BI89" s="228">
        <v>498</v>
      </c>
      <c r="BJ89" s="228">
        <v>388</v>
      </c>
      <c r="BK89" s="228">
        <v>110</v>
      </c>
      <c r="BL89" s="229">
        <v>0.28370000000000001</v>
      </c>
      <c r="BM89" s="228">
        <v>143</v>
      </c>
      <c r="BN89" s="228">
        <v>159</v>
      </c>
      <c r="BO89" s="228">
        <v>-17</v>
      </c>
      <c r="BP89" s="229">
        <v>-0.1038</v>
      </c>
      <c r="BQ89" s="228">
        <v>820</v>
      </c>
      <c r="BR89" s="228">
        <v>690</v>
      </c>
      <c r="BS89" s="228">
        <v>131</v>
      </c>
      <c r="BT89" s="229">
        <v>0.18959999999999999</v>
      </c>
      <c r="BU89" s="230">
        <v>6473556</v>
      </c>
      <c r="BV89" s="230">
        <v>10180188</v>
      </c>
      <c r="BW89" s="230">
        <v>-3706632</v>
      </c>
      <c r="BX89" s="229">
        <v>-0.36409999999999998</v>
      </c>
      <c r="BY89" s="230">
        <v>1092</v>
      </c>
      <c r="BZ89" s="230">
        <v>1104</v>
      </c>
      <c r="CA89" s="228">
        <v>-12</v>
      </c>
      <c r="CB89" s="229">
        <v>-1.1299999999999999E-2</v>
      </c>
      <c r="CC89" s="228">
        <v>965</v>
      </c>
      <c r="CD89" s="228">
        <v>991</v>
      </c>
      <c r="CE89" s="228">
        <v>-25</v>
      </c>
      <c r="CF89" s="229">
        <v>-2.5600000000000001E-2</v>
      </c>
      <c r="CG89" s="228">
        <v>113</v>
      </c>
      <c r="CH89" s="228">
        <v>101</v>
      </c>
      <c r="CI89" s="228">
        <v>12</v>
      </c>
      <c r="CJ89" s="229">
        <v>0.1237</v>
      </c>
      <c r="CK89" s="228">
        <v>13</v>
      </c>
      <c r="CL89" s="228">
        <v>13</v>
      </c>
      <c r="CM89" s="228">
        <v>0</v>
      </c>
      <c r="CN89" s="229">
        <v>3.3799999999999997E-2</v>
      </c>
      <c r="CO89" s="228">
        <v>908</v>
      </c>
      <c r="CP89" s="228">
        <v>879</v>
      </c>
      <c r="CQ89" s="228">
        <v>30</v>
      </c>
      <c r="CR89" s="229">
        <v>3.3700000000000001E-2</v>
      </c>
      <c r="CS89" s="228">
        <v>613</v>
      </c>
      <c r="CT89" s="228">
        <v>608</v>
      </c>
      <c r="CU89" s="228">
        <v>5</v>
      </c>
      <c r="CV89" s="229">
        <v>8.6999999999999994E-3</v>
      </c>
      <c r="CW89" s="230">
        <v>2613</v>
      </c>
      <c r="CX89" s="230">
        <v>2591</v>
      </c>
      <c r="CY89" s="228">
        <v>22</v>
      </c>
      <c r="CZ89" s="229">
        <v>8.6E-3</v>
      </c>
      <c r="DA89" s="228">
        <v>45.65</v>
      </c>
      <c r="DB89" s="228">
        <v>43.57</v>
      </c>
      <c r="DC89" s="228">
        <v>2.08</v>
      </c>
      <c r="DD89" s="228">
        <v>2.08</v>
      </c>
      <c r="DE89" s="228">
        <v>53.66</v>
      </c>
      <c r="DF89" s="228">
        <v>53.78</v>
      </c>
      <c r="DG89" s="228">
        <v>-8.01</v>
      </c>
      <c r="DH89" s="228">
        <v>-0.12</v>
      </c>
      <c r="DI89" s="228">
        <v>45.53</v>
      </c>
      <c r="DJ89" s="228">
        <v>43.47</v>
      </c>
      <c r="DK89" s="228">
        <v>2.06</v>
      </c>
      <c r="DL89" s="228">
        <v>2.06</v>
      </c>
      <c r="DM89" s="228">
        <v>46.07</v>
      </c>
      <c r="DN89" s="228">
        <v>43.8</v>
      </c>
      <c r="DO89" s="228">
        <v>2.27</v>
      </c>
      <c r="DP89" s="228">
        <v>2.27</v>
      </c>
      <c r="DQ89" s="228">
        <v>0.67</v>
      </c>
      <c r="DR89" s="228">
        <v>0.69</v>
      </c>
      <c r="DS89" s="228">
        <v>-0.02</v>
      </c>
      <c r="DT89" s="229">
        <v>-2.9000000000000001E-2</v>
      </c>
      <c r="DU89" s="228">
        <v>130</v>
      </c>
      <c r="DV89" s="228">
        <v>140</v>
      </c>
      <c r="DW89" s="228">
        <v>0.28999999999999998</v>
      </c>
      <c r="DX89" s="228">
        <v>0.41</v>
      </c>
      <c r="DY89" s="228">
        <v>-0.12</v>
      </c>
      <c r="DZ89" s="229">
        <v>-0.29270000000000002</v>
      </c>
      <c r="EA89" s="229">
        <v>0.11559999999999999</v>
      </c>
      <c r="EB89" s="230">
        <v>8880000</v>
      </c>
      <c r="EC89" s="229">
        <v>5.3E-3</v>
      </c>
      <c r="ED89" s="229">
        <v>0.11559999999999999</v>
      </c>
      <c r="EE89" s="228">
        <v>0.61</v>
      </c>
      <c r="EF89" s="229">
        <v>4.7999999999999996E-3</v>
      </c>
      <c r="EG89" s="230">
        <v>3163007</v>
      </c>
      <c r="EH89" s="230">
        <v>5137400</v>
      </c>
      <c r="EI89" s="229">
        <v>-0.38429999999999997</v>
      </c>
      <c r="EJ89" s="229">
        <v>0.48859999999999998</v>
      </c>
      <c r="EK89" s="228">
        <v>531.16999999999996</v>
      </c>
      <c r="EL89" s="228">
        <v>138.38999999999999</v>
      </c>
      <c r="EM89" s="228">
        <v>178.85</v>
      </c>
      <c r="EN89" s="228">
        <v>42.68</v>
      </c>
      <c r="EO89" s="228">
        <v>848.42</v>
      </c>
      <c r="EP89" s="228">
        <v>707.11</v>
      </c>
      <c r="EQ89" s="228">
        <v>141.31</v>
      </c>
      <c r="ER89" s="229">
        <v>0.19980000000000001</v>
      </c>
      <c r="ES89" s="228">
        <v>977.31</v>
      </c>
      <c r="ET89" s="228">
        <v>607.51</v>
      </c>
      <c r="EU89" s="231">
        <v>1092.3900000000001</v>
      </c>
      <c r="EV89" s="231">
        <v>133395043</v>
      </c>
      <c r="EW89" s="231">
        <v>2677.21</v>
      </c>
      <c r="EX89" s="231">
        <v>2639.63</v>
      </c>
      <c r="EY89" s="228">
        <v>37.58</v>
      </c>
      <c r="EZ89" s="229">
        <v>1.4200000000000001E-2</v>
      </c>
      <c r="FA89" s="229">
        <v>1.5345</v>
      </c>
      <c r="FB89" s="227" t="s">
        <v>556</v>
      </c>
      <c r="FC89">
        <f t="shared" si="1"/>
        <v>127</v>
      </c>
    </row>
    <row r="90" spans="1:159" ht="17.25" hidden="1" thickBot="1" x14ac:dyDescent="0.3">
      <c r="A90" s="226">
        <v>46064</v>
      </c>
      <c r="B90" s="227" t="s">
        <v>206</v>
      </c>
      <c r="C90" s="227" t="s">
        <v>501</v>
      </c>
      <c r="D90" s="228">
        <v>1000</v>
      </c>
      <c r="E90" s="228">
        <v>13</v>
      </c>
      <c r="F90" s="228">
        <v>708.45</v>
      </c>
      <c r="G90" s="228">
        <v>703.25</v>
      </c>
      <c r="H90" s="228">
        <v>5.2</v>
      </c>
      <c r="I90" s="229">
        <v>7.4000000000000003E-3</v>
      </c>
      <c r="J90" s="228">
        <v>707.55</v>
      </c>
      <c r="K90" s="228">
        <v>702.55</v>
      </c>
      <c r="L90" s="228">
        <v>5</v>
      </c>
      <c r="M90" s="229">
        <v>7.1000000000000004E-3</v>
      </c>
      <c r="N90" s="228">
        <v>708.45</v>
      </c>
      <c r="O90" s="228">
        <v>703.25</v>
      </c>
      <c r="P90" s="228">
        <v>5.2</v>
      </c>
      <c r="Q90" s="229">
        <v>7.4000000000000003E-3</v>
      </c>
      <c r="R90" s="228">
        <v>712.7</v>
      </c>
      <c r="S90" s="228">
        <v>707.55</v>
      </c>
      <c r="T90" s="228">
        <v>5.15</v>
      </c>
      <c r="U90" s="229">
        <v>7.3000000000000001E-3</v>
      </c>
      <c r="V90" s="228">
        <v>717.4</v>
      </c>
      <c r="W90" s="228">
        <v>712.3</v>
      </c>
      <c r="X90" s="228">
        <v>5.0999999999999996</v>
      </c>
      <c r="Y90" s="229">
        <v>7.1999999999999998E-3</v>
      </c>
      <c r="Z90" s="228">
        <v>0.9</v>
      </c>
      <c r="AA90" s="228">
        <v>0.7</v>
      </c>
      <c r="AB90" s="228">
        <v>0.2</v>
      </c>
      <c r="AC90" s="229">
        <v>1.2999999999999999E-3</v>
      </c>
      <c r="AD90" s="228">
        <v>0.9</v>
      </c>
      <c r="AE90" s="228">
        <v>0.7</v>
      </c>
      <c r="AF90" s="228">
        <v>0.2</v>
      </c>
      <c r="AG90" s="229">
        <v>1.2999999999999999E-3</v>
      </c>
      <c r="AH90" s="228">
        <v>5.15</v>
      </c>
      <c r="AI90" s="228">
        <v>5</v>
      </c>
      <c r="AJ90" s="228">
        <v>0.15</v>
      </c>
      <c r="AK90" s="229">
        <v>7.3000000000000001E-3</v>
      </c>
      <c r="AL90" s="228">
        <v>9.85</v>
      </c>
      <c r="AM90" s="228">
        <v>9.75</v>
      </c>
      <c r="AN90" s="228">
        <v>0.1</v>
      </c>
      <c r="AO90" s="229">
        <v>1.3899999999999999E-2</v>
      </c>
      <c r="AP90" s="228">
        <v>705.8</v>
      </c>
      <c r="AQ90" s="228">
        <v>709.12</v>
      </c>
      <c r="AR90" s="228">
        <v>0</v>
      </c>
      <c r="AS90" s="228">
        <v>217</v>
      </c>
      <c r="AT90" s="228">
        <v>237</v>
      </c>
      <c r="AU90" s="228">
        <v>-21</v>
      </c>
      <c r="AV90" s="229">
        <v>-8.72E-2</v>
      </c>
      <c r="AW90" s="228">
        <v>201</v>
      </c>
      <c r="AX90" s="228">
        <v>216</v>
      </c>
      <c r="AY90" s="228">
        <v>-15</v>
      </c>
      <c r="AZ90" s="229">
        <v>-6.7299999999999999E-2</v>
      </c>
      <c r="BA90" s="228">
        <v>14</v>
      </c>
      <c r="BB90" s="228">
        <v>20</v>
      </c>
      <c r="BC90" s="228">
        <v>-6</v>
      </c>
      <c r="BD90" s="229">
        <v>-0.30940000000000001</v>
      </c>
      <c r="BE90" s="228">
        <v>2</v>
      </c>
      <c r="BF90" s="228">
        <v>2</v>
      </c>
      <c r="BG90" s="228">
        <v>0</v>
      </c>
      <c r="BH90" s="229">
        <v>-4.1700000000000001E-2</v>
      </c>
      <c r="BI90" s="228">
        <v>885</v>
      </c>
      <c r="BJ90" s="228">
        <v>879</v>
      </c>
      <c r="BK90" s="228">
        <v>7</v>
      </c>
      <c r="BL90" s="229">
        <v>7.6E-3</v>
      </c>
      <c r="BM90" s="228">
        <v>267</v>
      </c>
      <c r="BN90" s="228">
        <v>249</v>
      </c>
      <c r="BO90" s="228">
        <v>18</v>
      </c>
      <c r="BP90" s="229">
        <v>7.2599999999999998E-2</v>
      </c>
      <c r="BQ90" s="230">
        <v>1369</v>
      </c>
      <c r="BR90" s="230">
        <v>1365</v>
      </c>
      <c r="BS90" s="228">
        <v>4</v>
      </c>
      <c r="BT90" s="229">
        <v>3.0000000000000001E-3</v>
      </c>
      <c r="BU90" s="230">
        <v>1390901</v>
      </c>
      <c r="BV90" s="230">
        <v>1373931</v>
      </c>
      <c r="BW90" s="230">
        <v>16970</v>
      </c>
      <c r="BX90" s="229">
        <v>1.24E-2</v>
      </c>
      <c r="BY90" s="230">
        <v>1864</v>
      </c>
      <c r="BZ90" s="230">
        <v>1844</v>
      </c>
      <c r="CA90" s="228">
        <v>20</v>
      </c>
      <c r="CB90" s="229">
        <v>1.0999999999999999E-2</v>
      </c>
      <c r="CC90" s="230">
        <v>1805</v>
      </c>
      <c r="CD90" s="230">
        <v>1789</v>
      </c>
      <c r="CE90" s="228">
        <v>16</v>
      </c>
      <c r="CF90" s="229">
        <v>9.1999999999999998E-3</v>
      </c>
      <c r="CG90" s="228">
        <v>53</v>
      </c>
      <c r="CH90" s="228">
        <v>51</v>
      </c>
      <c r="CI90" s="228">
        <v>3</v>
      </c>
      <c r="CJ90" s="229">
        <v>5.6099999999999997E-2</v>
      </c>
      <c r="CK90" s="228">
        <v>6</v>
      </c>
      <c r="CL90" s="228">
        <v>5</v>
      </c>
      <c r="CM90" s="228">
        <v>1</v>
      </c>
      <c r="CN90" s="229">
        <v>0.19400000000000001</v>
      </c>
      <c r="CO90" s="228">
        <v>736</v>
      </c>
      <c r="CP90" s="228">
        <v>629</v>
      </c>
      <c r="CQ90" s="228">
        <v>107</v>
      </c>
      <c r="CR90" s="229">
        <v>0.17030000000000001</v>
      </c>
      <c r="CS90" s="228">
        <v>575</v>
      </c>
      <c r="CT90" s="228">
        <v>531</v>
      </c>
      <c r="CU90" s="228">
        <v>44</v>
      </c>
      <c r="CV90" s="229">
        <v>8.2000000000000003E-2</v>
      </c>
      <c r="CW90" s="230">
        <v>3175</v>
      </c>
      <c r="CX90" s="230">
        <v>3004</v>
      </c>
      <c r="CY90" s="228">
        <v>171</v>
      </c>
      <c r="CZ90" s="229">
        <v>5.6899999999999999E-2</v>
      </c>
      <c r="DA90" s="228">
        <v>35.67</v>
      </c>
      <c r="DB90" s="228">
        <v>31.52</v>
      </c>
      <c r="DC90" s="228">
        <v>4.1500000000000004</v>
      </c>
      <c r="DD90" s="228">
        <v>4.1500000000000004</v>
      </c>
      <c r="DE90" s="228">
        <v>32.9</v>
      </c>
      <c r="DF90" s="228">
        <v>32.97</v>
      </c>
      <c r="DG90" s="228">
        <v>2.77</v>
      </c>
      <c r="DH90" s="228">
        <v>-7.0000000000000007E-2</v>
      </c>
      <c r="DI90" s="228">
        <v>35.479999999999997</v>
      </c>
      <c r="DJ90" s="228">
        <v>31.19</v>
      </c>
      <c r="DK90" s="228">
        <v>4.29</v>
      </c>
      <c r="DL90" s="228">
        <v>4.29</v>
      </c>
      <c r="DM90" s="228">
        <v>36.31</v>
      </c>
      <c r="DN90" s="228">
        <v>32.71</v>
      </c>
      <c r="DO90" s="228">
        <v>3.6</v>
      </c>
      <c r="DP90" s="228">
        <v>3.6</v>
      </c>
      <c r="DQ90" s="228">
        <v>0.78</v>
      </c>
      <c r="DR90" s="228">
        <v>0.84</v>
      </c>
      <c r="DS90" s="228">
        <v>-0.06</v>
      </c>
      <c r="DT90" s="229">
        <v>-7.1400000000000005E-2</v>
      </c>
      <c r="DU90" s="228">
        <v>720</v>
      </c>
      <c r="DV90" s="228">
        <v>650</v>
      </c>
      <c r="DW90" s="228">
        <v>0.3</v>
      </c>
      <c r="DX90" s="228">
        <v>0.28000000000000003</v>
      </c>
      <c r="DY90" s="228">
        <v>0.02</v>
      </c>
      <c r="DZ90" s="229">
        <v>7.1400000000000005E-2</v>
      </c>
      <c r="EA90" s="229">
        <v>3.1699999999999999E-2</v>
      </c>
      <c r="EB90" s="230">
        <v>780000</v>
      </c>
      <c r="EC90" s="229">
        <v>6.0000000000000001E-3</v>
      </c>
      <c r="ED90" s="229">
        <v>3.1699999999999999E-2</v>
      </c>
      <c r="EE90" s="228">
        <v>3.32</v>
      </c>
      <c r="EF90" s="229">
        <v>4.7000000000000002E-3</v>
      </c>
      <c r="EG90" s="230">
        <v>856133</v>
      </c>
      <c r="EH90" s="230">
        <v>610224</v>
      </c>
      <c r="EI90" s="229">
        <v>0.40300000000000002</v>
      </c>
      <c r="EJ90" s="229">
        <v>0.61550000000000005</v>
      </c>
      <c r="EK90" s="228">
        <v>927.33</v>
      </c>
      <c r="EL90" s="228">
        <v>256.06</v>
      </c>
      <c r="EM90" s="228">
        <v>215.91</v>
      </c>
      <c r="EN90" s="228">
        <v>29.09</v>
      </c>
      <c r="EO90" s="231">
        <v>1399.31</v>
      </c>
      <c r="EP90" s="231">
        <v>1387.21</v>
      </c>
      <c r="EQ90" s="228">
        <v>12.1</v>
      </c>
      <c r="ER90" s="229">
        <v>8.6999999999999994E-3</v>
      </c>
      <c r="ES90" s="228">
        <v>747.06</v>
      </c>
      <c r="ET90" s="228">
        <v>546.99</v>
      </c>
      <c r="EU90" s="231">
        <v>1864.47</v>
      </c>
      <c r="EV90" s="231">
        <v>132129624</v>
      </c>
      <c r="EW90" s="231">
        <v>3158.52</v>
      </c>
      <c r="EX90" s="231">
        <v>2967.81</v>
      </c>
      <c r="EY90" s="228">
        <v>190.71</v>
      </c>
      <c r="EZ90" s="229">
        <v>6.4299999999999996E-2</v>
      </c>
      <c r="FA90" s="229">
        <v>0.3392</v>
      </c>
      <c r="FB90" s="227" t="s">
        <v>555</v>
      </c>
      <c r="FC90">
        <f t="shared" si="1"/>
        <v>59</v>
      </c>
    </row>
    <row r="91" spans="1:159" ht="17.25" hidden="1" thickBot="1" x14ac:dyDescent="0.3">
      <c r="A91" s="226">
        <v>46064</v>
      </c>
      <c r="B91" s="227" t="s">
        <v>172</v>
      </c>
      <c r="C91" s="227" t="s">
        <v>578</v>
      </c>
      <c r="D91" s="228">
        <v>1000</v>
      </c>
      <c r="E91" s="228">
        <v>13</v>
      </c>
      <c r="F91" s="228">
        <v>900.45</v>
      </c>
      <c r="G91" s="228">
        <v>906.65</v>
      </c>
      <c r="H91" s="228">
        <v>-6.2</v>
      </c>
      <c r="I91" s="229">
        <v>-6.7999999999999996E-3</v>
      </c>
      <c r="J91" s="228">
        <v>897.3</v>
      </c>
      <c r="K91" s="228">
        <v>906.05</v>
      </c>
      <c r="L91" s="228">
        <v>-8.75</v>
      </c>
      <c r="M91" s="229">
        <v>-9.7000000000000003E-3</v>
      </c>
      <c r="N91" s="228">
        <v>900.45</v>
      </c>
      <c r="O91" s="228">
        <v>906.65</v>
      </c>
      <c r="P91" s="228">
        <v>-6.2</v>
      </c>
      <c r="Q91" s="229">
        <v>-6.7999999999999996E-3</v>
      </c>
      <c r="R91" s="228">
        <v>903.35</v>
      </c>
      <c r="S91" s="228">
        <v>908.75</v>
      </c>
      <c r="T91" s="228">
        <v>-5.4</v>
      </c>
      <c r="U91" s="229">
        <v>-5.8999999999999999E-3</v>
      </c>
      <c r="V91" s="228">
        <v>906</v>
      </c>
      <c r="W91" s="228">
        <v>913.55</v>
      </c>
      <c r="X91" s="228">
        <v>-7.55</v>
      </c>
      <c r="Y91" s="229">
        <v>-8.3000000000000001E-3</v>
      </c>
      <c r="Z91" s="228">
        <v>3.15</v>
      </c>
      <c r="AA91" s="228">
        <v>0.6</v>
      </c>
      <c r="AB91" s="228">
        <v>2.5499999999999998</v>
      </c>
      <c r="AC91" s="229">
        <v>3.5000000000000001E-3</v>
      </c>
      <c r="AD91" s="228">
        <v>3.15</v>
      </c>
      <c r="AE91" s="228">
        <v>0.6</v>
      </c>
      <c r="AF91" s="228">
        <v>2.5499999999999998</v>
      </c>
      <c r="AG91" s="229">
        <v>3.5000000000000001E-3</v>
      </c>
      <c r="AH91" s="228">
        <v>6.05</v>
      </c>
      <c r="AI91" s="228">
        <v>2.7</v>
      </c>
      <c r="AJ91" s="228">
        <v>3.35</v>
      </c>
      <c r="AK91" s="229">
        <v>6.7000000000000002E-3</v>
      </c>
      <c r="AL91" s="228">
        <v>8.6999999999999993</v>
      </c>
      <c r="AM91" s="228">
        <v>7.5</v>
      </c>
      <c r="AN91" s="228">
        <v>1.2</v>
      </c>
      <c r="AO91" s="229">
        <v>9.7000000000000003E-3</v>
      </c>
      <c r="AP91" s="228">
        <v>895.94</v>
      </c>
      <c r="AQ91" s="228">
        <v>896.3</v>
      </c>
      <c r="AR91" s="228">
        <v>0</v>
      </c>
      <c r="AS91" s="228">
        <v>342</v>
      </c>
      <c r="AT91" s="228">
        <v>166</v>
      </c>
      <c r="AU91" s="228">
        <v>176</v>
      </c>
      <c r="AV91" s="229">
        <v>1.0625</v>
      </c>
      <c r="AW91" s="228">
        <v>323</v>
      </c>
      <c r="AX91" s="228">
        <v>154</v>
      </c>
      <c r="AY91" s="228">
        <v>169</v>
      </c>
      <c r="AZ91" s="229">
        <v>1.0988</v>
      </c>
      <c r="BA91" s="228">
        <v>16</v>
      </c>
      <c r="BB91" s="228">
        <v>11</v>
      </c>
      <c r="BC91" s="228">
        <v>5</v>
      </c>
      <c r="BD91" s="229">
        <v>0.48330000000000001</v>
      </c>
      <c r="BE91" s="228">
        <v>2</v>
      </c>
      <c r="BF91" s="228">
        <v>1</v>
      </c>
      <c r="BG91" s="228">
        <v>2</v>
      </c>
      <c r="BH91" s="229">
        <v>1.8889</v>
      </c>
      <c r="BI91" s="228">
        <v>962</v>
      </c>
      <c r="BJ91" s="228">
        <v>573</v>
      </c>
      <c r="BK91" s="228">
        <v>389</v>
      </c>
      <c r="BL91" s="229">
        <v>0.67879999999999996</v>
      </c>
      <c r="BM91" s="228">
        <v>595</v>
      </c>
      <c r="BN91" s="228">
        <v>239</v>
      </c>
      <c r="BO91" s="228">
        <v>355</v>
      </c>
      <c r="BP91" s="229">
        <v>1.4847999999999999</v>
      </c>
      <c r="BQ91" s="230">
        <v>1899</v>
      </c>
      <c r="BR91" s="228">
        <v>978</v>
      </c>
      <c r="BS91" s="228">
        <v>921</v>
      </c>
      <c r="BT91" s="229">
        <v>0.94099999999999995</v>
      </c>
      <c r="BU91" s="230">
        <v>2460511</v>
      </c>
      <c r="BV91" s="230">
        <v>1807269</v>
      </c>
      <c r="BW91" s="230">
        <v>653242</v>
      </c>
      <c r="BX91" s="229">
        <v>0.36149999999999999</v>
      </c>
      <c r="BY91" s="228">
        <v>819</v>
      </c>
      <c r="BZ91" s="228">
        <v>773</v>
      </c>
      <c r="CA91" s="228">
        <v>45</v>
      </c>
      <c r="CB91" s="229">
        <v>5.8500000000000003E-2</v>
      </c>
      <c r="CC91" s="228">
        <v>784</v>
      </c>
      <c r="CD91" s="228">
        <v>739</v>
      </c>
      <c r="CE91" s="228">
        <v>45</v>
      </c>
      <c r="CF91" s="229">
        <v>6.0600000000000001E-2</v>
      </c>
      <c r="CG91" s="228">
        <v>32</v>
      </c>
      <c r="CH91" s="228">
        <v>32</v>
      </c>
      <c r="CI91" s="228">
        <v>0</v>
      </c>
      <c r="CJ91" s="229">
        <v>-2.8E-3</v>
      </c>
      <c r="CK91" s="228">
        <v>2</v>
      </c>
      <c r="CL91" s="228">
        <v>2</v>
      </c>
      <c r="CM91" s="228">
        <v>1</v>
      </c>
      <c r="CN91" s="229">
        <v>0.28570000000000001</v>
      </c>
      <c r="CO91" s="228">
        <v>515</v>
      </c>
      <c r="CP91" s="228">
        <v>530</v>
      </c>
      <c r="CQ91" s="228">
        <v>-15</v>
      </c>
      <c r="CR91" s="229">
        <v>-2.75E-2</v>
      </c>
      <c r="CS91" s="228">
        <v>355</v>
      </c>
      <c r="CT91" s="228">
        <v>340</v>
      </c>
      <c r="CU91" s="228">
        <v>14</v>
      </c>
      <c r="CV91" s="229">
        <v>4.2299999999999997E-2</v>
      </c>
      <c r="CW91" s="230">
        <v>1689</v>
      </c>
      <c r="CX91" s="230">
        <v>1644</v>
      </c>
      <c r="CY91" s="228">
        <v>45</v>
      </c>
      <c r="CZ91" s="229">
        <v>2.7400000000000001E-2</v>
      </c>
      <c r="DA91" s="228">
        <v>30.18</v>
      </c>
      <c r="DB91" s="228">
        <v>30.18</v>
      </c>
      <c r="DC91" s="228">
        <v>0</v>
      </c>
      <c r="DD91" s="228">
        <v>0</v>
      </c>
      <c r="DE91" s="228">
        <v>39.1</v>
      </c>
      <c r="DF91" s="228">
        <v>39.18</v>
      </c>
      <c r="DG91" s="228">
        <v>-8.92</v>
      </c>
      <c r="DH91" s="228">
        <v>-0.08</v>
      </c>
      <c r="DI91" s="228">
        <v>29.95</v>
      </c>
      <c r="DJ91" s="228">
        <v>29.95</v>
      </c>
      <c r="DK91" s="228">
        <v>0</v>
      </c>
      <c r="DL91" s="228">
        <v>0</v>
      </c>
      <c r="DM91" s="228">
        <v>30.54</v>
      </c>
      <c r="DN91" s="228">
        <v>30.74</v>
      </c>
      <c r="DO91" s="228">
        <v>-0.2</v>
      </c>
      <c r="DP91" s="228">
        <v>-0.2</v>
      </c>
      <c r="DQ91" s="228">
        <v>0.69</v>
      </c>
      <c r="DR91" s="228">
        <v>0.64</v>
      </c>
      <c r="DS91" s="228">
        <v>0.05</v>
      </c>
      <c r="DT91" s="229">
        <v>7.8100000000000003E-2</v>
      </c>
      <c r="DU91" s="228">
        <v>900</v>
      </c>
      <c r="DV91" s="228">
        <v>850</v>
      </c>
      <c r="DW91" s="228">
        <v>0.62</v>
      </c>
      <c r="DX91" s="228">
        <v>0.42</v>
      </c>
      <c r="DY91" s="228">
        <v>0.2</v>
      </c>
      <c r="DZ91" s="229">
        <v>0.47620000000000001</v>
      </c>
      <c r="EA91" s="229">
        <v>4.24E-2</v>
      </c>
      <c r="EB91" s="230">
        <v>380000</v>
      </c>
      <c r="EC91" s="229">
        <v>3.2000000000000002E-3</v>
      </c>
      <c r="ED91" s="229">
        <v>4.24E-2</v>
      </c>
      <c r="EE91" s="228">
        <v>0.36</v>
      </c>
      <c r="EF91" s="229">
        <v>4.0000000000000002E-4</v>
      </c>
      <c r="EG91" s="230">
        <v>1206805</v>
      </c>
      <c r="EH91" s="230">
        <v>827613</v>
      </c>
      <c r="EI91" s="229">
        <v>0.4582</v>
      </c>
      <c r="EJ91" s="229">
        <v>0.49049999999999999</v>
      </c>
      <c r="EK91" s="231">
        <v>1001.78</v>
      </c>
      <c r="EL91" s="228">
        <v>576.97</v>
      </c>
      <c r="EM91" s="228">
        <v>339.86</v>
      </c>
      <c r="EN91" s="228">
        <v>21.92</v>
      </c>
      <c r="EO91" s="231">
        <v>1918.6</v>
      </c>
      <c r="EP91" s="228">
        <v>999</v>
      </c>
      <c r="EQ91" s="228">
        <v>919.61</v>
      </c>
      <c r="ER91" s="229">
        <v>0.92049999999999998</v>
      </c>
      <c r="ES91" s="228">
        <v>533.14</v>
      </c>
      <c r="ET91" s="228">
        <v>332.56</v>
      </c>
      <c r="EU91" s="228">
        <v>818.63</v>
      </c>
      <c r="EV91" s="231">
        <v>52862157</v>
      </c>
      <c r="EW91" s="231">
        <v>1684.32</v>
      </c>
      <c r="EX91" s="231">
        <v>1646.63</v>
      </c>
      <c r="EY91" s="228">
        <v>37.69</v>
      </c>
      <c r="EZ91" s="229">
        <v>2.29E-2</v>
      </c>
      <c r="FA91" s="229">
        <v>0.3548</v>
      </c>
      <c r="FB91" s="227" t="s">
        <v>567</v>
      </c>
      <c r="FC91">
        <f t="shared" si="1"/>
        <v>35</v>
      </c>
    </row>
    <row r="92" spans="1:159" ht="17.25" hidden="1" thickBot="1" x14ac:dyDescent="0.3">
      <c r="A92" s="226">
        <v>46064</v>
      </c>
      <c r="B92" s="227" t="s">
        <v>181</v>
      </c>
      <c r="C92" s="227" t="s">
        <v>687</v>
      </c>
      <c r="D92" s="228">
        <v>1</v>
      </c>
      <c r="E92" s="228">
        <v>13</v>
      </c>
      <c r="F92" s="228">
        <v>11.55</v>
      </c>
      <c r="G92" s="228">
        <v>11.66</v>
      </c>
      <c r="H92" s="228">
        <v>-0.11</v>
      </c>
      <c r="I92" s="229">
        <v>-9.5999999999999992E-3</v>
      </c>
      <c r="J92" s="228">
        <v>11.55</v>
      </c>
      <c r="K92" s="228">
        <v>11.66</v>
      </c>
      <c r="L92" s="228">
        <v>-0.11</v>
      </c>
      <c r="M92" s="229">
        <v>-9.5999999999999992E-3</v>
      </c>
      <c r="N92" s="228">
        <v>0</v>
      </c>
      <c r="O92" s="228">
        <v>0</v>
      </c>
      <c r="P92" s="228">
        <v>0</v>
      </c>
      <c r="Q92" s="229">
        <v>0</v>
      </c>
      <c r="R92" s="228">
        <v>0</v>
      </c>
      <c r="S92" s="228">
        <v>0</v>
      </c>
      <c r="T92" s="228">
        <v>0</v>
      </c>
      <c r="U92" s="229">
        <v>0</v>
      </c>
      <c r="V92" s="228">
        <v>0</v>
      </c>
      <c r="W92" s="228">
        <v>0</v>
      </c>
      <c r="X92" s="228">
        <v>0</v>
      </c>
      <c r="Y92" s="229">
        <v>0</v>
      </c>
      <c r="Z92" s="228">
        <v>0</v>
      </c>
      <c r="AA92" s="228">
        <v>0</v>
      </c>
      <c r="AB92" s="228">
        <v>0</v>
      </c>
      <c r="AC92" s="229">
        <v>0</v>
      </c>
      <c r="AD92" s="228">
        <v>0</v>
      </c>
      <c r="AE92" s="228">
        <v>0</v>
      </c>
      <c r="AF92" s="228">
        <v>0</v>
      </c>
      <c r="AG92" s="229">
        <v>0</v>
      </c>
      <c r="AH92" s="228">
        <v>0</v>
      </c>
      <c r="AI92" s="228">
        <v>0</v>
      </c>
      <c r="AJ92" s="228">
        <v>0</v>
      </c>
      <c r="AK92" s="229">
        <v>0</v>
      </c>
      <c r="AL92" s="228">
        <v>0</v>
      </c>
      <c r="AM92" s="228">
        <v>0</v>
      </c>
      <c r="AN92" s="228">
        <v>0</v>
      </c>
      <c r="AO92" s="229">
        <v>0</v>
      </c>
      <c r="AP92" s="228">
        <v>0</v>
      </c>
      <c r="AQ92" s="228">
        <v>0</v>
      </c>
      <c r="AR92" s="228">
        <v>0</v>
      </c>
      <c r="AS92" s="228">
        <v>0</v>
      </c>
      <c r="AT92" s="228">
        <v>0</v>
      </c>
      <c r="AU92" s="228">
        <v>0</v>
      </c>
      <c r="AV92" s="229">
        <v>0</v>
      </c>
      <c r="AW92" s="228">
        <v>0</v>
      </c>
      <c r="AX92" s="228">
        <v>0</v>
      </c>
      <c r="AY92" s="228">
        <v>0</v>
      </c>
      <c r="AZ92" s="229">
        <v>0</v>
      </c>
      <c r="BA92" s="228">
        <v>0</v>
      </c>
      <c r="BB92" s="228">
        <v>0</v>
      </c>
      <c r="BC92" s="228">
        <v>0</v>
      </c>
      <c r="BD92" s="229">
        <v>0</v>
      </c>
      <c r="BE92" s="228">
        <v>0</v>
      </c>
      <c r="BF92" s="228">
        <v>0</v>
      </c>
      <c r="BG92" s="228">
        <v>0</v>
      </c>
      <c r="BH92" s="229">
        <v>0</v>
      </c>
      <c r="BI92" s="228">
        <v>0</v>
      </c>
      <c r="BJ92" s="228">
        <v>0</v>
      </c>
      <c r="BK92" s="228">
        <v>0</v>
      </c>
      <c r="BL92" s="229">
        <v>0</v>
      </c>
      <c r="BM92" s="228">
        <v>0</v>
      </c>
      <c r="BN92" s="228">
        <v>0</v>
      </c>
      <c r="BO92" s="228">
        <v>0</v>
      </c>
      <c r="BP92" s="229">
        <v>0</v>
      </c>
      <c r="BQ92" s="228">
        <v>0</v>
      </c>
      <c r="BR92" s="228">
        <v>0</v>
      </c>
      <c r="BS92" s="228">
        <v>0</v>
      </c>
      <c r="BT92" s="229">
        <v>0</v>
      </c>
      <c r="BU92" s="228">
        <v>0</v>
      </c>
      <c r="BV92" s="228">
        <v>0</v>
      </c>
      <c r="BW92" s="228">
        <v>0</v>
      </c>
      <c r="BX92" s="229">
        <v>0</v>
      </c>
      <c r="BY92" s="228">
        <v>0</v>
      </c>
      <c r="BZ92" s="228">
        <v>0</v>
      </c>
      <c r="CA92" s="228">
        <v>0</v>
      </c>
      <c r="CB92" s="229">
        <v>0</v>
      </c>
      <c r="CC92" s="228">
        <v>0</v>
      </c>
      <c r="CD92" s="228">
        <v>0</v>
      </c>
      <c r="CE92" s="228">
        <v>0</v>
      </c>
      <c r="CF92" s="229">
        <v>0</v>
      </c>
      <c r="CG92" s="228">
        <v>0</v>
      </c>
      <c r="CH92" s="228">
        <v>0</v>
      </c>
      <c r="CI92" s="228">
        <v>0</v>
      </c>
      <c r="CJ92" s="229">
        <v>0</v>
      </c>
      <c r="CK92" s="228">
        <v>0</v>
      </c>
      <c r="CL92" s="228">
        <v>0</v>
      </c>
      <c r="CM92" s="228">
        <v>0</v>
      </c>
      <c r="CN92" s="229">
        <v>0</v>
      </c>
      <c r="CO92" s="228">
        <v>0</v>
      </c>
      <c r="CP92" s="228">
        <v>0</v>
      </c>
      <c r="CQ92" s="228">
        <v>0</v>
      </c>
      <c r="CR92" s="229">
        <v>0</v>
      </c>
      <c r="CS92" s="228">
        <v>0</v>
      </c>
      <c r="CT92" s="228">
        <v>0</v>
      </c>
      <c r="CU92" s="228">
        <v>0</v>
      </c>
      <c r="CV92" s="229">
        <v>0</v>
      </c>
      <c r="CW92" s="228">
        <v>0</v>
      </c>
      <c r="CX92" s="228">
        <v>0</v>
      </c>
      <c r="CY92" s="228">
        <v>0</v>
      </c>
      <c r="CZ92" s="229">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8">
        <v>0</v>
      </c>
      <c r="DT92" s="229">
        <v>0</v>
      </c>
      <c r="DU92" s="228">
        <v>0</v>
      </c>
      <c r="DV92" s="228">
        <v>0</v>
      </c>
      <c r="DW92" s="228">
        <v>0</v>
      </c>
      <c r="DX92" s="228">
        <v>0</v>
      </c>
      <c r="DY92" s="228">
        <v>0</v>
      </c>
      <c r="DZ92" s="229">
        <v>0</v>
      </c>
      <c r="EA92" s="229">
        <v>0</v>
      </c>
      <c r="EB92" s="228">
        <v>0</v>
      </c>
      <c r="EC92" s="229">
        <v>0</v>
      </c>
      <c r="ED92" s="229">
        <v>0</v>
      </c>
      <c r="EE92" s="228">
        <v>0</v>
      </c>
      <c r="EF92" s="229">
        <v>0</v>
      </c>
      <c r="EG92" s="228">
        <v>0</v>
      </c>
      <c r="EH92" s="228">
        <v>0</v>
      </c>
      <c r="EI92" s="229">
        <v>0</v>
      </c>
      <c r="EJ92" s="229">
        <v>0</v>
      </c>
      <c r="EK92" s="228">
        <v>0</v>
      </c>
      <c r="EL92" s="228">
        <v>0</v>
      </c>
      <c r="EM92" s="228">
        <v>0</v>
      </c>
      <c r="EN92" s="228">
        <v>0</v>
      </c>
      <c r="EO92" s="228">
        <v>0</v>
      </c>
      <c r="EP92" s="228">
        <v>0</v>
      </c>
      <c r="EQ92" s="228">
        <v>0</v>
      </c>
      <c r="ER92" s="229">
        <v>0</v>
      </c>
      <c r="ES92" s="228">
        <v>0</v>
      </c>
      <c r="ET92" s="228">
        <v>0</v>
      </c>
      <c r="EU92" s="228">
        <v>0</v>
      </c>
      <c r="EV92" s="228">
        <v>0</v>
      </c>
      <c r="EW92" s="228">
        <v>0</v>
      </c>
      <c r="EX92" s="228">
        <v>0</v>
      </c>
      <c r="EY92" s="228">
        <v>0</v>
      </c>
      <c r="EZ92" s="229">
        <v>0</v>
      </c>
      <c r="FA92" s="229">
        <v>0</v>
      </c>
      <c r="FB92" s="227" t="s">
        <v>237</v>
      </c>
      <c r="FC92">
        <f t="shared" si="1"/>
        <v>0</v>
      </c>
    </row>
    <row r="93" spans="1:159" ht="17.25" hidden="1" thickBot="1" x14ac:dyDescent="0.3">
      <c r="A93" s="226">
        <v>46064</v>
      </c>
      <c r="B93" s="227" t="s">
        <v>215</v>
      </c>
      <c r="C93" s="227" t="s">
        <v>238</v>
      </c>
      <c r="D93" s="228">
        <v>150</v>
      </c>
      <c r="E93" s="228">
        <v>13</v>
      </c>
      <c r="F93" s="231">
        <v>5017.6000000000004</v>
      </c>
      <c r="G93" s="231">
        <v>4978.1000000000004</v>
      </c>
      <c r="H93" s="228">
        <v>39.5</v>
      </c>
      <c r="I93" s="229">
        <v>7.9000000000000008E-3</v>
      </c>
      <c r="J93" s="231">
        <v>5013.8</v>
      </c>
      <c r="K93" s="231">
        <v>4960.3999999999996</v>
      </c>
      <c r="L93" s="228">
        <v>53.4</v>
      </c>
      <c r="M93" s="229">
        <v>1.0800000000000001E-2</v>
      </c>
      <c r="N93" s="231">
        <v>5017.6000000000004</v>
      </c>
      <c r="O93" s="231">
        <v>4978.1000000000004</v>
      </c>
      <c r="P93" s="228">
        <v>39.5</v>
      </c>
      <c r="Q93" s="229">
        <v>7.9000000000000008E-3</v>
      </c>
      <c r="R93" s="231">
        <v>5042.5</v>
      </c>
      <c r="S93" s="231">
        <v>5004.7</v>
      </c>
      <c r="T93" s="228">
        <v>37.799999999999997</v>
      </c>
      <c r="U93" s="229">
        <v>7.6E-3</v>
      </c>
      <c r="V93" s="231">
        <v>5073.8999999999996</v>
      </c>
      <c r="W93" s="231">
        <v>5036</v>
      </c>
      <c r="X93" s="228">
        <v>37.9</v>
      </c>
      <c r="Y93" s="229">
        <v>7.4999999999999997E-3</v>
      </c>
      <c r="Z93" s="228">
        <v>3.8</v>
      </c>
      <c r="AA93" s="228">
        <v>17.7</v>
      </c>
      <c r="AB93" s="228">
        <v>-13.9</v>
      </c>
      <c r="AC93" s="229">
        <v>8.0000000000000004E-4</v>
      </c>
      <c r="AD93" s="228">
        <v>3.8</v>
      </c>
      <c r="AE93" s="228">
        <v>17.7</v>
      </c>
      <c r="AF93" s="228">
        <v>-13.9</v>
      </c>
      <c r="AG93" s="229">
        <v>8.0000000000000004E-4</v>
      </c>
      <c r="AH93" s="228">
        <v>28.7</v>
      </c>
      <c r="AI93" s="228">
        <v>44.3</v>
      </c>
      <c r="AJ93" s="228">
        <v>-15.6</v>
      </c>
      <c r="AK93" s="229">
        <v>5.7000000000000002E-3</v>
      </c>
      <c r="AL93" s="228">
        <v>60.1</v>
      </c>
      <c r="AM93" s="228">
        <v>75.599999999999994</v>
      </c>
      <c r="AN93" s="228">
        <v>-15.5</v>
      </c>
      <c r="AO93" s="229">
        <v>1.2E-2</v>
      </c>
      <c r="AP93" s="231">
        <v>5024.5600000000004</v>
      </c>
      <c r="AQ93" s="231">
        <v>5051.54</v>
      </c>
      <c r="AR93" s="228">
        <v>0</v>
      </c>
      <c r="AS93" s="228">
        <v>560</v>
      </c>
      <c r="AT93" s="228">
        <v>607</v>
      </c>
      <c r="AU93" s="228">
        <v>-47</v>
      </c>
      <c r="AV93" s="229">
        <v>-7.6799999999999993E-2</v>
      </c>
      <c r="AW93" s="228">
        <v>526</v>
      </c>
      <c r="AX93" s="228">
        <v>581</v>
      </c>
      <c r="AY93" s="228">
        <v>-54</v>
      </c>
      <c r="AZ93" s="229">
        <v>-9.35E-2</v>
      </c>
      <c r="BA93" s="228">
        <v>31</v>
      </c>
      <c r="BB93" s="228">
        <v>23</v>
      </c>
      <c r="BC93" s="228">
        <v>8</v>
      </c>
      <c r="BD93" s="229">
        <v>0.33110000000000001</v>
      </c>
      <c r="BE93" s="228">
        <v>3</v>
      </c>
      <c r="BF93" s="228">
        <v>3</v>
      </c>
      <c r="BG93" s="228">
        <v>0</v>
      </c>
      <c r="BH93" s="229">
        <v>2.2200000000000001E-2</v>
      </c>
      <c r="BI93" s="230">
        <v>3007</v>
      </c>
      <c r="BJ93" s="230">
        <v>1171</v>
      </c>
      <c r="BK93" s="230">
        <v>1836</v>
      </c>
      <c r="BL93" s="229">
        <v>1.5671999999999999</v>
      </c>
      <c r="BM93" s="230">
        <v>1405</v>
      </c>
      <c r="BN93" s="228">
        <v>839</v>
      </c>
      <c r="BO93" s="228">
        <v>566</v>
      </c>
      <c r="BP93" s="229">
        <v>0.67449999999999999</v>
      </c>
      <c r="BQ93" s="230">
        <v>4972</v>
      </c>
      <c r="BR93" s="230">
        <v>2617</v>
      </c>
      <c r="BS93" s="230">
        <v>2355</v>
      </c>
      <c r="BT93" s="229">
        <v>0.89980000000000004</v>
      </c>
      <c r="BU93" s="230">
        <v>546723</v>
      </c>
      <c r="BV93" s="230">
        <v>1148218</v>
      </c>
      <c r="BW93" s="230">
        <v>-601495</v>
      </c>
      <c r="BX93" s="229">
        <v>-0.52390000000000003</v>
      </c>
      <c r="BY93" s="230">
        <v>4662</v>
      </c>
      <c r="BZ93" s="230">
        <v>4705</v>
      </c>
      <c r="CA93" s="228">
        <v>-43</v>
      </c>
      <c r="CB93" s="229">
        <v>-9.1000000000000004E-3</v>
      </c>
      <c r="CC93" s="230">
        <v>4578</v>
      </c>
      <c r="CD93" s="230">
        <v>4624</v>
      </c>
      <c r="CE93" s="228">
        <v>-46</v>
      </c>
      <c r="CF93" s="229">
        <v>-0.01</v>
      </c>
      <c r="CG93" s="228">
        <v>74</v>
      </c>
      <c r="CH93" s="228">
        <v>72</v>
      </c>
      <c r="CI93" s="228">
        <v>2</v>
      </c>
      <c r="CJ93" s="229">
        <v>3.15E-2</v>
      </c>
      <c r="CK93" s="228">
        <v>10</v>
      </c>
      <c r="CL93" s="228">
        <v>9</v>
      </c>
      <c r="CM93" s="228">
        <v>1</v>
      </c>
      <c r="CN93" s="229">
        <v>0.10829999999999999</v>
      </c>
      <c r="CO93" s="230">
        <v>1601</v>
      </c>
      <c r="CP93" s="230">
        <v>1504</v>
      </c>
      <c r="CQ93" s="228">
        <v>96</v>
      </c>
      <c r="CR93" s="229">
        <v>6.3899999999999998E-2</v>
      </c>
      <c r="CS93" s="230">
        <v>1366</v>
      </c>
      <c r="CT93" s="230">
        <v>1296</v>
      </c>
      <c r="CU93" s="228">
        <v>70</v>
      </c>
      <c r="CV93" s="229">
        <v>5.3800000000000001E-2</v>
      </c>
      <c r="CW93" s="230">
        <v>7629</v>
      </c>
      <c r="CX93" s="230">
        <v>7505</v>
      </c>
      <c r="CY93" s="228">
        <v>123</v>
      </c>
      <c r="CZ93" s="229">
        <v>1.6400000000000001E-2</v>
      </c>
      <c r="DA93" s="228">
        <v>26.79</v>
      </c>
      <c r="DB93" s="228">
        <v>25.5</v>
      </c>
      <c r="DC93" s="228">
        <v>1.29</v>
      </c>
      <c r="DD93" s="228">
        <v>1.29</v>
      </c>
      <c r="DE93" s="228">
        <v>33.86</v>
      </c>
      <c r="DF93" s="228">
        <v>33.92</v>
      </c>
      <c r="DG93" s="228">
        <v>-7.07</v>
      </c>
      <c r="DH93" s="228">
        <v>-0.06</v>
      </c>
      <c r="DI93" s="228">
        <v>25.86</v>
      </c>
      <c r="DJ93" s="228">
        <v>24.01</v>
      </c>
      <c r="DK93" s="228">
        <v>1.85</v>
      </c>
      <c r="DL93" s="228">
        <v>1.85</v>
      </c>
      <c r="DM93" s="228">
        <v>28.8</v>
      </c>
      <c r="DN93" s="228">
        <v>27.58</v>
      </c>
      <c r="DO93" s="228">
        <v>1.22</v>
      </c>
      <c r="DP93" s="228">
        <v>1.22</v>
      </c>
      <c r="DQ93" s="228">
        <v>0.85</v>
      </c>
      <c r="DR93" s="228">
        <v>0.86</v>
      </c>
      <c r="DS93" s="228">
        <v>-0.01</v>
      </c>
      <c r="DT93" s="229">
        <v>-1.1599999999999999E-2</v>
      </c>
      <c r="DU93" s="231">
        <v>5000</v>
      </c>
      <c r="DV93" s="231">
        <v>4700</v>
      </c>
      <c r="DW93" s="228">
        <v>0.47</v>
      </c>
      <c r="DX93" s="228">
        <v>0.72</v>
      </c>
      <c r="DY93" s="228">
        <v>-0.25</v>
      </c>
      <c r="DZ93" s="229">
        <v>-0.34720000000000001</v>
      </c>
      <c r="EA93" s="229">
        <v>1.7999999999999999E-2</v>
      </c>
      <c r="EB93" s="230">
        <v>160950</v>
      </c>
      <c r="EC93" s="229">
        <v>5.0000000000000001E-3</v>
      </c>
      <c r="ED93" s="229">
        <v>1.7999999999999999E-2</v>
      </c>
      <c r="EE93" s="228">
        <v>26.98</v>
      </c>
      <c r="EF93" s="229">
        <v>5.4000000000000003E-3</v>
      </c>
      <c r="EG93" s="230">
        <v>213357</v>
      </c>
      <c r="EH93" s="230">
        <v>799520</v>
      </c>
      <c r="EI93" s="229">
        <v>-0.73309999999999997</v>
      </c>
      <c r="EJ93" s="229">
        <v>0.39019999999999999</v>
      </c>
      <c r="EK93" s="231">
        <v>3120.84</v>
      </c>
      <c r="EL93" s="231">
        <v>1372.85</v>
      </c>
      <c r="EM93" s="228">
        <v>561.25</v>
      </c>
      <c r="EN93" s="228">
        <v>81.61</v>
      </c>
      <c r="EO93" s="231">
        <v>5054.93</v>
      </c>
      <c r="EP93" s="231">
        <v>2617.6999999999998</v>
      </c>
      <c r="EQ93" s="231">
        <v>2437.2399999999998</v>
      </c>
      <c r="ER93" s="229">
        <v>0.93110000000000004</v>
      </c>
      <c r="ES93" s="231">
        <v>1613.83</v>
      </c>
      <c r="ET93" s="231">
        <v>1307.46</v>
      </c>
      <c r="EU93" s="231">
        <v>4662.78</v>
      </c>
      <c r="EV93" s="231">
        <v>33874835</v>
      </c>
      <c r="EW93" s="231">
        <v>7584.07</v>
      </c>
      <c r="EX93" s="231">
        <v>7414.66</v>
      </c>
      <c r="EY93" s="228">
        <v>169.41</v>
      </c>
      <c r="EZ93" s="229">
        <v>2.2800000000000001E-2</v>
      </c>
      <c r="FA93" s="229">
        <v>0.44879999999999998</v>
      </c>
      <c r="FB93" s="227" t="s">
        <v>556</v>
      </c>
      <c r="FC93">
        <f t="shared" si="1"/>
        <v>84</v>
      </c>
    </row>
    <row r="94" spans="1:159" ht="17.25" hidden="1" thickBot="1" x14ac:dyDescent="0.3">
      <c r="A94" s="226">
        <v>46064</v>
      </c>
      <c r="B94" s="227" t="s">
        <v>172</v>
      </c>
      <c r="C94" s="227" t="s">
        <v>239</v>
      </c>
      <c r="D94" s="228">
        <v>700</v>
      </c>
      <c r="E94" s="228">
        <v>13</v>
      </c>
      <c r="F94" s="228">
        <v>922.6</v>
      </c>
      <c r="G94" s="228">
        <v>926.45</v>
      </c>
      <c r="H94" s="228">
        <v>-3.85</v>
      </c>
      <c r="I94" s="229">
        <v>-4.1999999999999997E-3</v>
      </c>
      <c r="J94" s="228">
        <v>925</v>
      </c>
      <c r="K94" s="228">
        <v>927.6</v>
      </c>
      <c r="L94" s="228">
        <v>-2.6</v>
      </c>
      <c r="M94" s="229">
        <v>-2.8E-3</v>
      </c>
      <c r="N94" s="228">
        <v>922.6</v>
      </c>
      <c r="O94" s="228">
        <v>926.45</v>
      </c>
      <c r="P94" s="228">
        <v>-3.85</v>
      </c>
      <c r="Q94" s="229">
        <v>-4.1999999999999997E-3</v>
      </c>
      <c r="R94" s="228">
        <v>927.15</v>
      </c>
      <c r="S94" s="228">
        <v>931.95</v>
      </c>
      <c r="T94" s="228">
        <v>-4.8</v>
      </c>
      <c r="U94" s="229">
        <v>-5.1999999999999998E-3</v>
      </c>
      <c r="V94" s="228">
        <v>933.75</v>
      </c>
      <c r="W94" s="228">
        <v>937.6</v>
      </c>
      <c r="X94" s="228">
        <v>-3.85</v>
      </c>
      <c r="Y94" s="229">
        <v>-4.1000000000000003E-3</v>
      </c>
      <c r="Z94" s="228">
        <v>-2.4</v>
      </c>
      <c r="AA94" s="228">
        <v>-1.1499999999999999</v>
      </c>
      <c r="AB94" s="228">
        <v>-1.25</v>
      </c>
      <c r="AC94" s="229">
        <v>-2.5999999999999999E-3</v>
      </c>
      <c r="AD94" s="228">
        <v>-2.4</v>
      </c>
      <c r="AE94" s="228">
        <v>-1.1499999999999999</v>
      </c>
      <c r="AF94" s="228">
        <v>-1.25</v>
      </c>
      <c r="AG94" s="229">
        <v>-2.5999999999999999E-3</v>
      </c>
      <c r="AH94" s="228">
        <v>2.15</v>
      </c>
      <c r="AI94" s="228">
        <v>4.3499999999999996</v>
      </c>
      <c r="AJ94" s="228">
        <v>-2.2000000000000002</v>
      </c>
      <c r="AK94" s="229">
        <v>2.3E-3</v>
      </c>
      <c r="AL94" s="228">
        <v>8.75</v>
      </c>
      <c r="AM94" s="228">
        <v>10</v>
      </c>
      <c r="AN94" s="228">
        <v>-1.25</v>
      </c>
      <c r="AO94" s="229">
        <v>9.4999999999999998E-3</v>
      </c>
      <c r="AP94" s="228">
        <v>920.02</v>
      </c>
      <c r="AQ94" s="228">
        <v>925.7</v>
      </c>
      <c r="AR94" s="228">
        <v>0</v>
      </c>
      <c r="AS94" s="228">
        <v>398</v>
      </c>
      <c r="AT94" s="228">
        <v>367</v>
      </c>
      <c r="AU94" s="228">
        <v>32</v>
      </c>
      <c r="AV94" s="229">
        <v>8.5900000000000004E-2</v>
      </c>
      <c r="AW94" s="228">
        <v>355</v>
      </c>
      <c r="AX94" s="228">
        <v>338</v>
      </c>
      <c r="AY94" s="228">
        <v>18</v>
      </c>
      <c r="AZ94" s="229">
        <v>5.2400000000000002E-2</v>
      </c>
      <c r="BA94" s="228">
        <v>41</v>
      </c>
      <c r="BB94" s="228">
        <v>27</v>
      </c>
      <c r="BC94" s="228">
        <v>14</v>
      </c>
      <c r="BD94" s="229">
        <v>0.51780000000000004</v>
      </c>
      <c r="BE94" s="228">
        <v>2</v>
      </c>
      <c r="BF94" s="228">
        <v>2</v>
      </c>
      <c r="BG94" s="228">
        <v>0</v>
      </c>
      <c r="BH94" s="229">
        <v>-0.129</v>
      </c>
      <c r="BI94" s="228">
        <v>547</v>
      </c>
      <c r="BJ94" s="228">
        <v>652</v>
      </c>
      <c r="BK94" s="228">
        <v>-105</v>
      </c>
      <c r="BL94" s="229">
        <v>-0.16089999999999999</v>
      </c>
      <c r="BM94" s="228">
        <v>269</v>
      </c>
      <c r="BN94" s="228">
        <v>353</v>
      </c>
      <c r="BO94" s="228">
        <v>-84</v>
      </c>
      <c r="BP94" s="229">
        <v>-0.23849999999999999</v>
      </c>
      <c r="BQ94" s="230">
        <v>1214</v>
      </c>
      <c r="BR94" s="230">
        <v>1372</v>
      </c>
      <c r="BS94" s="228">
        <v>-158</v>
      </c>
      <c r="BT94" s="229">
        <v>-0.1149</v>
      </c>
      <c r="BU94" s="230">
        <v>2519281</v>
      </c>
      <c r="BV94" s="230">
        <v>2799472</v>
      </c>
      <c r="BW94" s="230">
        <v>-280191</v>
      </c>
      <c r="BX94" s="229">
        <v>-0.10009999999999999</v>
      </c>
      <c r="BY94" s="230">
        <v>3218</v>
      </c>
      <c r="BZ94" s="230">
        <v>3277</v>
      </c>
      <c r="CA94" s="228">
        <v>-59</v>
      </c>
      <c r="CB94" s="229">
        <v>-1.7899999999999999E-2</v>
      </c>
      <c r="CC94" s="230">
        <v>3073</v>
      </c>
      <c r="CD94" s="230">
        <v>3134</v>
      </c>
      <c r="CE94" s="228">
        <v>-61</v>
      </c>
      <c r="CF94" s="229">
        <v>-1.9400000000000001E-2</v>
      </c>
      <c r="CG94" s="228">
        <v>104</v>
      </c>
      <c r="CH94" s="228">
        <v>102</v>
      </c>
      <c r="CI94" s="228">
        <v>2</v>
      </c>
      <c r="CJ94" s="229">
        <v>1.5800000000000002E-2</v>
      </c>
      <c r="CK94" s="228">
        <v>41</v>
      </c>
      <c r="CL94" s="228">
        <v>40</v>
      </c>
      <c r="CM94" s="228">
        <v>1</v>
      </c>
      <c r="CN94" s="229">
        <v>1.5900000000000001E-2</v>
      </c>
      <c r="CO94" s="228">
        <v>848</v>
      </c>
      <c r="CP94" s="228">
        <v>862</v>
      </c>
      <c r="CQ94" s="228">
        <v>-15</v>
      </c>
      <c r="CR94" s="229">
        <v>-1.72E-2</v>
      </c>
      <c r="CS94" s="228">
        <v>610</v>
      </c>
      <c r="CT94" s="228">
        <v>623</v>
      </c>
      <c r="CU94" s="228">
        <v>-13</v>
      </c>
      <c r="CV94" s="229">
        <v>-2.0400000000000001E-2</v>
      </c>
      <c r="CW94" s="230">
        <v>4676</v>
      </c>
      <c r="CX94" s="230">
        <v>4762</v>
      </c>
      <c r="CY94" s="228">
        <v>-86</v>
      </c>
      <c r="CZ94" s="229">
        <v>-1.8100000000000002E-2</v>
      </c>
      <c r="DA94" s="228">
        <v>29.22</v>
      </c>
      <c r="DB94" s="228">
        <v>29.67</v>
      </c>
      <c r="DC94" s="228">
        <v>-0.45</v>
      </c>
      <c r="DD94" s="228">
        <v>-0.45</v>
      </c>
      <c r="DE94" s="228">
        <v>42.15</v>
      </c>
      <c r="DF94" s="228">
        <v>42.25</v>
      </c>
      <c r="DG94" s="228">
        <v>-12.93</v>
      </c>
      <c r="DH94" s="228">
        <v>-0.1</v>
      </c>
      <c r="DI94" s="228">
        <v>28.69</v>
      </c>
      <c r="DJ94" s="228">
        <v>29.43</v>
      </c>
      <c r="DK94" s="228">
        <v>-0.74</v>
      </c>
      <c r="DL94" s="228">
        <v>-0.74</v>
      </c>
      <c r="DM94" s="228">
        <v>30.3</v>
      </c>
      <c r="DN94" s="228">
        <v>30.1</v>
      </c>
      <c r="DO94" s="228">
        <v>0.2</v>
      </c>
      <c r="DP94" s="228">
        <v>0.2</v>
      </c>
      <c r="DQ94" s="228">
        <v>0.72</v>
      </c>
      <c r="DR94" s="228">
        <v>0.72</v>
      </c>
      <c r="DS94" s="228">
        <v>0</v>
      </c>
      <c r="DT94" s="229">
        <v>0</v>
      </c>
      <c r="DU94" s="231">
        <v>1000</v>
      </c>
      <c r="DV94" s="228">
        <v>900</v>
      </c>
      <c r="DW94" s="228">
        <v>0.49</v>
      </c>
      <c r="DX94" s="228">
        <v>0.54</v>
      </c>
      <c r="DY94" s="228">
        <v>-0.05</v>
      </c>
      <c r="DZ94" s="229">
        <v>-9.2600000000000002E-2</v>
      </c>
      <c r="EA94" s="229">
        <v>4.5100000000000001E-2</v>
      </c>
      <c r="EB94" s="230">
        <v>1548400</v>
      </c>
      <c r="EC94" s="229">
        <v>4.8999999999999998E-3</v>
      </c>
      <c r="ED94" s="229">
        <v>4.5100000000000001E-2</v>
      </c>
      <c r="EE94" s="228">
        <v>5.68</v>
      </c>
      <c r="EF94" s="229">
        <v>6.1999999999999998E-3</v>
      </c>
      <c r="EG94" s="230">
        <v>1659577</v>
      </c>
      <c r="EH94" s="230">
        <v>1833842</v>
      </c>
      <c r="EI94" s="229">
        <v>-9.5000000000000001E-2</v>
      </c>
      <c r="EJ94" s="229">
        <v>0.65880000000000005</v>
      </c>
      <c r="EK94" s="228">
        <v>567.67999999999995</v>
      </c>
      <c r="EL94" s="228">
        <v>263.39</v>
      </c>
      <c r="EM94" s="228">
        <v>397.37</v>
      </c>
      <c r="EN94" s="228">
        <v>72.569999999999993</v>
      </c>
      <c r="EO94" s="231">
        <v>1228.44</v>
      </c>
      <c r="EP94" s="231">
        <v>1397.68</v>
      </c>
      <c r="EQ94" s="228">
        <v>-169.23</v>
      </c>
      <c r="ER94" s="229">
        <v>-0.1211</v>
      </c>
      <c r="ES94" s="228">
        <v>874.79</v>
      </c>
      <c r="ET94" s="228">
        <v>585.65</v>
      </c>
      <c r="EU94" s="231">
        <v>3219.13</v>
      </c>
      <c r="EV94" s="231">
        <v>93808799</v>
      </c>
      <c r="EW94" s="231">
        <v>4679.57</v>
      </c>
      <c r="EX94" s="231">
        <v>4778.4799999999996</v>
      </c>
      <c r="EY94" s="228">
        <v>-98.91</v>
      </c>
      <c r="EZ94" s="229">
        <v>-2.07E-2</v>
      </c>
      <c r="FA94" s="229">
        <v>0.54020000000000001</v>
      </c>
      <c r="FB94" s="227" t="s">
        <v>568</v>
      </c>
      <c r="FC94">
        <f t="shared" si="1"/>
        <v>145</v>
      </c>
    </row>
    <row r="95" spans="1:159" ht="17.25" hidden="1" thickBot="1" x14ac:dyDescent="0.3">
      <c r="A95" s="226">
        <v>46064</v>
      </c>
      <c r="B95" s="227" t="s">
        <v>188</v>
      </c>
      <c r="C95" s="227" t="s">
        <v>473</v>
      </c>
      <c r="D95" s="228">
        <v>1700</v>
      </c>
      <c r="E95" s="228">
        <v>13</v>
      </c>
      <c r="F95" s="228">
        <v>468.15</v>
      </c>
      <c r="G95" s="228">
        <v>459.25</v>
      </c>
      <c r="H95" s="228">
        <v>8.9</v>
      </c>
      <c r="I95" s="229">
        <v>1.9400000000000001E-2</v>
      </c>
      <c r="J95" s="228">
        <v>467.05</v>
      </c>
      <c r="K95" s="228">
        <v>459.15</v>
      </c>
      <c r="L95" s="228">
        <v>7.9</v>
      </c>
      <c r="M95" s="229">
        <v>1.72E-2</v>
      </c>
      <c r="N95" s="228">
        <v>468.15</v>
      </c>
      <c r="O95" s="228">
        <v>459.25</v>
      </c>
      <c r="P95" s="228">
        <v>8.9</v>
      </c>
      <c r="Q95" s="229">
        <v>1.9400000000000001E-2</v>
      </c>
      <c r="R95" s="228">
        <v>471.15</v>
      </c>
      <c r="S95" s="228">
        <v>462.2</v>
      </c>
      <c r="T95" s="228">
        <v>8.9499999999999993</v>
      </c>
      <c r="U95" s="229">
        <v>1.9400000000000001E-2</v>
      </c>
      <c r="V95" s="228">
        <v>474</v>
      </c>
      <c r="W95" s="228">
        <v>464</v>
      </c>
      <c r="X95" s="228">
        <v>10</v>
      </c>
      <c r="Y95" s="229">
        <v>2.1600000000000001E-2</v>
      </c>
      <c r="Z95" s="228">
        <v>1.1000000000000001</v>
      </c>
      <c r="AA95" s="228">
        <v>0.1</v>
      </c>
      <c r="AB95" s="228">
        <v>1</v>
      </c>
      <c r="AC95" s="229">
        <v>2.3999999999999998E-3</v>
      </c>
      <c r="AD95" s="228">
        <v>1.1000000000000001</v>
      </c>
      <c r="AE95" s="228">
        <v>0.1</v>
      </c>
      <c r="AF95" s="228">
        <v>1</v>
      </c>
      <c r="AG95" s="229">
        <v>2.3999999999999998E-3</v>
      </c>
      <c r="AH95" s="228">
        <v>4.0999999999999996</v>
      </c>
      <c r="AI95" s="228">
        <v>3.05</v>
      </c>
      <c r="AJ95" s="228">
        <v>1.05</v>
      </c>
      <c r="AK95" s="229">
        <v>8.8000000000000005E-3</v>
      </c>
      <c r="AL95" s="228">
        <v>6.95</v>
      </c>
      <c r="AM95" s="228">
        <v>4.8499999999999996</v>
      </c>
      <c r="AN95" s="228">
        <v>2.1</v>
      </c>
      <c r="AO95" s="229">
        <v>1.49E-2</v>
      </c>
      <c r="AP95" s="228">
        <v>467.53</v>
      </c>
      <c r="AQ95" s="228">
        <v>470.5</v>
      </c>
      <c r="AR95" s="228">
        <v>0</v>
      </c>
      <c r="AS95" s="228">
        <v>707</v>
      </c>
      <c r="AT95" s="228">
        <v>878</v>
      </c>
      <c r="AU95" s="228">
        <v>-171</v>
      </c>
      <c r="AV95" s="229">
        <v>-0.19450000000000001</v>
      </c>
      <c r="AW95" s="228">
        <v>665</v>
      </c>
      <c r="AX95" s="228">
        <v>840</v>
      </c>
      <c r="AY95" s="228">
        <v>-175</v>
      </c>
      <c r="AZ95" s="229">
        <v>-0.20810000000000001</v>
      </c>
      <c r="BA95" s="228">
        <v>39</v>
      </c>
      <c r="BB95" s="228">
        <v>34</v>
      </c>
      <c r="BC95" s="228">
        <v>5</v>
      </c>
      <c r="BD95" s="229">
        <v>0.13489999999999999</v>
      </c>
      <c r="BE95" s="228">
        <v>3</v>
      </c>
      <c r="BF95" s="228">
        <v>3</v>
      </c>
      <c r="BG95" s="228">
        <v>0</v>
      </c>
      <c r="BH95" s="229">
        <v>-0.12820000000000001</v>
      </c>
      <c r="BI95" s="230">
        <v>3593</v>
      </c>
      <c r="BJ95" s="230">
        <v>2586</v>
      </c>
      <c r="BK95" s="230">
        <v>1007</v>
      </c>
      <c r="BL95" s="229">
        <v>0.38940000000000002</v>
      </c>
      <c r="BM95" s="230">
        <v>1462</v>
      </c>
      <c r="BN95" s="230">
        <v>1051</v>
      </c>
      <c r="BO95" s="228">
        <v>411</v>
      </c>
      <c r="BP95" s="229">
        <v>0.39119999999999999</v>
      </c>
      <c r="BQ95" s="230">
        <v>5762</v>
      </c>
      <c r="BR95" s="230">
        <v>4514</v>
      </c>
      <c r="BS95" s="230">
        <v>1247</v>
      </c>
      <c r="BT95" s="229">
        <v>0.27629999999999999</v>
      </c>
      <c r="BU95" s="230">
        <v>10857446</v>
      </c>
      <c r="BV95" s="230">
        <v>12854480</v>
      </c>
      <c r="BW95" s="230">
        <v>-1997034</v>
      </c>
      <c r="BX95" s="229">
        <v>-0.15540000000000001</v>
      </c>
      <c r="BY95" s="230">
        <v>3956</v>
      </c>
      <c r="BZ95" s="230">
        <v>3944</v>
      </c>
      <c r="CA95" s="228">
        <v>12</v>
      </c>
      <c r="CB95" s="229">
        <v>3.0000000000000001E-3</v>
      </c>
      <c r="CC95" s="230">
        <v>3906</v>
      </c>
      <c r="CD95" s="230">
        <v>3898</v>
      </c>
      <c r="CE95" s="228">
        <v>9</v>
      </c>
      <c r="CF95" s="229">
        <v>2.2000000000000001E-3</v>
      </c>
      <c r="CG95" s="228">
        <v>45</v>
      </c>
      <c r="CH95" s="228">
        <v>42</v>
      </c>
      <c r="CI95" s="228">
        <v>3</v>
      </c>
      <c r="CJ95" s="229">
        <v>6.7400000000000002E-2</v>
      </c>
      <c r="CK95" s="228">
        <v>4</v>
      </c>
      <c r="CL95" s="228">
        <v>4</v>
      </c>
      <c r="CM95" s="228">
        <v>0</v>
      </c>
      <c r="CN95" s="229">
        <v>0.12239999999999999</v>
      </c>
      <c r="CO95" s="230">
        <v>1012</v>
      </c>
      <c r="CP95" s="228">
        <v>901</v>
      </c>
      <c r="CQ95" s="228">
        <v>111</v>
      </c>
      <c r="CR95" s="229">
        <v>0.12330000000000001</v>
      </c>
      <c r="CS95" s="228">
        <v>699</v>
      </c>
      <c r="CT95" s="228">
        <v>537</v>
      </c>
      <c r="CU95" s="228">
        <v>162</v>
      </c>
      <c r="CV95" s="229">
        <v>0.30220000000000002</v>
      </c>
      <c r="CW95" s="230">
        <v>5667</v>
      </c>
      <c r="CX95" s="230">
        <v>5382</v>
      </c>
      <c r="CY95" s="228">
        <v>285</v>
      </c>
      <c r="CZ95" s="229">
        <v>5.2999999999999999E-2</v>
      </c>
      <c r="DA95" s="228">
        <v>31.73</v>
      </c>
      <c r="DB95" s="228">
        <v>31.4</v>
      </c>
      <c r="DC95" s="228">
        <v>0.33</v>
      </c>
      <c r="DD95" s="228">
        <v>0.33</v>
      </c>
      <c r="DE95" s="228">
        <v>37.85</v>
      </c>
      <c r="DF95" s="228">
        <v>37.869999999999997</v>
      </c>
      <c r="DG95" s="228">
        <v>-6.12</v>
      </c>
      <c r="DH95" s="228">
        <v>-0.02</v>
      </c>
      <c r="DI95" s="228">
        <v>31.5</v>
      </c>
      <c r="DJ95" s="228">
        <v>30.97</v>
      </c>
      <c r="DK95" s="228">
        <v>0.53</v>
      </c>
      <c r="DL95" s="228">
        <v>0.53</v>
      </c>
      <c r="DM95" s="228">
        <v>32.29</v>
      </c>
      <c r="DN95" s="228">
        <v>32.450000000000003</v>
      </c>
      <c r="DO95" s="228">
        <v>-0.16</v>
      </c>
      <c r="DP95" s="228">
        <v>-0.16</v>
      </c>
      <c r="DQ95" s="228">
        <v>0.69</v>
      </c>
      <c r="DR95" s="228">
        <v>0.6</v>
      </c>
      <c r="DS95" s="228">
        <v>0.09</v>
      </c>
      <c r="DT95" s="229">
        <v>0.15</v>
      </c>
      <c r="DU95" s="228">
        <v>500</v>
      </c>
      <c r="DV95" s="228">
        <v>440</v>
      </c>
      <c r="DW95" s="228">
        <v>0.41</v>
      </c>
      <c r="DX95" s="228">
        <v>0.41</v>
      </c>
      <c r="DY95" s="228">
        <v>0</v>
      </c>
      <c r="DZ95" s="229">
        <v>0</v>
      </c>
      <c r="EA95" s="229">
        <v>1.26E-2</v>
      </c>
      <c r="EB95" s="230">
        <v>991100</v>
      </c>
      <c r="EC95" s="229">
        <v>6.4000000000000003E-3</v>
      </c>
      <c r="ED95" s="229">
        <v>1.26E-2</v>
      </c>
      <c r="EE95" s="228">
        <v>2.97</v>
      </c>
      <c r="EF95" s="229">
        <v>6.4000000000000003E-3</v>
      </c>
      <c r="EG95" s="230">
        <v>6096800</v>
      </c>
      <c r="EH95" s="230">
        <v>8145093</v>
      </c>
      <c r="EI95" s="229">
        <v>-0.2515</v>
      </c>
      <c r="EJ95" s="229">
        <v>0.5615</v>
      </c>
      <c r="EK95" s="231">
        <v>3716.71</v>
      </c>
      <c r="EL95" s="231">
        <v>1430.7</v>
      </c>
      <c r="EM95" s="228">
        <v>706.38</v>
      </c>
      <c r="EN95" s="228">
        <v>67.099999999999994</v>
      </c>
      <c r="EO95" s="231">
        <v>5853.8</v>
      </c>
      <c r="EP95" s="231">
        <v>4486.67</v>
      </c>
      <c r="EQ95" s="231">
        <v>1367.12</v>
      </c>
      <c r="ER95" s="229">
        <v>0.30470000000000003</v>
      </c>
      <c r="ES95" s="231">
        <v>1018.86</v>
      </c>
      <c r="ET95" s="228">
        <v>650.51</v>
      </c>
      <c r="EU95" s="231">
        <v>3956.3</v>
      </c>
      <c r="EV95" s="231">
        <v>193623116</v>
      </c>
      <c r="EW95" s="231">
        <v>5625.68</v>
      </c>
      <c r="EX95" s="231">
        <v>5254.77</v>
      </c>
      <c r="EY95" s="228">
        <v>370.91</v>
      </c>
      <c r="EZ95" s="229">
        <v>7.0599999999999996E-2</v>
      </c>
      <c r="FA95" s="229">
        <v>0.62519999999999998</v>
      </c>
      <c r="FB95" s="227" t="s">
        <v>555</v>
      </c>
      <c r="FC95">
        <f t="shared" si="1"/>
        <v>50</v>
      </c>
    </row>
    <row r="96" spans="1:159" ht="17.25" hidden="1" thickBot="1" x14ac:dyDescent="0.3">
      <c r="A96" s="226">
        <v>46064</v>
      </c>
      <c r="B96" s="227" t="s">
        <v>221</v>
      </c>
      <c r="C96" s="227" t="s">
        <v>240</v>
      </c>
      <c r="D96" s="228">
        <v>400</v>
      </c>
      <c r="E96" s="228">
        <v>13</v>
      </c>
      <c r="F96" s="231">
        <v>1472.4</v>
      </c>
      <c r="G96" s="231">
        <v>1501.7</v>
      </c>
      <c r="H96" s="228">
        <v>-29.3</v>
      </c>
      <c r="I96" s="229">
        <v>-1.95E-2</v>
      </c>
      <c r="J96" s="231">
        <v>1471.9</v>
      </c>
      <c r="K96" s="231">
        <v>1497.8</v>
      </c>
      <c r="L96" s="228">
        <v>-25.9</v>
      </c>
      <c r="M96" s="229">
        <v>-1.7299999999999999E-2</v>
      </c>
      <c r="N96" s="231">
        <v>1472.4</v>
      </c>
      <c r="O96" s="231">
        <v>1501.7</v>
      </c>
      <c r="P96" s="228">
        <v>-29.3</v>
      </c>
      <c r="Q96" s="229">
        <v>-1.95E-2</v>
      </c>
      <c r="R96" s="231">
        <v>1481</v>
      </c>
      <c r="S96" s="231">
        <v>1510.4</v>
      </c>
      <c r="T96" s="228">
        <v>-29.4</v>
      </c>
      <c r="U96" s="229">
        <v>-1.95E-2</v>
      </c>
      <c r="V96" s="231">
        <v>1490.6</v>
      </c>
      <c r="W96" s="231">
        <v>1520</v>
      </c>
      <c r="X96" s="228">
        <v>-29.4</v>
      </c>
      <c r="Y96" s="229">
        <v>-1.9300000000000001E-2</v>
      </c>
      <c r="Z96" s="228">
        <v>0.5</v>
      </c>
      <c r="AA96" s="228">
        <v>3.9</v>
      </c>
      <c r="AB96" s="228">
        <v>-3.4</v>
      </c>
      <c r="AC96" s="229">
        <v>2.9999999999999997E-4</v>
      </c>
      <c r="AD96" s="228">
        <v>0.5</v>
      </c>
      <c r="AE96" s="228">
        <v>3.9</v>
      </c>
      <c r="AF96" s="228">
        <v>-3.4</v>
      </c>
      <c r="AG96" s="229">
        <v>2.9999999999999997E-4</v>
      </c>
      <c r="AH96" s="228">
        <v>9.1</v>
      </c>
      <c r="AI96" s="228">
        <v>12.6</v>
      </c>
      <c r="AJ96" s="228">
        <v>-3.5</v>
      </c>
      <c r="AK96" s="229">
        <v>6.1999999999999998E-3</v>
      </c>
      <c r="AL96" s="228">
        <v>18.7</v>
      </c>
      <c r="AM96" s="228">
        <v>22.2</v>
      </c>
      <c r="AN96" s="228">
        <v>-3.5</v>
      </c>
      <c r="AO96" s="229">
        <v>1.2699999999999999E-2</v>
      </c>
      <c r="AP96" s="231">
        <v>1485.31</v>
      </c>
      <c r="AQ96" s="231">
        <v>1495.28</v>
      </c>
      <c r="AR96" s="228">
        <v>0</v>
      </c>
      <c r="AS96" s="230">
        <v>1607</v>
      </c>
      <c r="AT96" s="230">
        <v>1471</v>
      </c>
      <c r="AU96" s="228">
        <v>136</v>
      </c>
      <c r="AV96" s="229">
        <v>9.2600000000000002E-2</v>
      </c>
      <c r="AW96" s="230">
        <v>1445</v>
      </c>
      <c r="AX96" s="230">
        <v>1312</v>
      </c>
      <c r="AY96" s="228">
        <v>133</v>
      </c>
      <c r="AZ96" s="229">
        <v>0.1016</v>
      </c>
      <c r="BA96" s="228">
        <v>134</v>
      </c>
      <c r="BB96" s="228">
        <v>137</v>
      </c>
      <c r="BC96" s="228">
        <v>-3</v>
      </c>
      <c r="BD96" s="229">
        <v>-2.1899999999999999E-2</v>
      </c>
      <c r="BE96" s="228">
        <v>28</v>
      </c>
      <c r="BF96" s="228">
        <v>22</v>
      </c>
      <c r="BG96" s="228">
        <v>6</v>
      </c>
      <c r="BH96" s="229">
        <v>0.27639999999999998</v>
      </c>
      <c r="BI96" s="230">
        <v>8494</v>
      </c>
      <c r="BJ96" s="230">
        <v>7594</v>
      </c>
      <c r="BK96" s="228">
        <v>900</v>
      </c>
      <c r="BL96" s="229">
        <v>0.1186</v>
      </c>
      <c r="BM96" s="230">
        <v>4921</v>
      </c>
      <c r="BN96" s="230">
        <v>3846</v>
      </c>
      <c r="BO96" s="230">
        <v>1075</v>
      </c>
      <c r="BP96" s="229">
        <v>0.27939999999999998</v>
      </c>
      <c r="BQ96" s="230">
        <v>15022</v>
      </c>
      <c r="BR96" s="230">
        <v>12911</v>
      </c>
      <c r="BS96" s="230">
        <v>2111</v>
      </c>
      <c r="BT96" s="229">
        <v>0.16350000000000001</v>
      </c>
      <c r="BU96" s="230">
        <v>8302983</v>
      </c>
      <c r="BV96" s="230">
        <v>8879457</v>
      </c>
      <c r="BW96" s="230">
        <v>-576474</v>
      </c>
      <c r="BX96" s="229">
        <v>-6.4899999999999999E-2</v>
      </c>
      <c r="BY96" s="230">
        <v>11053</v>
      </c>
      <c r="BZ96" s="230">
        <v>11117</v>
      </c>
      <c r="CA96" s="228">
        <v>-63</v>
      </c>
      <c r="CB96" s="229">
        <v>-5.7000000000000002E-3</v>
      </c>
      <c r="CC96" s="230">
        <v>10231</v>
      </c>
      <c r="CD96" s="230">
        <v>10373</v>
      </c>
      <c r="CE96" s="228">
        <v>-142</v>
      </c>
      <c r="CF96" s="229">
        <v>-1.37E-2</v>
      </c>
      <c r="CG96" s="228">
        <v>713</v>
      </c>
      <c r="CH96" s="228">
        <v>655</v>
      </c>
      <c r="CI96" s="228">
        <v>58</v>
      </c>
      <c r="CJ96" s="229">
        <v>8.8900000000000007E-2</v>
      </c>
      <c r="CK96" s="228">
        <v>110</v>
      </c>
      <c r="CL96" s="228">
        <v>89</v>
      </c>
      <c r="CM96" s="228">
        <v>21</v>
      </c>
      <c r="CN96" s="229">
        <v>0.23019999999999999</v>
      </c>
      <c r="CO96" s="230">
        <v>7599</v>
      </c>
      <c r="CP96" s="230">
        <v>7275</v>
      </c>
      <c r="CQ96" s="228">
        <v>324</v>
      </c>
      <c r="CR96" s="229">
        <v>4.4499999999999998E-2</v>
      </c>
      <c r="CS96" s="230">
        <v>3331</v>
      </c>
      <c r="CT96" s="230">
        <v>3284</v>
      </c>
      <c r="CU96" s="228">
        <v>47</v>
      </c>
      <c r="CV96" s="229">
        <v>1.43E-2</v>
      </c>
      <c r="CW96" s="230">
        <v>21984</v>
      </c>
      <c r="CX96" s="230">
        <v>21676</v>
      </c>
      <c r="CY96" s="228">
        <v>307</v>
      </c>
      <c r="CZ96" s="229">
        <v>1.4200000000000001E-2</v>
      </c>
      <c r="DA96" s="228">
        <v>33.229999999999997</v>
      </c>
      <c r="DB96" s="228">
        <v>31.36</v>
      </c>
      <c r="DC96" s="228">
        <v>1.87</v>
      </c>
      <c r="DD96" s="228">
        <v>1.87</v>
      </c>
      <c r="DE96" s="228">
        <v>29.87</v>
      </c>
      <c r="DF96" s="228">
        <v>29.85</v>
      </c>
      <c r="DG96" s="228">
        <v>3.36</v>
      </c>
      <c r="DH96" s="228">
        <v>0.02</v>
      </c>
      <c r="DI96" s="228">
        <v>33.119999999999997</v>
      </c>
      <c r="DJ96" s="228">
        <v>31.29</v>
      </c>
      <c r="DK96" s="228">
        <v>1.83</v>
      </c>
      <c r="DL96" s="228">
        <v>1.83</v>
      </c>
      <c r="DM96" s="228">
        <v>33.42</v>
      </c>
      <c r="DN96" s="228">
        <v>31.49</v>
      </c>
      <c r="DO96" s="228">
        <v>1.93</v>
      </c>
      <c r="DP96" s="228">
        <v>1.93</v>
      </c>
      <c r="DQ96" s="228">
        <v>0.44</v>
      </c>
      <c r="DR96" s="228">
        <v>0.45</v>
      </c>
      <c r="DS96" s="228">
        <v>-0.01</v>
      </c>
      <c r="DT96" s="229">
        <v>-2.2200000000000001E-2</v>
      </c>
      <c r="DU96" s="231">
        <v>1600</v>
      </c>
      <c r="DV96" s="231">
        <v>1400</v>
      </c>
      <c r="DW96" s="228">
        <v>0.57999999999999996</v>
      </c>
      <c r="DX96" s="228">
        <v>0.51</v>
      </c>
      <c r="DY96" s="228">
        <v>7.0000000000000007E-2</v>
      </c>
      <c r="DZ96" s="229">
        <v>0.13730000000000001</v>
      </c>
      <c r="EA96" s="229">
        <v>7.4399999999999994E-2</v>
      </c>
      <c r="EB96" s="230">
        <v>5052800</v>
      </c>
      <c r="EC96" s="229">
        <v>5.7999999999999996E-3</v>
      </c>
      <c r="ED96" s="229">
        <v>7.4399999999999994E-2</v>
      </c>
      <c r="EE96" s="228">
        <v>9.9700000000000006</v>
      </c>
      <c r="EF96" s="229">
        <v>6.7000000000000002E-3</v>
      </c>
      <c r="EG96" s="230">
        <v>4586882</v>
      </c>
      <c r="EH96" s="230">
        <v>4175061</v>
      </c>
      <c r="EI96" s="229">
        <v>9.8599999999999993E-2</v>
      </c>
      <c r="EJ96" s="229">
        <v>0.5524</v>
      </c>
      <c r="EK96" s="231">
        <v>9151.44</v>
      </c>
      <c r="EL96" s="231">
        <v>4873.83</v>
      </c>
      <c r="EM96" s="231">
        <v>1622.06</v>
      </c>
      <c r="EN96" s="228">
        <v>408.96</v>
      </c>
      <c r="EO96" s="231">
        <v>15647.33</v>
      </c>
      <c r="EP96" s="231">
        <v>13634.99</v>
      </c>
      <c r="EQ96" s="231">
        <v>2012.34</v>
      </c>
      <c r="ER96" s="229">
        <v>0.14760000000000001</v>
      </c>
      <c r="ES96" s="231">
        <v>8324.33</v>
      </c>
      <c r="ET96" s="231">
        <v>3360.27</v>
      </c>
      <c r="EU96" s="231">
        <v>11059</v>
      </c>
      <c r="EV96" s="231">
        <v>368703409</v>
      </c>
      <c r="EW96" s="231">
        <v>22743.599999999999</v>
      </c>
      <c r="EX96" s="231">
        <v>22672.76</v>
      </c>
      <c r="EY96" s="228">
        <v>70.84</v>
      </c>
      <c r="EZ96" s="229">
        <v>3.0999999999999999E-3</v>
      </c>
      <c r="FA96" s="229">
        <v>0.40489999999999998</v>
      </c>
      <c r="FB96" s="227" t="s">
        <v>568</v>
      </c>
      <c r="FC96">
        <f t="shared" si="1"/>
        <v>822</v>
      </c>
    </row>
    <row r="97" spans="1:159" ht="17.25" hidden="1" thickBot="1" x14ac:dyDescent="0.3">
      <c r="A97" s="226">
        <v>46064</v>
      </c>
      <c r="B97" s="227" t="s">
        <v>161</v>
      </c>
      <c r="C97" s="227" t="s">
        <v>668</v>
      </c>
      <c r="D97" s="228">
        <v>3575</v>
      </c>
      <c r="E97" s="228">
        <v>13</v>
      </c>
      <c r="F97" s="228">
        <v>110.63</v>
      </c>
      <c r="G97" s="228">
        <v>111.39</v>
      </c>
      <c r="H97" s="228">
        <v>-0.76</v>
      </c>
      <c r="I97" s="229">
        <v>-6.7999999999999996E-3</v>
      </c>
      <c r="J97" s="228">
        <v>110.42</v>
      </c>
      <c r="K97" s="228">
        <v>111.22</v>
      </c>
      <c r="L97" s="228">
        <v>-0.8</v>
      </c>
      <c r="M97" s="229">
        <v>-7.1999999999999998E-3</v>
      </c>
      <c r="N97" s="228">
        <v>110.63</v>
      </c>
      <c r="O97" s="228">
        <v>111.39</v>
      </c>
      <c r="P97" s="228">
        <v>-0.76</v>
      </c>
      <c r="Q97" s="229">
        <v>-6.7999999999999996E-3</v>
      </c>
      <c r="R97" s="228">
        <v>111.36</v>
      </c>
      <c r="S97" s="228">
        <v>111.9</v>
      </c>
      <c r="T97" s="228">
        <v>-0.54</v>
      </c>
      <c r="U97" s="229">
        <v>-4.7999999999999996E-3</v>
      </c>
      <c r="V97" s="228">
        <v>112.1</v>
      </c>
      <c r="W97" s="228">
        <v>112.88</v>
      </c>
      <c r="X97" s="228">
        <v>-0.78</v>
      </c>
      <c r="Y97" s="229">
        <v>-6.8999999999999999E-3</v>
      </c>
      <c r="Z97" s="228">
        <v>0.21</v>
      </c>
      <c r="AA97" s="228">
        <v>0.17</v>
      </c>
      <c r="AB97" s="228">
        <v>0.04</v>
      </c>
      <c r="AC97" s="229">
        <v>1.9E-3</v>
      </c>
      <c r="AD97" s="228">
        <v>0.21</v>
      </c>
      <c r="AE97" s="228">
        <v>0.17</v>
      </c>
      <c r="AF97" s="228">
        <v>0.04</v>
      </c>
      <c r="AG97" s="229">
        <v>1.9E-3</v>
      </c>
      <c r="AH97" s="228">
        <v>0.94</v>
      </c>
      <c r="AI97" s="228">
        <v>0.68</v>
      </c>
      <c r="AJ97" s="228">
        <v>0.26</v>
      </c>
      <c r="AK97" s="229">
        <v>8.5000000000000006E-3</v>
      </c>
      <c r="AL97" s="228">
        <v>1.68</v>
      </c>
      <c r="AM97" s="228">
        <v>1.66</v>
      </c>
      <c r="AN97" s="228">
        <v>0.02</v>
      </c>
      <c r="AO97" s="229">
        <v>1.52E-2</v>
      </c>
      <c r="AP97" s="228">
        <v>109.65</v>
      </c>
      <c r="AQ97" s="228">
        <v>110.34</v>
      </c>
      <c r="AR97" s="228">
        <v>0</v>
      </c>
      <c r="AS97" s="228">
        <v>160</v>
      </c>
      <c r="AT97" s="228">
        <v>125</v>
      </c>
      <c r="AU97" s="228">
        <v>35</v>
      </c>
      <c r="AV97" s="229">
        <v>0.28220000000000001</v>
      </c>
      <c r="AW97" s="228">
        <v>139</v>
      </c>
      <c r="AX97" s="228">
        <v>106</v>
      </c>
      <c r="AY97" s="228">
        <v>34</v>
      </c>
      <c r="AZ97" s="229">
        <v>0.32119999999999999</v>
      </c>
      <c r="BA97" s="228">
        <v>18</v>
      </c>
      <c r="BB97" s="228">
        <v>18</v>
      </c>
      <c r="BC97" s="228">
        <v>0</v>
      </c>
      <c r="BD97" s="229">
        <v>-4.4000000000000003E-3</v>
      </c>
      <c r="BE97" s="228">
        <v>3</v>
      </c>
      <c r="BF97" s="228">
        <v>2</v>
      </c>
      <c r="BG97" s="228">
        <v>1</v>
      </c>
      <c r="BH97" s="229">
        <v>0.92500000000000004</v>
      </c>
      <c r="BI97" s="228">
        <v>290</v>
      </c>
      <c r="BJ97" s="228">
        <v>252</v>
      </c>
      <c r="BK97" s="228">
        <v>38</v>
      </c>
      <c r="BL97" s="229">
        <v>0.15210000000000001</v>
      </c>
      <c r="BM97" s="228">
        <v>81</v>
      </c>
      <c r="BN97" s="228">
        <v>75</v>
      </c>
      <c r="BO97" s="228">
        <v>6</v>
      </c>
      <c r="BP97" s="229">
        <v>8.2500000000000004E-2</v>
      </c>
      <c r="BQ97" s="228">
        <v>532</v>
      </c>
      <c r="BR97" s="228">
        <v>452</v>
      </c>
      <c r="BS97" s="228">
        <v>80</v>
      </c>
      <c r="BT97" s="229">
        <v>0.17649999999999999</v>
      </c>
      <c r="BU97" s="230">
        <v>6360567</v>
      </c>
      <c r="BV97" s="230">
        <v>7076829</v>
      </c>
      <c r="BW97" s="230">
        <v>-716262</v>
      </c>
      <c r="BX97" s="229">
        <v>-0.1012</v>
      </c>
      <c r="BY97" s="230">
        <v>1090</v>
      </c>
      <c r="BZ97" s="230">
        <v>1083</v>
      </c>
      <c r="CA97" s="228">
        <v>8</v>
      </c>
      <c r="CB97" s="229">
        <v>7.3000000000000001E-3</v>
      </c>
      <c r="CC97" s="230">
        <v>1029</v>
      </c>
      <c r="CD97" s="230">
        <v>1023</v>
      </c>
      <c r="CE97" s="228">
        <v>5</v>
      </c>
      <c r="CF97" s="229">
        <v>5.3E-3</v>
      </c>
      <c r="CG97" s="228">
        <v>55</v>
      </c>
      <c r="CH97" s="228">
        <v>51</v>
      </c>
      <c r="CI97" s="228">
        <v>3</v>
      </c>
      <c r="CJ97" s="229">
        <v>6.2300000000000001E-2</v>
      </c>
      <c r="CK97" s="228">
        <v>7</v>
      </c>
      <c r="CL97" s="228">
        <v>8</v>
      </c>
      <c r="CM97" s="228">
        <v>-1</v>
      </c>
      <c r="CN97" s="229">
        <v>-9.3100000000000002E-2</v>
      </c>
      <c r="CO97" s="228">
        <v>317</v>
      </c>
      <c r="CP97" s="228">
        <v>281</v>
      </c>
      <c r="CQ97" s="228">
        <v>36</v>
      </c>
      <c r="CR97" s="229">
        <v>0.12740000000000001</v>
      </c>
      <c r="CS97" s="228">
        <v>214</v>
      </c>
      <c r="CT97" s="228">
        <v>213</v>
      </c>
      <c r="CU97" s="228">
        <v>1</v>
      </c>
      <c r="CV97" s="229">
        <v>6.8999999999999999E-3</v>
      </c>
      <c r="CW97" s="230">
        <v>1621</v>
      </c>
      <c r="CX97" s="230">
        <v>1576</v>
      </c>
      <c r="CY97" s="228">
        <v>45</v>
      </c>
      <c r="CZ97" s="229">
        <v>2.87E-2</v>
      </c>
      <c r="DA97" s="228">
        <v>55.35</v>
      </c>
      <c r="DB97" s="228">
        <v>51.2</v>
      </c>
      <c r="DC97" s="228">
        <v>4.1500000000000004</v>
      </c>
      <c r="DD97" s="228">
        <v>4.1500000000000004</v>
      </c>
      <c r="DE97" s="228">
        <v>51.65</v>
      </c>
      <c r="DF97" s="228">
        <v>51.77</v>
      </c>
      <c r="DG97" s="228">
        <v>3.7</v>
      </c>
      <c r="DH97" s="228">
        <v>-0.12</v>
      </c>
      <c r="DI97" s="228">
        <v>55.42</v>
      </c>
      <c r="DJ97" s="228">
        <v>50.11</v>
      </c>
      <c r="DK97" s="228">
        <v>5.31</v>
      </c>
      <c r="DL97" s="228">
        <v>5.31</v>
      </c>
      <c r="DM97" s="228">
        <v>55.11</v>
      </c>
      <c r="DN97" s="228">
        <v>54.83</v>
      </c>
      <c r="DO97" s="228">
        <v>0.28000000000000003</v>
      </c>
      <c r="DP97" s="228">
        <v>0.28000000000000003</v>
      </c>
      <c r="DQ97" s="228">
        <v>0.68</v>
      </c>
      <c r="DR97" s="228">
        <v>0.76</v>
      </c>
      <c r="DS97" s="228">
        <v>-0.08</v>
      </c>
      <c r="DT97" s="229">
        <v>-0.1053</v>
      </c>
      <c r="DU97" s="228">
        <v>120</v>
      </c>
      <c r="DV97" s="228">
        <v>110</v>
      </c>
      <c r="DW97" s="228">
        <v>0.28000000000000003</v>
      </c>
      <c r="DX97" s="228">
        <v>0.3</v>
      </c>
      <c r="DY97" s="228">
        <v>-0.02</v>
      </c>
      <c r="DZ97" s="229">
        <v>-6.6699999999999995E-2</v>
      </c>
      <c r="EA97" s="229">
        <v>5.6800000000000003E-2</v>
      </c>
      <c r="EB97" s="230">
        <v>5380375</v>
      </c>
      <c r="EC97" s="229">
        <v>6.6E-3</v>
      </c>
      <c r="ED97" s="229">
        <v>5.6800000000000003E-2</v>
      </c>
      <c r="EE97" s="228">
        <v>0.69</v>
      </c>
      <c r="EF97" s="229">
        <v>6.3E-3</v>
      </c>
      <c r="EG97" s="230">
        <v>1930807</v>
      </c>
      <c r="EH97" s="230">
        <v>2323017</v>
      </c>
      <c r="EI97" s="229">
        <v>-0.16880000000000001</v>
      </c>
      <c r="EJ97" s="229">
        <v>0.30359999999999998</v>
      </c>
      <c r="EK97" s="228">
        <v>312.87</v>
      </c>
      <c r="EL97" s="228">
        <v>77.819999999999993</v>
      </c>
      <c r="EM97" s="228">
        <v>159.03</v>
      </c>
      <c r="EN97" s="228">
        <v>40.18</v>
      </c>
      <c r="EO97" s="228">
        <v>549.71</v>
      </c>
      <c r="EP97" s="228">
        <v>475.04</v>
      </c>
      <c r="EQ97" s="228">
        <v>74.67</v>
      </c>
      <c r="ER97" s="229">
        <v>0.15720000000000001</v>
      </c>
      <c r="ES97" s="228">
        <v>331.76</v>
      </c>
      <c r="ET97" s="228">
        <v>215.16</v>
      </c>
      <c r="EU97" s="231">
        <v>1090.94</v>
      </c>
      <c r="EV97" s="231">
        <v>144708707</v>
      </c>
      <c r="EW97" s="231">
        <v>1637.86</v>
      </c>
      <c r="EX97" s="231">
        <v>1596.88</v>
      </c>
      <c r="EY97" s="228">
        <v>40.98</v>
      </c>
      <c r="EZ97" s="229">
        <v>2.5700000000000001E-2</v>
      </c>
      <c r="FA97" s="229">
        <v>1.0127999999999999</v>
      </c>
      <c r="FB97" s="227" t="s">
        <v>567</v>
      </c>
      <c r="FC97">
        <f t="shared" si="1"/>
        <v>61</v>
      </c>
    </row>
    <row r="98" spans="1:159" ht="17.25" hidden="1" thickBot="1" x14ac:dyDescent="0.3">
      <c r="A98" s="226">
        <v>46064</v>
      </c>
      <c r="B98" s="227" t="s">
        <v>193</v>
      </c>
      <c r="C98" s="227" t="s">
        <v>241</v>
      </c>
      <c r="D98" s="228">
        <v>4875</v>
      </c>
      <c r="E98" s="228">
        <v>13</v>
      </c>
      <c r="F98" s="228">
        <v>181.39</v>
      </c>
      <c r="G98" s="228">
        <v>178.26</v>
      </c>
      <c r="H98" s="228">
        <v>3.13</v>
      </c>
      <c r="I98" s="229">
        <v>1.7600000000000001E-2</v>
      </c>
      <c r="J98" s="228">
        <v>181.31</v>
      </c>
      <c r="K98" s="228">
        <v>178.21</v>
      </c>
      <c r="L98" s="228">
        <v>3.1</v>
      </c>
      <c r="M98" s="229">
        <v>1.7399999999999999E-2</v>
      </c>
      <c r="N98" s="228">
        <v>181.39</v>
      </c>
      <c r="O98" s="228">
        <v>178.26</v>
      </c>
      <c r="P98" s="228">
        <v>3.13</v>
      </c>
      <c r="Q98" s="229">
        <v>1.7600000000000001E-2</v>
      </c>
      <c r="R98" s="228">
        <v>182.04</v>
      </c>
      <c r="S98" s="228">
        <v>178.97</v>
      </c>
      <c r="T98" s="228">
        <v>3.07</v>
      </c>
      <c r="U98" s="229">
        <v>1.72E-2</v>
      </c>
      <c r="V98" s="228">
        <v>183</v>
      </c>
      <c r="W98" s="228">
        <v>180.09</v>
      </c>
      <c r="X98" s="228">
        <v>2.91</v>
      </c>
      <c r="Y98" s="229">
        <v>1.6199999999999999E-2</v>
      </c>
      <c r="Z98" s="228">
        <v>0.08</v>
      </c>
      <c r="AA98" s="228">
        <v>0.05</v>
      </c>
      <c r="AB98" s="228">
        <v>0.03</v>
      </c>
      <c r="AC98" s="229">
        <v>4.0000000000000002E-4</v>
      </c>
      <c r="AD98" s="228">
        <v>0.08</v>
      </c>
      <c r="AE98" s="228">
        <v>0.05</v>
      </c>
      <c r="AF98" s="228">
        <v>0.03</v>
      </c>
      <c r="AG98" s="229">
        <v>4.0000000000000002E-4</v>
      </c>
      <c r="AH98" s="228">
        <v>0.73</v>
      </c>
      <c r="AI98" s="228">
        <v>0.76</v>
      </c>
      <c r="AJ98" s="228">
        <v>-0.03</v>
      </c>
      <c r="AK98" s="229">
        <v>4.0000000000000001E-3</v>
      </c>
      <c r="AL98" s="228">
        <v>1.69</v>
      </c>
      <c r="AM98" s="228">
        <v>1.88</v>
      </c>
      <c r="AN98" s="228">
        <v>-0.19</v>
      </c>
      <c r="AO98" s="229">
        <v>9.2999999999999992E-3</v>
      </c>
      <c r="AP98" s="228">
        <v>180.11</v>
      </c>
      <c r="AQ98" s="228">
        <v>181.1</v>
      </c>
      <c r="AR98" s="228">
        <v>0</v>
      </c>
      <c r="AS98" s="228">
        <v>402</v>
      </c>
      <c r="AT98" s="228">
        <v>261</v>
      </c>
      <c r="AU98" s="228">
        <v>140</v>
      </c>
      <c r="AV98" s="229">
        <v>0.53669999999999995</v>
      </c>
      <c r="AW98" s="228">
        <v>347</v>
      </c>
      <c r="AX98" s="228">
        <v>230</v>
      </c>
      <c r="AY98" s="228">
        <v>117</v>
      </c>
      <c r="AZ98" s="229">
        <v>0.50649999999999995</v>
      </c>
      <c r="BA98" s="228">
        <v>49</v>
      </c>
      <c r="BB98" s="228">
        <v>26</v>
      </c>
      <c r="BC98" s="228">
        <v>24</v>
      </c>
      <c r="BD98" s="229">
        <v>0.90780000000000005</v>
      </c>
      <c r="BE98" s="228">
        <v>5</v>
      </c>
      <c r="BF98" s="228">
        <v>5</v>
      </c>
      <c r="BG98" s="228">
        <v>0</v>
      </c>
      <c r="BH98" s="229">
        <v>1.72E-2</v>
      </c>
      <c r="BI98" s="230">
        <v>1541</v>
      </c>
      <c r="BJ98" s="228">
        <v>817</v>
      </c>
      <c r="BK98" s="228">
        <v>724</v>
      </c>
      <c r="BL98" s="229">
        <v>0.88660000000000005</v>
      </c>
      <c r="BM98" s="228">
        <v>837</v>
      </c>
      <c r="BN98" s="228">
        <v>525</v>
      </c>
      <c r="BO98" s="228">
        <v>312</v>
      </c>
      <c r="BP98" s="229">
        <v>0.59430000000000005</v>
      </c>
      <c r="BQ98" s="230">
        <v>2780</v>
      </c>
      <c r="BR98" s="230">
        <v>1604</v>
      </c>
      <c r="BS98" s="230">
        <v>1177</v>
      </c>
      <c r="BT98" s="229">
        <v>0.73380000000000001</v>
      </c>
      <c r="BU98" s="230">
        <v>26979097</v>
      </c>
      <c r="BV98" s="230">
        <v>22486184</v>
      </c>
      <c r="BW98" s="230">
        <v>4492913</v>
      </c>
      <c r="BX98" s="229">
        <v>0.19980000000000001</v>
      </c>
      <c r="BY98" s="230">
        <v>1699</v>
      </c>
      <c r="BZ98" s="230">
        <v>1811</v>
      </c>
      <c r="CA98" s="228">
        <v>-111</v>
      </c>
      <c r="CB98" s="229">
        <v>-6.13E-2</v>
      </c>
      <c r="CC98" s="230">
        <v>1634</v>
      </c>
      <c r="CD98" s="230">
        <v>1753</v>
      </c>
      <c r="CE98" s="228">
        <v>-119</v>
      </c>
      <c r="CF98" s="229">
        <v>-6.7799999999999999E-2</v>
      </c>
      <c r="CG98" s="228">
        <v>56</v>
      </c>
      <c r="CH98" s="228">
        <v>48</v>
      </c>
      <c r="CI98" s="228">
        <v>8</v>
      </c>
      <c r="CJ98" s="229">
        <v>0.1636</v>
      </c>
      <c r="CK98" s="228">
        <v>9</v>
      </c>
      <c r="CL98" s="228">
        <v>9</v>
      </c>
      <c r="CM98" s="228">
        <v>0</v>
      </c>
      <c r="CN98" s="229">
        <v>0</v>
      </c>
      <c r="CO98" s="230">
        <v>1125</v>
      </c>
      <c r="CP98" s="230">
        <v>1210</v>
      </c>
      <c r="CQ98" s="228">
        <v>-86</v>
      </c>
      <c r="CR98" s="229">
        <v>-7.0699999999999999E-2</v>
      </c>
      <c r="CS98" s="228">
        <v>833</v>
      </c>
      <c r="CT98" s="228">
        <v>799</v>
      </c>
      <c r="CU98" s="228">
        <v>35</v>
      </c>
      <c r="CV98" s="229">
        <v>4.3299999999999998E-2</v>
      </c>
      <c r="CW98" s="230">
        <v>3658</v>
      </c>
      <c r="CX98" s="230">
        <v>3820</v>
      </c>
      <c r="CY98" s="228">
        <v>-162</v>
      </c>
      <c r="CZ98" s="229">
        <v>-4.24E-2</v>
      </c>
      <c r="DA98" s="228">
        <v>28.51</v>
      </c>
      <c r="DB98" s="228">
        <v>29.4</v>
      </c>
      <c r="DC98" s="228">
        <v>-0.89</v>
      </c>
      <c r="DD98" s="228">
        <v>-0.89</v>
      </c>
      <c r="DE98" s="228">
        <v>30.71</v>
      </c>
      <c r="DF98" s="228">
        <v>30.7</v>
      </c>
      <c r="DG98" s="228">
        <v>-2.2000000000000002</v>
      </c>
      <c r="DH98" s="228">
        <v>0.01</v>
      </c>
      <c r="DI98" s="228">
        <v>27.74</v>
      </c>
      <c r="DJ98" s="228">
        <v>29.15</v>
      </c>
      <c r="DK98" s="228">
        <v>-1.41</v>
      </c>
      <c r="DL98" s="228">
        <v>-1.41</v>
      </c>
      <c r="DM98" s="228">
        <v>29.92</v>
      </c>
      <c r="DN98" s="228">
        <v>29.8</v>
      </c>
      <c r="DO98" s="228">
        <v>0.12</v>
      </c>
      <c r="DP98" s="228">
        <v>0.12</v>
      </c>
      <c r="DQ98" s="228">
        <v>0.74</v>
      </c>
      <c r="DR98" s="228">
        <v>0.66</v>
      </c>
      <c r="DS98" s="228">
        <v>0.08</v>
      </c>
      <c r="DT98" s="229">
        <v>0.1212</v>
      </c>
      <c r="DU98" s="228">
        <v>180</v>
      </c>
      <c r="DV98" s="228">
        <v>160</v>
      </c>
      <c r="DW98" s="228">
        <v>0.54</v>
      </c>
      <c r="DX98" s="228">
        <v>0.64</v>
      </c>
      <c r="DY98" s="228">
        <v>-0.1</v>
      </c>
      <c r="DZ98" s="229">
        <v>-0.15620000000000001</v>
      </c>
      <c r="EA98" s="229">
        <v>3.8199999999999998E-2</v>
      </c>
      <c r="EB98" s="230">
        <v>3149250</v>
      </c>
      <c r="EC98" s="229">
        <v>3.5999999999999999E-3</v>
      </c>
      <c r="ED98" s="229">
        <v>3.8199999999999998E-2</v>
      </c>
      <c r="EE98" s="228">
        <v>0.99</v>
      </c>
      <c r="EF98" s="229">
        <v>5.4999999999999997E-3</v>
      </c>
      <c r="EG98" s="230">
        <v>16913580</v>
      </c>
      <c r="EH98" s="230">
        <v>15048571</v>
      </c>
      <c r="EI98" s="229">
        <v>0.1239</v>
      </c>
      <c r="EJ98" s="229">
        <v>0.62690000000000001</v>
      </c>
      <c r="EK98" s="231">
        <v>1584.16</v>
      </c>
      <c r="EL98" s="228">
        <v>803.09</v>
      </c>
      <c r="EM98" s="228">
        <v>399.31</v>
      </c>
      <c r="EN98" s="228">
        <v>64.290000000000006</v>
      </c>
      <c r="EO98" s="231">
        <v>2786.56</v>
      </c>
      <c r="EP98" s="231">
        <v>1579.8</v>
      </c>
      <c r="EQ98" s="231">
        <v>1206.76</v>
      </c>
      <c r="ER98" s="229">
        <v>0.76390000000000002</v>
      </c>
      <c r="ES98" s="231">
        <v>1111.8900000000001</v>
      </c>
      <c r="ET98" s="228">
        <v>764.04</v>
      </c>
      <c r="EU98" s="231">
        <v>1699.77</v>
      </c>
      <c r="EV98" s="231">
        <v>684903861</v>
      </c>
      <c r="EW98" s="231">
        <v>3575.7</v>
      </c>
      <c r="EX98" s="231">
        <v>3697.25</v>
      </c>
      <c r="EY98" s="228">
        <v>-121.55</v>
      </c>
      <c r="EZ98" s="229">
        <v>-3.2899999999999999E-2</v>
      </c>
      <c r="FA98" s="229">
        <v>0.2944</v>
      </c>
      <c r="FB98" s="227" t="s">
        <v>556</v>
      </c>
      <c r="FC98">
        <f t="shared" si="1"/>
        <v>65</v>
      </c>
    </row>
    <row r="99" spans="1:159" ht="17.25" hidden="1" thickBot="1" x14ac:dyDescent="0.3">
      <c r="A99" s="226">
        <v>46064</v>
      </c>
      <c r="B99" s="227" t="s">
        <v>215</v>
      </c>
      <c r="C99" s="227" t="s">
        <v>490</v>
      </c>
      <c r="D99" s="228">
        <v>875</v>
      </c>
      <c r="E99" s="228">
        <v>13</v>
      </c>
      <c r="F99" s="228">
        <v>625</v>
      </c>
      <c r="G99" s="228">
        <v>631.79999999999995</v>
      </c>
      <c r="H99" s="228">
        <v>-6.8</v>
      </c>
      <c r="I99" s="229">
        <v>-1.0800000000000001E-2</v>
      </c>
      <c r="J99" s="228">
        <v>628.35</v>
      </c>
      <c r="K99" s="228">
        <v>636.20000000000005</v>
      </c>
      <c r="L99" s="228">
        <v>-7.85</v>
      </c>
      <c r="M99" s="229">
        <v>-1.23E-2</v>
      </c>
      <c r="N99" s="228">
        <v>625</v>
      </c>
      <c r="O99" s="228">
        <v>631.79999999999995</v>
      </c>
      <c r="P99" s="228">
        <v>-6.8</v>
      </c>
      <c r="Q99" s="229">
        <v>-1.0800000000000001E-2</v>
      </c>
      <c r="R99" s="228">
        <v>0</v>
      </c>
      <c r="S99" s="228">
        <v>0</v>
      </c>
      <c r="T99" s="228">
        <v>0</v>
      </c>
      <c r="U99" s="229">
        <v>0</v>
      </c>
      <c r="V99" s="228">
        <v>0</v>
      </c>
      <c r="W99" s="228">
        <v>0</v>
      </c>
      <c r="X99" s="228">
        <v>0</v>
      </c>
      <c r="Y99" s="229">
        <v>0</v>
      </c>
      <c r="Z99" s="228">
        <v>-3.35</v>
      </c>
      <c r="AA99" s="228">
        <v>-4.4000000000000004</v>
      </c>
      <c r="AB99" s="228">
        <v>1.05</v>
      </c>
      <c r="AC99" s="229">
        <v>-5.3E-3</v>
      </c>
      <c r="AD99" s="228">
        <v>-3.35</v>
      </c>
      <c r="AE99" s="228">
        <v>-4.4000000000000004</v>
      </c>
      <c r="AF99" s="228">
        <v>1.05</v>
      </c>
      <c r="AG99" s="229">
        <v>-5.3E-3</v>
      </c>
      <c r="AH99" s="228">
        <v>0</v>
      </c>
      <c r="AI99" s="228">
        <v>0</v>
      </c>
      <c r="AJ99" s="228">
        <v>0</v>
      </c>
      <c r="AK99" s="229">
        <v>0</v>
      </c>
      <c r="AL99" s="228">
        <v>0</v>
      </c>
      <c r="AM99" s="228">
        <v>0</v>
      </c>
      <c r="AN99" s="228">
        <v>0</v>
      </c>
      <c r="AO99" s="229">
        <v>0</v>
      </c>
      <c r="AP99" s="228">
        <v>624.79</v>
      </c>
      <c r="AQ99" s="228">
        <v>0</v>
      </c>
      <c r="AR99" s="228">
        <v>0</v>
      </c>
      <c r="AS99" s="228">
        <v>106</v>
      </c>
      <c r="AT99" s="228">
        <v>231</v>
      </c>
      <c r="AU99" s="228">
        <v>-125</v>
      </c>
      <c r="AV99" s="229">
        <v>-0.54139999999999999</v>
      </c>
      <c r="AW99" s="228">
        <v>106</v>
      </c>
      <c r="AX99" s="228">
        <v>231</v>
      </c>
      <c r="AY99" s="228">
        <v>-125</v>
      </c>
      <c r="AZ99" s="229">
        <v>-0.54139999999999999</v>
      </c>
      <c r="BA99" s="228">
        <v>0</v>
      </c>
      <c r="BB99" s="228">
        <v>0</v>
      </c>
      <c r="BC99" s="228">
        <v>0</v>
      </c>
      <c r="BD99" s="229">
        <v>0</v>
      </c>
      <c r="BE99" s="228">
        <v>0</v>
      </c>
      <c r="BF99" s="228">
        <v>0</v>
      </c>
      <c r="BG99" s="228">
        <v>0</v>
      </c>
      <c r="BH99" s="229">
        <v>0</v>
      </c>
      <c r="BI99" s="228">
        <v>724</v>
      </c>
      <c r="BJ99" s="230">
        <v>1557</v>
      </c>
      <c r="BK99" s="228">
        <v>-834</v>
      </c>
      <c r="BL99" s="229">
        <v>-0.5353</v>
      </c>
      <c r="BM99" s="228">
        <v>212</v>
      </c>
      <c r="BN99" s="228">
        <v>354</v>
      </c>
      <c r="BO99" s="228">
        <v>-142</v>
      </c>
      <c r="BP99" s="229">
        <v>-0.40079999999999999</v>
      </c>
      <c r="BQ99" s="230">
        <v>1042</v>
      </c>
      <c r="BR99" s="230">
        <v>2143</v>
      </c>
      <c r="BS99" s="230">
        <v>-1101</v>
      </c>
      <c r="BT99" s="229">
        <v>-0.51370000000000005</v>
      </c>
      <c r="BU99" s="230">
        <v>960021</v>
      </c>
      <c r="BV99" s="230">
        <v>2035207</v>
      </c>
      <c r="BW99" s="230">
        <v>-1075186</v>
      </c>
      <c r="BX99" s="229">
        <v>-0.52829999999999999</v>
      </c>
      <c r="BY99" s="230">
        <v>1150</v>
      </c>
      <c r="BZ99" s="230">
        <v>1153</v>
      </c>
      <c r="CA99" s="228">
        <v>-2</v>
      </c>
      <c r="CB99" s="229">
        <v>-2.0999999999999999E-3</v>
      </c>
      <c r="CC99" s="230">
        <v>1150</v>
      </c>
      <c r="CD99" s="230">
        <v>1153</v>
      </c>
      <c r="CE99" s="228">
        <v>-2</v>
      </c>
      <c r="CF99" s="229">
        <v>-2.0999999999999999E-3</v>
      </c>
      <c r="CG99" s="228">
        <v>0</v>
      </c>
      <c r="CH99" s="228">
        <v>0</v>
      </c>
      <c r="CI99" s="228">
        <v>0</v>
      </c>
      <c r="CJ99" s="229">
        <v>0</v>
      </c>
      <c r="CK99" s="228">
        <v>0</v>
      </c>
      <c r="CL99" s="228">
        <v>0</v>
      </c>
      <c r="CM99" s="228">
        <v>0</v>
      </c>
      <c r="CN99" s="229">
        <v>0</v>
      </c>
      <c r="CO99" s="228">
        <v>940</v>
      </c>
      <c r="CP99" s="228">
        <v>875</v>
      </c>
      <c r="CQ99" s="228">
        <v>66</v>
      </c>
      <c r="CR99" s="229">
        <v>7.4999999999999997E-2</v>
      </c>
      <c r="CS99" s="228">
        <v>572</v>
      </c>
      <c r="CT99" s="228">
        <v>572</v>
      </c>
      <c r="CU99" s="228">
        <v>0</v>
      </c>
      <c r="CV99" s="229">
        <v>0</v>
      </c>
      <c r="CW99" s="230">
        <v>2663</v>
      </c>
      <c r="CX99" s="230">
        <v>2600</v>
      </c>
      <c r="CY99" s="228">
        <v>63</v>
      </c>
      <c r="CZ99" s="229">
        <v>2.4299999999999999E-2</v>
      </c>
      <c r="DA99" s="228">
        <v>37.33</v>
      </c>
      <c r="DB99" s="228">
        <v>36.1</v>
      </c>
      <c r="DC99" s="228">
        <v>1.23</v>
      </c>
      <c r="DD99" s="228">
        <v>1.23</v>
      </c>
      <c r="DE99" s="228">
        <v>29.53</v>
      </c>
      <c r="DF99" s="228">
        <v>29.57</v>
      </c>
      <c r="DG99" s="228">
        <v>7.8</v>
      </c>
      <c r="DH99" s="228">
        <v>-0.04</v>
      </c>
      <c r="DI99" s="228">
        <v>37.76</v>
      </c>
      <c r="DJ99" s="228">
        <v>36.35</v>
      </c>
      <c r="DK99" s="228">
        <v>1.41</v>
      </c>
      <c r="DL99" s="228">
        <v>1.41</v>
      </c>
      <c r="DM99" s="228">
        <v>35.85</v>
      </c>
      <c r="DN99" s="228">
        <v>35.03</v>
      </c>
      <c r="DO99" s="228">
        <v>0.82</v>
      </c>
      <c r="DP99" s="228">
        <v>0.82</v>
      </c>
      <c r="DQ99" s="228">
        <v>0.61</v>
      </c>
      <c r="DR99" s="228">
        <v>0.65</v>
      </c>
      <c r="DS99" s="228">
        <v>-0.04</v>
      </c>
      <c r="DT99" s="229">
        <v>-6.1499999999999999E-2</v>
      </c>
      <c r="DU99" s="228">
        <v>650</v>
      </c>
      <c r="DV99" s="228">
        <v>600</v>
      </c>
      <c r="DW99" s="228">
        <v>0.28999999999999998</v>
      </c>
      <c r="DX99" s="228">
        <v>0.23</v>
      </c>
      <c r="DY99" s="228">
        <v>0.06</v>
      </c>
      <c r="DZ99" s="229">
        <v>0.26090000000000002</v>
      </c>
      <c r="EA99" s="229">
        <v>0</v>
      </c>
      <c r="EB99" s="228">
        <v>0</v>
      </c>
      <c r="EC99" s="229">
        <v>0</v>
      </c>
      <c r="ED99" s="229">
        <v>0</v>
      </c>
      <c r="EE99" s="228">
        <v>0</v>
      </c>
      <c r="EF99" s="229">
        <v>0</v>
      </c>
      <c r="EG99" s="230">
        <v>401412</v>
      </c>
      <c r="EH99" s="230">
        <v>775541</v>
      </c>
      <c r="EI99" s="229">
        <v>-0.4824</v>
      </c>
      <c r="EJ99" s="229">
        <v>0.41810000000000003</v>
      </c>
      <c r="EK99" s="228">
        <v>762.63</v>
      </c>
      <c r="EL99" s="228">
        <v>212.18</v>
      </c>
      <c r="EM99" s="228">
        <v>106</v>
      </c>
      <c r="EN99" s="228">
        <v>23.57</v>
      </c>
      <c r="EO99" s="231">
        <v>1080.81</v>
      </c>
      <c r="EP99" s="231">
        <v>2233.23</v>
      </c>
      <c r="EQ99" s="231">
        <v>-1152.4100000000001</v>
      </c>
      <c r="ER99" s="229">
        <v>-0.51600000000000001</v>
      </c>
      <c r="ES99" s="228">
        <v>993.46</v>
      </c>
      <c r="ET99" s="228">
        <v>566.76</v>
      </c>
      <c r="EU99" s="231">
        <v>1150.46</v>
      </c>
      <c r="EV99" s="231">
        <v>32504261</v>
      </c>
      <c r="EW99" s="231">
        <v>2710.68</v>
      </c>
      <c r="EX99" s="231">
        <v>2656.77</v>
      </c>
      <c r="EY99" s="228">
        <v>53.91</v>
      </c>
      <c r="EZ99" s="229">
        <v>2.0299999999999999E-2</v>
      </c>
      <c r="FA99" s="229">
        <v>1.3109</v>
      </c>
      <c r="FB99" s="227" t="s">
        <v>568</v>
      </c>
      <c r="FC99">
        <f t="shared" si="1"/>
        <v>0</v>
      </c>
    </row>
    <row r="100" spans="1:159" ht="17.25" hidden="1" thickBot="1" x14ac:dyDescent="0.3">
      <c r="A100" s="226">
        <v>46064</v>
      </c>
      <c r="B100" s="227" t="s">
        <v>175</v>
      </c>
      <c r="C100" s="227" t="s">
        <v>664</v>
      </c>
      <c r="D100" s="228">
        <v>3450</v>
      </c>
      <c r="E100" s="228">
        <v>13</v>
      </c>
      <c r="F100" s="228">
        <v>125.05</v>
      </c>
      <c r="G100" s="228">
        <v>128.62</v>
      </c>
      <c r="H100" s="228">
        <v>-3.57</v>
      </c>
      <c r="I100" s="229">
        <v>-2.7799999999999998E-2</v>
      </c>
      <c r="J100" s="228">
        <v>126.67</v>
      </c>
      <c r="K100" s="228">
        <v>129.28</v>
      </c>
      <c r="L100" s="228">
        <v>-2.61</v>
      </c>
      <c r="M100" s="229">
        <v>-2.0199999999999999E-2</v>
      </c>
      <c r="N100" s="228">
        <v>125.05</v>
      </c>
      <c r="O100" s="228">
        <v>128.62</v>
      </c>
      <c r="P100" s="228">
        <v>-3.57</v>
      </c>
      <c r="Q100" s="229">
        <v>-2.7799999999999998E-2</v>
      </c>
      <c r="R100" s="228">
        <v>123.54</v>
      </c>
      <c r="S100" s="228">
        <v>127.37</v>
      </c>
      <c r="T100" s="228">
        <v>-3.83</v>
      </c>
      <c r="U100" s="229">
        <v>-3.0099999999999998E-2</v>
      </c>
      <c r="V100" s="228">
        <v>123.26</v>
      </c>
      <c r="W100" s="228">
        <v>127.33</v>
      </c>
      <c r="X100" s="228">
        <v>-4.07</v>
      </c>
      <c r="Y100" s="229">
        <v>-3.2000000000000001E-2</v>
      </c>
      <c r="Z100" s="228">
        <v>-1.62</v>
      </c>
      <c r="AA100" s="228">
        <v>-0.66</v>
      </c>
      <c r="AB100" s="228">
        <v>-0.96</v>
      </c>
      <c r="AC100" s="229">
        <v>-1.2800000000000001E-2</v>
      </c>
      <c r="AD100" s="228">
        <v>-1.62</v>
      </c>
      <c r="AE100" s="228">
        <v>-0.66</v>
      </c>
      <c r="AF100" s="228">
        <v>-0.96</v>
      </c>
      <c r="AG100" s="229">
        <v>-1.2800000000000001E-2</v>
      </c>
      <c r="AH100" s="228">
        <v>-3.13</v>
      </c>
      <c r="AI100" s="228">
        <v>-1.91</v>
      </c>
      <c r="AJ100" s="228">
        <v>-1.22</v>
      </c>
      <c r="AK100" s="229">
        <v>-2.47E-2</v>
      </c>
      <c r="AL100" s="228">
        <v>-3.41</v>
      </c>
      <c r="AM100" s="228">
        <v>-1.95</v>
      </c>
      <c r="AN100" s="228">
        <v>-1.46</v>
      </c>
      <c r="AO100" s="229">
        <v>-2.69E-2</v>
      </c>
      <c r="AP100" s="228">
        <v>124.93</v>
      </c>
      <c r="AQ100" s="228">
        <v>123.39</v>
      </c>
      <c r="AR100" s="228">
        <v>0</v>
      </c>
      <c r="AS100" s="228">
        <v>310</v>
      </c>
      <c r="AT100" s="228">
        <v>143</v>
      </c>
      <c r="AU100" s="228">
        <v>166</v>
      </c>
      <c r="AV100" s="229">
        <v>1.1624000000000001</v>
      </c>
      <c r="AW100" s="228">
        <v>197</v>
      </c>
      <c r="AX100" s="228">
        <v>89</v>
      </c>
      <c r="AY100" s="228">
        <v>108</v>
      </c>
      <c r="AZ100" s="229">
        <v>1.2175</v>
      </c>
      <c r="BA100" s="228">
        <v>99</v>
      </c>
      <c r="BB100" s="228">
        <v>47</v>
      </c>
      <c r="BC100" s="228">
        <v>51</v>
      </c>
      <c r="BD100" s="229">
        <v>1.0783</v>
      </c>
      <c r="BE100" s="228">
        <v>14</v>
      </c>
      <c r="BF100" s="228">
        <v>7</v>
      </c>
      <c r="BG100" s="228">
        <v>7</v>
      </c>
      <c r="BH100" s="229">
        <v>1.0258</v>
      </c>
      <c r="BI100" s="228">
        <v>517</v>
      </c>
      <c r="BJ100" s="228">
        <v>182</v>
      </c>
      <c r="BK100" s="228">
        <v>335</v>
      </c>
      <c r="BL100" s="229">
        <v>1.8441000000000001</v>
      </c>
      <c r="BM100" s="228">
        <v>202</v>
      </c>
      <c r="BN100" s="228">
        <v>62</v>
      </c>
      <c r="BO100" s="228">
        <v>140</v>
      </c>
      <c r="BP100" s="229">
        <v>2.2643</v>
      </c>
      <c r="BQ100" s="230">
        <v>1029</v>
      </c>
      <c r="BR100" s="228">
        <v>387</v>
      </c>
      <c r="BS100" s="228">
        <v>642</v>
      </c>
      <c r="BT100" s="229">
        <v>1.659</v>
      </c>
      <c r="BU100" s="230">
        <v>14010351</v>
      </c>
      <c r="BV100" s="230">
        <v>5279798</v>
      </c>
      <c r="BW100" s="230">
        <v>8730553</v>
      </c>
      <c r="BX100" s="229">
        <v>1.6536</v>
      </c>
      <c r="BY100" s="230">
        <v>1052</v>
      </c>
      <c r="BZ100" s="228">
        <v>944</v>
      </c>
      <c r="CA100" s="228">
        <v>107</v>
      </c>
      <c r="CB100" s="229">
        <v>0.1135</v>
      </c>
      <c r="CC100" s="228">
        <v>823</v>
      </c>
      <c r="CD100" s="228">
        <v>763</v>
      </c>
      <c r="CE100" s="228">
        <v>59</v>
      </c>
      <c r="CF100" s="229">
        <v>7.8E-2</v>
      </c>
      <c r="CG100" s="228">
        <v>189</v>
      </c>
      <c r="CH100" s="228">
        <v>148</v>
      </c>
      <c r="CI100" s="228">
        <v>41</v>
      </c>
      <c r="CJ100" s="229">
        <v>0.27310000000000001</v>
      </c>
      <c r="CK100" s="228">
        <v>40</v>
      </c>
      <c r="CL100" s="228">
        <v>33</v>
      </c>
      <c r="CM100" s="228">
        <v>7</v>
      </c>
      <c r="CN100" s="229">
        <v>0.21890000000000001</v>
      </c>
      <c r="CO100" s="228">
        <v>528</v>
      </c>
      <c r="CP100" s="228">
        <v>480</v>
      </c>
      <c r="CQ100" s="228">
        <v>48</v>
      </c>
      <c r="CR100" s="229">
        <v>0.1009</v>
      </c>
      <c r="CS100" s="228">
        <v>278</v>
      </c>
      <c r="CT100" s="228">
        <v>266</v>
      </c>
      <c r="CU100" s="228">
        <v>12</v>
      </c>
      <c r="CV100" s="229">
        <v>4.6300000000000001E-2</v>
      </c>
      <c r="CW100" s="230">
        <v>1858</v>
      </c>
      <c r="CX100" s="230">
        <v>1690</v>
      </c>
      <c r="CY100" s="228">
        <v>168</v>
      </c>
      <c r="CZ100" s="229">
        <v>9.9400000000000002E-2</v>
      </c>
      <c r="DA100" s="228">
        <v>40.64</v>
      </c>
      <c r="DB100" s="228">
        <v>39.86</v>
      </c>
      <c r="DC100" s="228">
        <v>0.78</v>
      </c>
      <c r="DD100" s="228">
        <v>0.78</v>
      </c>
      <c r="DE100" s="228">
        <v>48.32</v>
      </c>
      <c r="DF100" s="228">
        <v>48.29</v>
      </c>
      <c r="DG100" s="228">
        <v>-7.68</v>
      </c>
      <c r="DH100" s="228">
        <v>0.03</v>
      </c>
      <c r="DI100" s="228">
        <v>41.44</v>
      </c>
      <c r="DJ100" s="228">
        <v>40.46</v>
      </c>
      <c r="DK100" s="228">
        <v>0.98</v>
      </c>
      <c r="DL100" s="228">
        <v>0.98</v>
      </c>
      <c r="DM100" s="228">
        <v>38.6</v>
      </c>
      <c r="DN100" s="228">
        <v>38.07</v>
      </c>
      <c r="DO100" s="228">
        <v>0.53</v>
      </c>
      <c r="DP100" s="228">
        <v>0.53</v>
      </c>
      <c r="DQ100" s="228">
        <v>0.53</v>
      </c>
      <c r="DR100" s="228">
        <v>0.55000000000000004</v>
      </c>
      <c r="DS100" s="228">
        <v>-0.02</v>
      </c>
      <c r="DT100" s="229">
        <v>-3.6400000000000002E-2</v>
      </c>
      <c r="DU100" s="228">
        <v>130</v>
      </c>
      <c r="DV100" s="228">
        <v>130</v>
      </c>
      <c r="DW100" s="228">
        <v>0.39</v>
      </c>
      <c r="DX100" s="228">
        <v>0.34</v>
      </c>
      <c r="DY100" s="228">
        <v>0.05</v>
      </c>
      <c r="DZ100" s="229">
        <v>0.14710000000000001</v>
      </c>
      <c r="EA100" s="229">
        <v>0.2177</v>
      </c>
      <c r="EB100" s="230">
        <v>14493450</v>
      </c>
      <c r="EC100" s="229">
        <v>-1.21E-2</v>
      </c>
      <c r="ED100" s="229">
        <v>0.2177</v>
      </c>
      <c r="EE100" s="228">
        <v>-1.54</v>
      </c>
      <c r="EF100" s="229">
        <v>-1.23E-2</v>
      </c>
      <c r="EG100" s="230">
        <v>5578202</v>
      </c>
      <c r="EH100" s="230">
        <v>1847418</v>
      </c>
      <c r="EI100" s="229">
        <v>2.0194999999999999</v>
      </c>
      <c r="EJ100" s="229">
        <v>0.39810000000000001</v>
      </c>
      <c r="EK100" s="228">
        <v>556.6</v>
      </c>
      <c r="EL100" s="228">
        <v>207.05</v>
      </c>
      <c r="EM100" s="228">
        <v>307.83</v>
      </c>
      <c r="EN100" s="228">
        <v>47.42</v>
      </c>
      <c r="EO100" s="231">
        <v>1071.48</v>
      </c>
      <c r="EP100" s="228">
        <v>411.5</v>
      </c>
      <c r="EQ100" s="228">
        <v>659.99</v>
      </c>
      <c r="ER100" s="229">
        <v>1.6039000000000001</v>
      </c>
      <c r="ES100" s="228">
        <v>578.16</v>
      </c>
      <c r="ET100" s="228">
        <v>287.18</v>
      </c>
      <c r="EU100" s="231">
        <v>1048.69</v>
      </c>
      <c r="EV100" s="231">
        <v>119011160</v>
      </c>
      <c r="EW100" s="231">
        <v>1914.04</v>
      </c>
      <c r="EX100" s="231">
        <v>1775.7</v>
      </c>
      <c r="EY100" s="228">
        <v>138.34</v>
      </c>
      <c r="EZ100" s="229">
        <v>7.7899999999999997E-2</v>
      </c>
      <c r="FA100" s="229">
        <v>1.2483</v>
      </c>
      <c r="FB100" s="227" t="s">
        <v>567</v>
      </c>
      <c r="FC100">
        <f t="shared" si="1"/>
        <v>229</v>
      </c>
    </row>
    <row r="101" spans="1:159" ht="17.25" hidden="1" thickBot="1" x14ac:dyDescent="0.3">
      <c r="A101" s="226">
        <v>46064</v>
      </c>
      <c r="B101" s="227" t="s">
        <v>215</v>
      </c>
      <c r="C101" s="227" t="s">
        <v>592</v>
      </c>
      <c r="D101" s="228">
        <v>4250</v>
      </c>
      <c r="E101" s="228">
        <v>13</v>
      </c>
      <c r="F101" s="228">
        <v>114.28</v>
      </c>
      <c r="G101" s="228">
        <v>115.82</v>
      </c>
      <c r="H101" s="228">
        <v>-1.54</v>
      </c>
      <c r="I101" s="229">
        <v>-1.3299999999999999E-2</v>
      </c>
      <c r="J101" s="228">
        <v>114.33</v>
      </c>
      <c r="K101" s="228">
        <v>115.46</v>
      </c>
      <c r="L101" s="228">
        <v>-1.1299999999999999</v>
      </c>
      <c r="M101" s="229">
        <v>-9.7999999999999997E-3</v>
      </c>
      <c r="N101" s="228">
        <v>114.28</v>
      </c>
      <c r="O101" s="228">
        <v>115.82</v>
      </c>
      <c r="P101" s="228">
        <v>-1.54</v>
      </c>
      <c r="Q101" s="229">
        <v>-1.3299999999999999E-2</v>
      </c>
      <c r="R101" s="228">
        <v>112.96</v>
      </c>
      <c r="S101" s="228">
        <v>114.63</v>
      </c>
      <c r="T101" s="228">
        <v>-1.67</v>
      </c>
      <c r="U101" s="229">
        <v>-1.46E-2</v>
      </c>
      <c r="V101" s="228">
        <v>112.72</v>
      </c>
      <c r="W101" s="228">
        <v>114.3</v>
      </c>
      <c r="X101" s="228">
        <v>-1.58</v>
      </c>
      <c r="Y101" s="229">
        <v>-1.38E-2</v>
      </c>
      <c r="Z101" s="228">
        <v>-0.05</v>
      </c>
      <c r="AA101" s="228">
        <v>0.36</v>
      </c>
      <c r="AB101" s="228">
        <v>-0.41</v>
      </c>
      <c r="AC101" s="229">
        <v>-4.0000000000000002E-4</v>
      </c>
      <c r="AD101" s="228">
        <v>-0.05</v>
      </c>
      <c r="AE101" s="228">
        <v>0.36</v>
      </c>
      <c r="AF101" s="228">
        <v>-0.41</v>
      </c>
      <c r="AG101" s="229">
        <v>-4.0000000000000002E-4</v>
      </c>
      <c r="AH101" s="228">
        <v>-1.37</v>
      </c>
      <c r="AI101" s="228">
        <v>-0.83</v>
      </c>
      <c r="AJ101" s="228">
        <v>-0.54</v>
      </c>
      <c r="AK101" s="229">
        <v>-1.2E-2</v>
      </c>
      <c r="AL101" s="228">
        <v>-1.61</v>
      </c>
      <c r="AM101" s="228">
        <v>-1.1599999999999999</v>
      </c>
      <c r="AN101" s="228">
        <v>-0.45</v>
      </c>
      <c r="AO101" s="229">
        <v>-1.41E-2</v>
      </c>
      <c r="AP101" s="228">
        <v>114.07</v>
      </c>
      <c r="AQ101" s="228">
        <v>112.86</v>
      </c>
      <c r="AR101" s="228">
        <v>0</v>
      </c>
      <c r="AS101" s="228">
        <v>161</v>
      </c>
      <c r="AT101" s="228">
        <v>140</v>
      </c>
      <c r="AU101" s="228">
        <v>21</v>
      </c>
      <c r="AV101" s="229">
        <v>0.15049999999999999</v>
      </c>
      <c r="AW101" s="228">
        <v>128</v>
      </c>
      <c r="AX101" s="228">
        <v>103</v>
      </c>
      <c r="AY101" s="228">
        <v>24</v>
      </c>
      <c r="AZ101" s="229">
        <v>0.2361</v>
      </c>
      <c r="BA101" s="228">
        <v>28</v>
      </c>
      <c r="BB101" s="228">
        <v>31</v>
      </c>
      <c r="BC101" s="228">
        <v>-3</v>
      </c>
      <c r="BD101" s="229">
        <v>-0.1002</v>
      </c>
      <c r="BE101" s="228">
        <v>5</v>
      </c>
      <c r="BF101" s="228">
        <v>5</v>
      </c>
      <c r="BG101" s="228">
        <v>0</v>
      </c>
      <c r="BH101" s="229">
        <v>-4.4200000000000003E-2</v>
      </c>
      <c r="BI101" s="228">
        <v>744</v>
      </c>
      <c r="BJ101" s="228">
        <v>760</v>
      </c>
      <c r="BK101" s="228">
        <v>-17</v>
      </c>
      <c r="BL101" s="229">
        <v>-2.18E-2</v>
      </c>
      <c r="BM101" s="228">
        <v>189</v>
      </c>
      <c r="BN101" s="228">
        <v>158</v>
      </c>
      <c r="BO101" s="228">
        <v>31</v>
      </c>
      <c r="BP101" s="229">
        <v>0.19589999999999999</v>
      </c>
      <c r="BQ101" s="230">
        <v>1093</v>
      </c>
      <c r="BR101" s="230">
        <v>1058</v>
      </c>
      <c r="BS101" s="228">
        <v>35</v>
      </c>
      <c r="BT101" s="229">
        <v>3.3399999999999999E-2</v>
      </c>
      <c r="BU101" s="230">
        <v>11150064</v>
      </c>
      <c r="BV101" s="230">
        <v>13426226</v>
      </c>
      <c r="BW101" s="230">
        <v>-2276162</v>
      </c>
      <c r="BX101" s="229">
        <v>-0.16950000000000001</v>
      </c>
      <c r="BY101" s="228">
        <v>893</v>
      </c>
      <c r="BZ101" s="228">
        <v>897</v>
      </c>
      <c r="CA101" s="228">
        <v>-4</v>
      </c>
      <c r="CB101" s="229">
        <v>-5.0000000000000001E-3</v>
      </c>
      <c r="CC101" s="228">
        <v>734</v>
      </c>
      <c r="CD101" s="228">
        <v>752</v>
      </c>
      <c r="CE101" s="228">
        <v>-18</v>
      </c>
      <c r="CF101" s="229">
        <v>-2.3599999999999999E-2</v>
      </c>
      <c r="CG101" s="228">
        <v>132</v>
      </c>
      <c r="CH101" s="228">
        <v>121</v>
      </c>
      <c r="CI101" s="228">
        <v>10</v>
      </c>
      <c r="CJ101" s="229">
        <v>8.5999999999999993E-2</v>
      </c>
      <c r="CK101" s="228">
        <v>27</v>
      </c>
      <c r="CL101" s="228">
        <v>24</v>
      </c>
      <c r="CM101" s="228">
        <v>3</v>
      </c>
      <c r="CN101" s="229">
        <v>0.1162</v>
      </c>
      <c r="CO101" s="230">
        <v>1195</v>
      </c>
      <c r="CP101" s="230">
        <v>1160</v>
      </c>
      <c r="CQ101" s="228">
        <v>35</v>
      </c>
      <c r="CR101" s="229">
        <v>2.98E-2</v>
      </c>
      <c r="CS101" s="228">
        <v>459</v>
      </c>
      <c r="CT101" s="228">
        <v>450</v>
      </c>
      <c r="CU101" s="228">
        <v>9</v>
      </c>
      <c r="CV101" s="229">
        <v>1.9400000000000001E-2</v>
      </c>
      <c r="CW101" s="230">
        <v>2547</v>
      </c>
      <c r="CX101" s="230">
        <v>2508</v>
      </c>
      <c r="CY101" s="228">
        <v>39</v>
      </c>
      <c r="CZ101" s="229">
        <v>1.55E-2</v>
      </c>
      <c r="DA101" s="228">
        <v>42.07</v>
      </c>
      <c r="DB101" s="228">
        <v>39.729999999999997</v>
      </c>
      <c r="DC101" s="228">
        <v>2.34</v>
      </c>
      <c r="DD101" s="228">
        <v>2.34</v>
      </c>
      <c r="DE101" s="228">
        <v>45.24</v>
      </c>
      <c r="DF101" s="228">
        <v>45.32</v>
      </c>
      <c r="DG101" s="228">
        <v>-3.17</v>
      </c>
      <c r="DH101" s="228">
        <v>-0.08</v>
      </c>
      <c r="DI101" s="228">
        <v>43.49</v>
      </c>
      <c r="DJ101" s="228">
        <v>40.549999999999997</v>
      </c>
      <c r="DK101" s="228">
        <v>2.94</v>
      </c>
      <c r="DL101" s="228">
        <v>2.94</v>
      </c>
      <c r="DM101" s="228">
        <v>36.450000000000003</v>
      </c>
      <c r="DN101" s="228">
        <v>35.82</v>
      </c>
      <c r="DO101" s="228">
        <v>0.63</v>
      </c>
      <c r="DP101" s="228">
        <v>0.63</v>
      </c>
      <c r="DQ101" s="228">
        <v>0.38</v>
      </c>
      <c r="DR101" s="228">
        <v>0.39</v>
      </c>
      <c r="DS101" s="228">
        <v>-0.01</v>
      </c>
      <c r="DT101" s="229">
        <v>-2.5600000000000001E-2</v>
      </c>
      <c r="DU101" s="228">
        <v>120</v>
      </c>
      <c r="DV101" s="228">
        <v>110</v>
      </c>
      <c r="DW101" s="228">
        <v>0.25</v>
      </c>
      <c r="DX101" s="228">
        <v>0.21</v>
      </c>
      <c r="DY101" s="228">
        <v>0.04</v>
      </c>
      <c r="DZ101" s="229">
        <v>0.1905</v>
      </c>
      <c r="EA101" s="229">
        <v>0.17799999999999999</v>
      </c>
      <c r="EB101" s="230">
        <v>12750000</v>
      </c>
      <c r="EC101" s="229">
        <v>-1.1599999999999999E-2</v>
      </c>
      <c r="ED101" s="229">
        <v>0.17799999999999999</v>
      </c>
      <c r="EE101" s="228">
        <v>-1.21</v>
      </c>
      <c r="EF101" s="229">
        <v>-1.06E-2</v>
      </c>
      <c r="EG101" s="230">
        <v>3842618</v>
      </c>
      <c r="EH101" s="230">
        <v>3503847</v>
      </c>
      <c r="EI101" s="229">
        <v>9.6699999999999994E-2</v>
      </c>
      <c r="EJ101" s="229">
        <v>0.34460000000000002</v>
      </c>
      <c r="EK101" s="228">
        <v>810.46</v>
      </c>
      <c r="EL101" s="228">
        <v>187.3</v>
      </c>
      <c r="EM101" s="228">
        <v>160.16</v>
      </c>
      <c r="EN101" s="228">
        <v>32.020000000000003</v>
      </c>
      <c r="EO101" s="231">
        <v>1157.92</v>
      </c>
      <c r="EP101" s="231">
        <v>1121.1099999999999</v>
      </c>
      <c r="EQ101" s="228">
        <v>36.81</v>
      </c>
      <c r="ER101" s="229">
        <v>3.2800000000000003E-2</v>
      </c>
      <c r="ES101" s="231">
        <v>1323.19</v>
      </c>
      <c r="ET101" s="228">
        <v>458.6</v>
      </c>
      <c r="EU101" s="228">
        <v>890.95</v>
      </c>
      <c r="EV101" s="231">
        <v>200960551</v>
      </c>
      <c r="EW101" s="231">
        <v>2672.74</v>
      </c>
      <c r="EX101" s="231">
        <v>2642.64</v>
      </c>
      <c r="EY101" s="228">
        <v>30.1</v>
      </c>
      <c r="EZ101" s="229">
        <v>1.14E-2</v>
      </c>
      <c r="FA101" s="229">
        <v>1.109</v>
      </c>
      <c r="FB101" s="227" t="s">
        <v>568</v>
      </c>
      <c r="FC101">
        <f t="shared" si="1"/>
        <v>159</v>
      </c>
    </row>
    <row r="102" spans="1:159" ht="17.25" hidden="1" thickBot="1" x14ac:dyDescent="0.3">
      <c r="A102" s="226">
        <v>46064</v>
      </c>
      <c r="B102" s="227" t="s">
        <v>168</v>
      </c>
      <c r="C102" s="227" t="s">
        <v>242</v>
      </c>
      <c r="D102" s="228">
        <v>1600</v>
      </c>
      <c r="E102" s="228">
        <v>13</v>
      </c>
      <c r="F102" s="228">
        <v>319.14999999999998</v>
      </c>
      <c r="G102" s="228">
        <v>321.89999999999998</v>
      </c>
      <c r="H102" s="228">
        <v>-2.75</v>
      </c>
      <c r="I102" s="229">
        <v>-8.5000000000000006E-3</v>
      </c>
      <c r="J102" s="228">
        <v>318.25</v>
      </c>
      <c r="K102" s="228">
        <v>321.39999999999998</v>
      </c>
      <c r="L102" s="228">
        <v>-3.15</v>
      </c>
      <c r="M102" s="229">
        <v>-9.7999999999999997E-3</v>
      </c>
      <c r="N102" s="228">
        <v>319.14999999999998</v>
      </c>
      <c r="O102" s="228">
        <v>321.89999999999998</v>
      </c>
      <c r="P102" s="228">
        <v>-2.75</v>
      </c>
      <c r="Q102" s="229">
        <v>-8.5000000000000006E-3</v>
      </c>
      <c r="R102" s="228">
        <v>321.2</v>
      </c>
      <c r="S102" s="228">
        <v>324</v>
      </c>
      <c r="T102" s="228">
        <v>-2.8</v>
      </c>
      <c r="U102" s="229">
        <v>-8.6E-3</v>
      </c>
      <c r="V102" s="228">
        <v>323.14999999999998</v>
      </c>
      <c r="W102" s="228">
        <v>326</v>
      </c>
      <c r="X102" s="228">
        <v>-2.85</v>
      </c>
      <c r="Y102" s="229">
        <v>-8.6999999999999994E-3</v>
      </c>
      <c r="Z102" s="228">
        <v>0.9</v>
      </c>
      <c r="AA102" s="228">
        <v>0.5</v>
      </c>
      <c r="AB102" s="228">
        <v>0.4</v>
      </c>
      <c r="AC102" s="229">
        <v>2.8E-3</v>
      </c>
      <c r="AD102" s="228">
        <v>0.9</v>
      </c>
      <c r="AE102" s="228">
        <v>0.5</v>
      </c>
      <c r="AF102" s="228">
        <v>0.4</v>
      </c>
      <c r="AG102" s="229">
        <v>2.8E-3</v>
      </c>
      <c r="AH102" s="228">
        <v>2.95</v>
      </c>
      <c r="AI102" s="228">
        <v>2.6</v>
      </c>
      <c r="AJ102" s="228">
        <v>0.35</v>
      </c>
      <c r="AK102" s="229">
        <v>9.2999999999999992E-3</v>
      </c>
      <c r="AL102" s="228">
        <v>4.9000000000000004</v>
      </c>
      <c r="AM102" s="228">
        <v>4.5999999999999996</v>
      </c>
      <c r="AN102" s="228">
        <v>0.3</v>
      </c>
      <c r="AO102" s="229">
        <v>1.54E-2</v>
      </c>
      <c r="AP102" s="228">
        <v>319.25</v>
      </c>
      <c r="AQ102" s="228">
        <v>321.33999999999997</v>
      </c>
      <c r="AR102" s="228">
        <v>0</v>
      </c>
      <c r="AS102" s="228">
        <v>624</v>
      </c>
      <c r="AT102" s="228">
        <v>517</v>
      </c>
      <c r="AU102" s="228">
        <v>107</v>
      </c>
      <c r="AV102" s="229">
        <v>0.20630000000000001</v>
      </c>
      <c r="AW102" s="228">
        <v>506</v>
      </c>
      <c r="AX102" s="228">
        <v>435</v>
      </c>
      <c r="AY102" s="228">
        <v>71</v>
      </c>
      <c r="AZ102" s="229">
        <v>0.16259999999999999</v>
      </c>
      <c r="BA102" s="228">
        <v>102</v>
      </c>
      <c r="BB102" s="228">
        <v>68</v>
      </c>
      <c r="BC102" s="228">
        <v>34</v>
      </c>
      <c r="BD102" s="229">
        <v>0.49630000000000002</v>
      </c>
      <c r="BE102" s="228">
        <v>16</v>
      </c>
      <c r="BF102" s="228">
        <v>14</v>
      </c>
      <c r="BG102" s="228">
        <v>2</v>
      </c>
      <c r="BH102" s="229">
        <v>0.15379999999999999</v>
      </c>
      <c r="BI102" s="230">
        <v>5047</v>
      </c>
      <c r="BJ102" s="230">
        <v>3807</v>
      </c>
      <c r="BK102" s="230">
        <v>1240</v>
      </c>
      <c r="BL102" s="229">
        <v>0.32579999999999998</v>
      </c>
      <c r="BM102" s="230">
        <v>2338</v>
      </c>
      <c r="BN102" s="230">
        <v>1545</v>
      </c>
      <c r="BO102" s="228">
        <v>793</v>
      </c>
      <c r="BP102" s="229">
        <v>0.51319999999999999</v>
      </c>
      <c r="BQ102" s="230">
        <v>8009</v>
      </c>
      <c r="BR102" s="230">
        <v>5869</v>
      </c>
      <c r="BS102" s="230">
        <v>2140</v>
      </c>
      <c r="BT102" s="229">
        <v>0.36459999999999998</v>
      </c>
      <c r="BU102" s="230">
        <v>25577376</v>
      </c>
      <c r="BV102" s="230">
        <v>11920303</v>
      </c>
      <c r="BW102" s="230">
        <v>13657073</v>
      </c>
      <c r="BX102" s="229">
        <v>1.1456999999999999</v>
      </c>
      <c r="BY102" s="230">
        <v>6419</v>
      </c>
      <c r="BZ102" s="230">
        <v>6325</v>
      </c>
      <c r="CA102" s="228">
        <v>94</v>
      </c>
      <c r="CB102" s="229">
        <v>1.4800000000000001E-2</v>
      </c>
      <c r="CC102" s="230">
        <v>5692</v>
      </c>
      <c r="CD102" s="230">
        <v>5662</v>
      </c>
      <c r="CE102" s="228">
        <v>30</v>
      </c>
      <c r="CF102" s="229">
        <v>5.3E-3</v>
      </c>
      <c r="CG102" s="228">
        <v>616</v>
      </c>
      <c r="CH102" s="228">
        <v>558</v>
      </c>
      <c r="CI102" s="228">
        <v>59</v>
      </c>
      <c r="CJ102" s="229">
        <v>0.10489999999999999</v>
      </c>
      <c r="CK102" s="228">
        <v>111</v>
      </c>
      <c r="CL102" s="228">
        <v>106</v>
      </c>
      <c r="CM102" s="228">
        <v>5</v>
      </c>
      <c r="CN102" s="229">
        <v>4.7800000000000002E-2</v>
      </c>
      <c r="CO102" s="230">
        <v>6231</v>
      </c>
      <c r="CP102" s="230">
        <v>5973</v>
      </c>
      <c r="CQ102" s="228">
        <v>258</v>
      </c>
      <c r="CR102" s="229">
        <v>4.3099999999999999E-2</v>
      </c>
      <c r="CS102" s="230">
        <v>2891</v>
      </c>
      <c r="CT102" s="230">
        <v>2898</v>
      </c>
      <c r="CU102" s="228">
        <v>-6</v>
      </c>
      <c r="CV102" s="229">
        <v>-2.0999999999999999E-3</v>
      </c>
      <c r="CW102" s="230">
        <v>15541</v>
      </c>
      <c r="CX102" s="230">
        <v>15196</v>
      </c>
      <c r="CY102" s="228">
        <v>345</v>
      </c>
      <c r="CZ102" s="229">
        <v>2.2700000000000001E-2</v>
      </c>
      <c r="DA102" s="228">
        <v>22.86</v>
      </c>
      <c r="DB102" s="228">
        <v>23.16</v>
      </c>
      <c r="DC102" s="228">
        <v>-0.3</v>
      </c>
      <c r="DD102" s="228">
        <v>-0.3</v>
      </c>
      <c r="DE102" s="228">
        <v>24.42</v>
      </c>
      <c r="DF102" s="228">
        <v>24.45</v>
      </c>
      <c r="DG102" s="228">
        <v>-1.56</v>
      </c>
      <c r="DH102" s="228">
        <v>-0.03</v>
      </c>
      <c r="DI102" s="228">
        <v>23.75</v>
      </c>
      <c r="DJ102" s="228">
        <v>23.76</v>
      </c>
      <c r="DK102" s="228">
        <v>-0.01</v>
      </c>
      <c r="DL102" s="228">
        <v>-0.01</v>
      </c>
      <c r="DM102" s="228">
        <v>20.93</v>
      </c>
      <c r="DN102" s="228">
        <v>21.7</v>
      </c>
      <c r="DO102" s="228">
        <v>-0.77</v>
      </c>
      <c r="DP102" s="228">
        <v>-0.77</v>
      </c>
      <c r="DQ102" s="228">
        <v>0.46</v>
      </c>
      <c r="DR102" s="228">
        <v>0.49</v>
      </c>
      <c r="DS102" s="228">
        <v>-0.03</v>
      </c>
      <c r="DT102" s="229">
        <v>-6.1199999999999997E-2</v>
      </c>
      <c r="DU102" s="228">
        <v>330</v>
      </c>
      <c r="DV102" s="228">
        <v>293.5</v>
      </c>
      <c r="DW102" s="228">
        <v>0.46</v>
      </c>
      <c r="DX102" s="228">
        <v>0.41</v>
      </c>
      <c r="DY102" s="228">
        <v>0.05</v>
      </c>
      <c r="DZ102" s="229">
        <v>0.122</v>
      </c>
      <c r="EA102" s="229">
        <v>0.1132</v>
      </c>
      <c r="EB102" s="230">
        <v>20784000</v>
      </c>
      <c r="EC102" s="229">
        <v>6.4000000000000003E-3</v>
      </c>
      <c r="ED102" s="229">
        <v>0.1132</v>
      </c>
      <c r="EE102" s="228">
        <v>2.09</v>
      </c>
      <c r="EF102" s="229">
        <v>6.4999999999999997E-3</v>
      </c>
      <c r="EG102" s="230">
        <v>18613433</v>
      </c>
      <c r="EH102" s="230">
        <v>6246846</v>
      </c>
      <c r="EI102" s="229">
        <v>1.9797</v>
      </c>
      <c r="EJ102" s="229">
        <v>0.72770000000000001</v>
      </c>
      <c r="EK102" s="231">
        <v>5312.93</v>
      </c>
      <c r="EL102" s="231">
        <v>2316.88</v>
      </c>
      <c r="EM102" s="228">
        <v>625.23</v>
      </c>
      <c r="EN102" s="228">
        <v>207.28</v>
      </c>
      <c r="EO102" s="231">
        <v>8255.0400000000009</v>
      </c>
      <c r="EP102" s="231">
        <v>6118.69</v>
      </c>
      <c r="EQ102" s="231">
        <v>2136.35</v>
      </c>
      <c r="ER102" s="229">
        <v>0.34920000000000001</v>
      </c>
      <c r="ES102" s="231">
        <v>6608.86</v>
      </c>
      <c r="ET102" s="231">
        <v>2852.52</v>
      </c>
      <c r="EU102" s="231">
        <v>6424.14</v>
      </c>
      <c r="EV102" s="231">
        <v>1252401670</v>
      </c>
      <c r="EW102" s="231">
        <v>15885.51</v>
      </c>
      <c r="EX102" s="231">
        <v>15589.01</v>
      </c>
      <c r="EY102" s="228">
        <v>296.5</v>
      </c>
      <c r="EZ102" s="229">
        <v>1.9E-2</v>
      </c>
      <c r="FA102" s="229">
        <v>0.38879999999999998</v>
      </c>
      <c r="FB102" s="227" t="s">
        <v>567</v>
      </c>
      <c r="FC102">
        <f t="shared" si="1"/>
        <v>727</v>
      </c>
    </row>
    <row r="103" spans="1:159" ht="17.25" hidden="1" thickBot="1" x14ac:dyDescent="0.3">
      <c r="A103" s="226">
        <v>46064</v>
      </c>
      <c r="B103" s="227" t="s">
        <v>227</v>
      </c>
      <c r="C103" s="227" t="s">
        <v>243</v>
      </c>
      <c r="D103" s="228">
        <v>625</v>
      </c>
      <c r="E103" s="228">
        <v>13</v>
      </c>
      <c r="F103" s="231">
        <v>1194.5</v>
      </c>
      <c r="G103" s="231">
        <v>1193.5</v>
      </c>
      <c r="H103" s="228">
        <v>1</v>
      </c>
      <c r="I103" s="229">
        <v>8.0000000000000004E-4</v>
      </c>
      <c r="J103" s="231">
        <v>1190.5</v>
      </c>
      <c r="K103" s="231">
        <v>1191.4000000000001</v>
      </c>
      <c r="L103" s="228">
        <v>-0.9</v>
      </c>
      <c r="M103" s="229">
        <v>-8.0000000000000004E-4</v>
      </c>
      <c r="N103" s="231">
        <v>1194.5</v>
      </c>
      <c r="O103" s="231">
        <v>1193.5</v>
      </c>
      <c r="P103" s="228">
        <v>1</v>
      </c>
      <c r="Q103" s="229">
        <v>8.0000000000000004E-4</v>
      </c>
      <c r="R103" s="231">
        <v>1199.5</v>
      </c>
      <c r="S103" s="231">
        <v>1198.7</v>
      </c>
      <c r="T103" s="228">
        <v>0.8</v>
      </c>
      <c r="U103" s="229">
        <v>6.9999999999999999E-4</v>
      </c>
      <c r="V103" s="231">
        <v>1204.8</v>
      </c>
      <c r="W103" s="231">
        <v>1207.9000000000001</v>
      </c>
      <c r="X103" s="228">
        <v>-3.1</v>
      </c>
      <c r="Y103" s="229">
        <v>-2.5999999999999999E-3</v>
      </c>
      <c r="Z103" s="228">
        <v>4</v>
      </c>
      <c r="AA103" s="228">
        <v>2.1</v>
      </c>
      <c r="AB103" s="228">
        <v>1.9</v>
      </c>
      <c r="AC103" s="229">
        <v>3.3999999999999998E-3</v>
      </c>
      <c r="AD103" s="228">
        <v>4</v>
      </c>
      <c r="AE103" s="228">
        <v>2.1</v>
      </c>
      <c r="AF103" s="228">
        <v>1.9</v>
      </c>
      <c r="AG103" s="229">
        <v>3.3999999999999998E-3</v>
      </c>
      <c r="AH103" s="228">
        <v>9</v>
      </c>
      <c r="AI103" s="228">
        <v>7.3</v>
      </c>
      <c r="AJ103" s="228">
        <v>1.7</v>
      </c>
      <c r="AK103" s="229">
        <v>7.6E-3</v>
      </c>
      <c r="AL103" s="228">
        <v>14.3</v>
      </c>
      <c r="AM103" s="228">
        <v>16.5</v>
      </c>
      <c r="AN103" s="228">
        <v>-2.2000000000000002</v>
      </c>
      <c r="AO103" s="229">
        <v>1.2E-2</v>
      </c>
      <c r="AP103" s="231">
        <v>1194.7</v>
      </c>
      <c r="AQ103" s="231">
        <v>1200.1199999999999</v>
      </c>
      <c r="AR103" s="228">
        <v>0</v>
      </c>
      <c r="AS103" s="228">
        <v>156</v>
      </c>
      <c r="AT103" s="228">
        <v>146</v>
      </c>
      <c r="AU103" s="228">
        <v>11</v>
      </c>
      <c r="AV103" s="229">
        <v>7.2300000000000003E-2</v>
      </c>
      <c r="AW103" s="228">
        <v>149</v>
      </c>
      <c r="AX103" s="228">
        <v>135</v>
      </c>
      <c r="AY103" s="228">
        <v>15</v>
      </c>
      <c r="AZ103" s="229">
        <v>0.10920000000000001</v>
      </c>
      <c r="BA103" s="228">
        <v>6</v>
      </c>
      <c r="BB103" s="228">
        <v>10</v>
      </c>
      <c r="BC103" s="228">
        <v>-4</v>
      </c>
      <c r="BD103" s="229">
        <v>-0.375</v>
      </c>
      <c r="BE103" s="228">
        <v>1</v>
      </c>
      <c r="BF103" s="228">
        <v>1</v>
      </c>
      <c r="BG103" s="228">
        <v>-1</v>
      </c>
      <c r="BH103" s="229">
        <v>-0.44440000000000002</v>
      </c>
      <c r="BI103" s="228">
        <v>391</v>
      </c>
      <c r="BJ103" s="228">
        <v>448</v>
      </c>
      <c r="BK103" s="228">
        <v>-57</v>
      </c>
      <c r="BL103" s="229">
        <v>-0.12720000000000001</v>
      </c>
      <c r="BM103" s="228">
        <v>361</v>
      </c>
      <c r="BN103" s="228">
        <v>286</v>
      </c>
      <c r="BO103" s="228">
        <v>74</v>
      </c>
      <c r="BP103" s="229">
        <v>0.25950000000000001</v>
      </c>
      <c r="BQ103" s="228">
        <v>908</v>
      </c>
      <c r="BR103" s="228">
        <v>880</v>
      </c>
      <c r="BS103" s="228">
        <v>28</v>
      </c>
      <c r="BT103" s="229">
        <v>3.15E-2</v>
      </c>
      <c r="BU103" s="230">
        <v>679705</v>
      </c>
      <c r="BV103" s="230">
        <v>690966</v>
      </c>
      <c r="BW103" s="230">
        <v>-11261</v>
      </c>
      <c r="BX103" s="229">
        <v>-1.6299999999999999E-2</v>
      </c>
      <c r="BY103" s="230">
        <v>1357</v>
      </c>
      <c r="BZ103" s="230">
        <v>1385</v>
      </c>
      <c r="CA103" s="228">
        <v>-28</v>
      </c>
      <c r="CB103" s="229">
        <v>-2.0500000000000001E-2</v>
      </c>
      <c r="CC103" s="230">
        <v>1314</v>
      </c>
      <c r="CD103" s="230">
        <v>1344</v>
      </c>
      <c r="CE103" s="228">
        <v>-30</v>
      </c>
      <c r="CF103" s="229">
        <v>-2.1999999999999999E-2</v>
      </c>
      <c r="CG103" s="228">
        <v>37</v>
      </c>
      <c r="CH103" s="228">
        <v>36</v>
      </c>
      <c r="CI103" s="228">
        <v>1</v>
      </c>
      <c r="CJ103" s="229">
        <v>3.3099999999999997E-2</v>
      </c>
      <c r="CK103" s="228">
        <v>5</v>
      </c>
      <c r="CL103" s="228">
        <v>5</v>
      </c>
      <c r="CM103" s="228">
        <v>0</v>
      </c>
      <c r="CN103" s="229">
        <v>0</v>
      </c>
      <c r="CO103" s="228">
        <v>553</v>
      </c>
      <c r="CP103" s="228">
        <v>565</v>
      </c>
      <c r="CQ103" s="228">
        <v>-12</v>
      </c>
      <c r="CR103" s="229">
        <v>-2.1299999999999999E-2</v>
      </c>
      <c r="CS103" s="228">
        <v>507</v>
      </c>
      <c r="CT103" s="228">
        <v>508</v>
      </c>
      <c r="CU103" s="228">
        <v>-1</v>
      </c>
      <c r="CV103" s="229">
        <v>-2.0999999999999999E-3</v>
      </c>
      <c r="CW103" s="230">
        <v>2416</v>
      </c>
      <c r="CX103" s="230">
        <v>2457</v>
      </c>
      <c r="CY103" s="228">
        <v>-41</v>
      </c>
      <c r="CZ103" s="229">
        <v>-1.6899999999999998E-2</v>
      </c>
      <c r="DA103" s="228">
        <v>31.17</v>
      </c>
      <c r="DB103" s="228">
        <v>30.86</v>
      </c>
      <c r="DC103" s="228">
        <v>0.31</v>
      </c>
      <c r="DD103" s="228">
        <v>0.31</v>
      </c>
      <c r="DE103" s="228">
        <v>34.92</v>
      </c>
      <c r="DF103" s="228">
        <v>35</v>
      </c>
      <c r="DG103" s="228">
        <v>-3.75</v>
      </c>
      <c r="DH103" s="228">
        <v>-0.08</v>
      </c>
      <c r="DI103" s="228">
        <v>30.25</v>
      </c>
      <c r="DJ103" s="228">
        <v>29.63</v>
      </c>
      <c r="DK103" s="228">
        <v>0.62</v>
      </c>
      <c r="DL103" s="228">
        <v>0.62</v>
      </c>
      <c r="DM103" s="228">
        <v>32.17</v>
      </c>
      <c r="DN103" s="228">
        <v>32.799999999999997</v>
      </c>
      <c r="DO103" s="228">
        <v>-0.63</v>
      </c>
      <c r="DP103" s="228">
        <v>-0.63</v>
      </c>
      <c r="DQ103" s="228">
        <v>0.92</v>
      </c>
      <c r="DR103" s="228">
        <v>0.9</v>
      </c>
      <c r="DS103" s="228">
        <v>0.02</v>
      </c>
      <c r="DT103" s="229">
        <v>2.2200000000000001E-2</v>
      </c>
      <c r="DU103" s="231">
        <v>1200</v>
      </c>
      <c r="DV103" s="231">
        <v>1140</v>
      </c>
      <c r="DW103" s="228">
        <v>0.92</v>
      </c>
      <c r="DX103" s="228">
        <v>0.64</v>
      </c>
      <c r="DY103" s="228">
        <v>0.28000000000000003</v>
      </c>
      <c r="DZ103" s="229">
        <v>0.4375</v>
      </c>
      <c r="EA103" s="229">
        <v>3.1399999999999997E-2</v>
      </c>
      <c r="EB103" s="230">
        <v>346875</v>
      </c>
      <c r="EC103" s="229">
        <v>4.1999999999999997E-3</v>
      </c>
      <c r="ED103" s="229">
        <v>3.1399999999999997E-2</v>
      </c>
      <c r="EE103" s="228">
        <v>5.42</v>
      </c>
      <c r="EF103" s="229">
        <v>4.4999999999999997E-3</v>
      </c>
      <c r="EG103" s="230">
        <v>310890</v>
      </c>
      <c r="EH103" s="230">
        <v>258324</v>
      </c>
      <c r="EI103" s="229">
        <v>0.20349999999999999</v>
      </c>
      <c r="EJ103" s="229">
        <v>0.45739999999999997</v>
      </c>
      <c r="EK103" s="228">
        <v>404.03</v>
      </c>
      <c r="EL103" s="228">
        <v>354.66</v>
      </c>
      <c r="EM103" s="228">
        <v>156.16999999999999</v>
      </c>
      <c r="EN103" s="228">
        <v>35.44</v>
      </c>
      <c r="EO103" s="228">
        <v>914.85</v>
      </c>
      <c r="EP103" s="228">
        <v>891.17</v>
      </c>
      <c r="EQ103" s="228">
        <v>23.68</v>
      </c>
      <c r="ER103" s="229">
        <v>2.6599999999999999E-2</v>
      </c>
      <c r="ES103" s="228">
        <v>555.35</v>
      </c>
      <c r="ET103" s="228">
        <v>461.99</v>
      </c>
      <c r="EU103" s="231">
        <v>1356.78</v>
      </c>
      <c r="EV103" s="231">
        <v>48257090</v>
      </c>
      <c r="EW103" s="231">
        <v>2374.12</v>
      </c>
      <c r="EX103" s="231">
        <v>2412.84</v>
      </c>
      <c r="EY103" s="228">
        <v>-38.72</v>
      </c>
      <c r="EZ103" s="229">
        <v>-1.6E-2</v>
      </c>
      <c r="FA103" s="229">
        <v>0.41909999999999997</v>
      </c>
      <c r="FB103" s="227" t="s">
        <v>556</v>
      </c>
      <c r="FC103">
        <f t="shared" si="1"/>
        <v>43</v>
      </c>
    </row>
    <row r="104" spans="1:159" ht="17.25" hidden="1" thickBot="1" x14ac:dyDescent="0.3">
      <c r="A104" s="226">
        <v>46064</v>
      </c>
      <c r="B104" s="227" t="s">
        <v>175</v>
      </c>
      <c r="C104" s="227" t="s">
        <v>570</v>
      </c>
      <c r="D104" s="228">
        <v>2350</v>
      </c>
      <c r="E104" s="228">
        <v>13</v>
      </c>
      <c r="F104" s="228">
        <v>270.85000000000002</v>
      </c>
      <c r="G104" s="228">
        <v>270.85000000000002</v>
      </c>
      <c r="H104" s="228">
        <v>0</v>
      </c>
      <c r="I104" s="229">
        <v>0</v>
      </c>
      <c r="J104" s="228">
        <v>270.3</v>
      </c>
      <c r="K104" s="228">
        <v>270.2</v>
      </c>
      <c r="L104" s="228">
        <v>0.1</v>
      </c>
      <c r="M104" s="229">
        <v>4.0000000000000002E-4</v>
      </c>
      <c r="N104" s="228">
        <v>270.85000000000002</v>
      </c>
      <c r="O104" s="228">
        <v>270.85000000000002</v>
      </c>
      <c r="P104" s="228">
        <v>0</v>
      </c>
      <c r="Q104" s="229">
        <v>0</v>
      </c>
      <c r="R104" s="228">
        <v>272.55</v>
      </c>
      <c r="S104" s="228">
        <v>272.7</v>
      </c>
      <c r="T104" s="228">
        <v>-0.15</v>
      </c>
      <c r="U104" s="229">
        <v>-5.9999999999999995E-4</v>
      </c>
      <c r="V104" s="228">
        <v>274.39999999999998</v>
      </c>
      <c r="W104" s="228">
        <v>274.39999999999998</v>
      </c>
      <c r="X104" s="228">
        <v>0</v>
      </c>
      <c r="Y104" s="229">
        <v>0</v>
      </c>
      <c r="Z104" s="228">
        <v>0.55000000000000004</v>
      </c>
      <c r="AA104" s="228">
        <v>0.65</v>
      </c>
      <c r="AB104" s="228">
        <v>-0.1</v>
      </c>
      <c r="AC104" s="229">
        <v>2E-3</v>
      </c>
      <c r="AD104" s="228">
        <v>0.55000000000000004</v>
      </c>
      <c r="AE104" s="228">
        <v>0.65</v>
      </c>
      <c r="AF104" s="228">
        <v>-0.1</v>
      </c>
      <c r="AG104" s="229">
        <v>2E-3</v>
      </c>
      <c r="AH104" s="228">
        <v>2.25</v>
      </c>
      <c r="AI104" s="228">
        <v>2.5</v>
      </c>
      <c r="AJ104" s="228">
        <v>-0.25</v>
      </c>
      <c r="AK104" s="229">
        <v>8.3000000000000001E-3</v>
      </c>
      <c r="AL104" s="228">
        <v>4.0999999999999996</v>
      </c>
      <c r="AM104" s="228">
        <v>4.2</v>
      </c>
      <c r="AN104" s="228">
        <v>-0.1</v>
      </c>
      <c r="AO104" s="229">
        <v>1.52E-2</v>
      </c>
      <c r="AP104" s="228">
        <v>270.39</v>
      </c>
      <c r="AQ104" s="228">
        <v>272.10000000000002</v>
      </c>
      <c r="AR104" s="228">
        <v>0</v>
      </c>
      <c r="AS104" s="228">
        <v>331</v>
      </c>
      <c r="AT104" s="228">
        <v>416</v>
      </c>
      <c r="AU104" s="228">
        <v>-85</v>
      </c>
      <c r="AV104" s="229">
        <v>-0.20380000000000001</v>
      </c>
      <c r="AW104" s="228">
        <v>282</v>
      </c>
      <c r="AX104" s="228">
        <v>344</v>
      </c>
      <c r="AY104" s="228">
        <v>-62</v>
      </c>
      <c r="AZ104" s="229">
        <v>-0.18079999999999999</v>
      </c>
      <c r="BA104" s="228">
        <v>41</v>
      </c>
      <c r="BB104" s="228">
        <v>60</v>
      </c>
      <c r="BC104" s="228">
        <v>-18</v>
      </c>
      <c r="BD104" s="229">
        <v>-0.30780000000000002</v>
      </c>
      <c r="BE104" s="228">
        <v>8</v>
      </c>
      <c r="BF104" s="228">
        <v>12</v>
      </c>
      <c r="BG104" s="228">
        <v>-4</v>
      </c>
      <c r="BH104" s="229">
        <v>-0.34379999999999999</v>
      </c>
      <c r="BI104" s="230">
        <v>1335</v>
      </c>
      <c r="BJ104" s="230">
        <v>1813</v>
      </c>
      <c r="BK104" s="228">
        <v>-478</v>
      </c>
      <c r="BL104" s="229">
        <v>-0.26379999999999998</v>
      </c>
      <c r="BM104" s="228">
        <v>456</v>
      </c>
      <c r="BN104" s="228">
        <v>697</v>
      </c>
      <c r="BO104" s="228">
        <v>-241</v>
      </c>
      <c r="BP104" s="229">
        <v>-0.34610000000000002</v>
      </c>
      <c r="BQ104" s="230">
        <v>2122</v>
      </c>
      <c r="BR104" s="230">
        <v>2926</v>
      </c>
      <c r="BS104" s="228">
        <v>-804</v>
      </c>
      <c r="BT104" s="229">
        <v>-0.27489999999999998</v>
      </c>
      <c r="BU104" s="230">
        <v>7243308</v>
      </c>
      <c r="BV104" s="230">
        <v>13544194</v>
      </c>
      <c r="BW104" s="230">
        <v>-6300886</v>
      </c>
      <c r="BX104" s="229">
        <v>-0.4652</v>
      </c>
      <c r="BY104" s="230">
        <v>4583</v>
      </c>
      <c r="BZ104" s="230">
        <v>4576</v>
      </c>
      <c r="CA104" s="228">
        <v>7</v>
      </c>
      <c r="CB104" s="229">
        <v>1.6000000000000001E-3</v>
      </c>
      <c r="CC104" s="230">
        <v>4171</v>
      </c>
      <c r="CD104" s="230">
        <v>4187</v>
      </c>
      <c r="CE104" s="228">
        <v>-16</v>
      </c>
      <c r="CF104" s="229">
        <v>-3.8E-3</v>
      </c>
      <c r="CG104" s="228">
        <v>356</v>
      </c>
      <c r="CH104" s="228">
        <v>337</v>
      </c>
      <c r="CI104" s="228">
        <v>20</v>
      </c>
      <c r="CJ104" s="229">
        <v>5.8099999999999999E-2</v>
      </c>
      <c r="CK104" s="228">
        <v>56</v>
      </c>
      <c r="CL104" s="228">
        <v>52</v>
      </c>
      <c r="CM104" s="228">
        <v>3</v>
      </c>
      <c r="CN104" s="229">
        <v>6.59E-2</v>
      </c>
      <c r="CO104" s="230">
        <v>2084</v>
      </c>
      <c r="CP104" s="230">
        <v>2210</v>
      </c>
      <c r="CQ104" s="228">
        <v>-125</v>
      </c>
      <c r="CR104" s="229">
        <v>-5.67E-2</v>
      </c>
      <c r="CS104" s="230">
        <v>1456</v>
      </c>
      <c r="CT104" s="230">
        <v>1462</v>
      </c>
      <c r="CU104" s="228">
        <v>-6</v>
      </c>
      <c r="CV104" s="229">
        <v>-4.0000000000000001E-3</v>
      </c>
      <c r="CW104" s="230">
        <v>8123</v>
      </c>
      <c r="CX104" s="230">
        <v>8247</v>
      </c>
      <c r="CY104" s="228">
        <v>-124</v>
      </c>
      <c r="CZ104" s="229">
        <v>-1.4999999999999999E-2</v>
      </c>
      <c r="DA104" s="228">
        <v>29.58</v>
      </c>
      <c r="DB104" s="228">
        <v>29.89</v>
      </c>
      <c r="DC104" s="228">
        <v>-0.31</v>
      </c>
      <c r="DD104" s="228">
        <v>-0.31</v>
      </c>
      <c r="DE104" s="228">
        <v>35.36</v>
      </c>
      <c r="DF104" s="228">
        <v>35.450000000000003</v>
      </c>
      <c r="DG104" s="228">
        <v>-5.78</v>
      </c>
      <c r="DH104" s="228">
        <v>-0.09</v>
      </c>
      <c r="DI104" s="228">
        <v>29.67</v>
      </c>
      <c r="DJ104" s="228">
        <v>30.39</v>
      </c>
      <c r="DK104" s="228">
        <v>-0.72</v>
      </c>
      <c r="DL104" s="228">
        <v>-0.72</v>
      </c>
      <c r="DM104" s="228">
        <v>29.32</v>
      </c>
      <c r="DN104" s="228">
        <v>28.58</v>
      </c>
      <c r="DO104" s="228">
        <v>0.74</v>
      </c>
      <c r="DP104" s="228">
        <v>0.74</v>
      </c>
      <c r="DQ104" s="228">
        <v>0.7</v>
      </c>
      <c r="DR104" s="228">
        <v>0.66</v>
      </c>
      <c r="DS104" s="228">
        <v>0.04</v>
      </c>
      <c r="DT104" s="229">
        <v>6.0600000000000001E-2</v>
      </c>
      <c r="DU104" s="228">
        <v>300</v>
      </c>
      <c r="DV104" s="228">
        <v>260</v>
      </c>
      <c r="DW104" s="228">
        <v>0.34</v>
      </c>
      <c r="DX104" s="228">
        <v>0.38</v>
      </c>
      <c r="DY104" s="228">
        <v>-0.04</v>
      </c>
      <c r="DZ104" s="229">
        <v>-0.1053</v>
      </c>
      <c r="EA104" s="229">
        <v>8.9800000000000005E-2</v>
      </c>
      <c r="EB104" s="230">
        <v>14353800</v>
      </c>
      <c r="EC104" s="229">
        <v>6.3E-3</v>
      </c>
      <c r="ED104" s="229">
        <v>8.9800000000000005E-2</v>
      </c>
      <c r="EE104" s="228">
        <v>1.71</v>
      </c>
      <c r="EF104" s="229">
        <v>6.3E-3</v>
      </c>
      <c r="EG104" s="230">
        <v>3593369</v>
      </c>
      <c r="EH104" s="230">
        <v>7266052</v>
      </c>
      <c r="EI104" s="229">
        <v>-0.50549999999999995</v>
      </c>
      <c r="EJ104" s="229">
        <v>0.49609999999999999</v>
      </c>
      <c r="EK104" s="231">
        <v>1424.11</v>
      </c>
      <c r="EL104" s="228">
        <v>443.81</v>
      </c>
      <c r="EM104" s="228">
        <v>331.04</v>
      </c>
      <c r="EN104" s="228">
        <v>72.680000000000007</v>
      </c>
      <c r="EO104" s="231">
        <v>2198.9499999999998</v>
      </c>
      <c r="EP104" s="231">
        <v>3031.34</v>
      </c>
      <c r="EQ104" s="228">
        <v>-832.39</v>
      </c>
      <c r="ER104" s="229">
        <v>-0.27460000000000001</v>
      </c>
      <c r="ES104" s="231">
        <v>2187.62</v>
      </c>
      <c r="ET104" s="231">
        <v>1432.79</v>
      </c>
      <c r="EU104" s="231">
        <v>4585.75</v>
      </c>
      <c r="EV104" s="231">
        <v>355358091</v>
      </c>
      <c r="EW104" s="231">
        <v>8206.16</v>
      </c>
      <c r="EX104" s="231">
        <v>8338.31</v>
      </c>
      <c r="EY104" s="228">
        <v>-132.15</v>
      </c>
      <c r="EZ104" s="229">
        <v>-1.5800000000000002E-2</v>
      </c>
      <c r="FA104" s="229">
        <v>0.84399999999999997</v>
      </c>
      <c r="FB104" s="227" t="s">
        <v>237</v>
      </c>
      <c r="FC104">
        <f t="shared" si="1"/>
        <v>412</v>
      </c>
    </row>
    <row r="105" spans="1:159" ht="17.25" hidden="1" thickBot="1" x14ac:dyDescent="0.3">
      <c r="A105" s="226">
        <v>46064</v>
      </c>
      <c r="B105" s="227" t="s">
        <v>161</v>
      </c>
      <c r="C105" s="227" t="s">
        <v>580</v>
      </c>
      <c r="D105" s="228">
        <v>1000</v>
      </c>
      <c r="E105" s="228">
        <v>13</v>
      </c>
      <c r="F105" s="228">
        <v>482.9</v>
      </c>
      <c r="G105" s="228">
        <v>484.1</v>
      </c>
      <c r="H105" s="228">
        <v>-1.2</v>
      </c>
      <c r="I105" s="229">
        <v>-2.5000000000000001E-3</v>
      </c>
      <c r="J105" s="228">
        <v>482.35</v>
      </c>
      <c r="K105" s="228">
        <v>483.7</v>
      </c>
      <c r="L105" s="228">
        <v>-1.35</v>
      </c>
      <c r="M105" s="229">
        <v>-2.8E-3</v>
      </c>
      <c r="N105" s="228">
        <v>482.9</v>
      </c>
      <c r="O105" s="228">
        <v>484.1</v>
      </c>
      <c r="P105" s="228">
        <v>-1.2</v>
      </c>
      <c r="Q105" s="229">
        <v>-2.5000000000000001E-3</v>
      </c>
      <c r="R105" s="228">
        <v>485.5</v>
      </c>
      <c r="S105" s="228">
        <v>487.2</v>
      </c>
      <c r="T105" s="228">
        <v>-1.7</v>
      </c>
      <c r="U105" s="229">
        <v>-3.5000000000000001E-3</v>
      </c>
      <c r="V105" s="228">
        <v>484</v>
      </c>
      <c r="W105" s="228">
        <v>490.3</v>
      </c>
      <c r="X105" s="228">
        <v>-6.3</v>
      </c>
      <c r="Y105" s="229">
        <v>-1.2800000000000001E-2</v>
      </c>
      <c r="Z105" s="228">
        <v>0.55000000000000004</v>
      </c>
      <c r="AA105" s="228">
        <v>0.4</v>
      </c>
      <c r="AB105" s="228">
        <v>0.15</v>
      </c>
      <c r="AC105" s="229">
        <v>1.1000000000000001E-3</v>
      </c>
      <c r="AD105" s="228">
        <v>0.55000000000000004</v>
      </c>
      <c r="AE105" s="228">
        <v>0.4</v>
      </c>
      <c r="AF105" s="228">
        <v>0.15</v>
      </c>
      <c r="AG105" s="229">
        <v>1.1000000000000001E-3</v>
      </c>
      <c r="AH105" s="228">
        <v>3.15</v>
      </c>
      <c r="AI105" s="228">
        <v>3.5</v>
      </c>
      <c r="AJ105" s="228">
        <v>-0.35</v>
      </c>
      <c r="AK105" s="229">
        <v>6.4999999999999997E-3</v>
      </c>
      <c r="AL105" s="228">
        <v>1.65</v>
      </c>
      <c r="AM105" s="228">
        <v>6.6</v>
      </c>
      <c r="AN105" s="228">
        <v>-4.95</v>
      </c>
      <c r="AO105" s="229">
        <v>3.3999999999999998E-3</v>
      </c>
      <c r="AP105" s="228">
        <v>481.32</v>
      </c>
      <c r="AQ105" s="228">
        <v>484.33</v>
      </c>
      <c r="AR105" s="228">
        <v>0</v>
      </c>
      <c r="AS105" s="228">
        <v>84</v>
      </c>
      <c r="AT105" s="228">
        <v>111</v>
      </c>
      <c r="AU105" s="228">
        <v>-27</v>
      </c>
      <c r="AV105" s="229">
        <v>-0.24540000000000001</v>
      </c>
      <c r="AW105" s="228">
        <v>77</v>
      </c>
      <c r="AX105" s="228">
        <v>105</v>
      </c>
      <c r="AY105" s="228">
        <v>-28</v>
      </c>
      <c r="AZ105" s="229">
        <v>-0.26860000000000001</v>
      </c>
      <c r="BA105" s="228">
        <v>7</v>
      </c>
      <c r="BB105" s="228">
        <v>5</v>
      </c>
      <c r="BC105" s="228">
        <v>1</v>
      </c>
      <c r="BD105" s="229">
        <v>0.23849999999999999</v>
      </c>
      <c r="BE105" s="228">
        <v>0</v>
      </c>
      <c r="BF105" s="228">
        <v>0</v>
      </c>
      <c r="BG105" s="228">
        <v>0</v>
      </c>
      <c r="BH105" s="229">
        <v>-0.57140000000000002</v>
      </c>
      <c r="BI105" s="228">
        <v>243</v>
      </c>
      <c r="BJ105" s="228">
        <v>366</v>
      </c>
      <c r="BK105" s="228">
        <v>-124</v>
      </c>
      <c r="BL105" s="229">
        <v>-0.33750000000000002</v>
      </c>
      <c r="BM105" s="228">
        <v>127</v>
      </c>
      <c r="BN105" s="228">
        <v>183</v>
      </c>
      <c r="BO105" s="228">
        <v>-57</v>
      </c>
      <c r="BP105" s="229">
        <v>-0.30859999999999999</v>
      </c>
      <c r="BQ105" s="228">
        <v>453</v>
      </c>
      <c r="BR105" s="228">
        <v>660</v>
      </c>
      <c r="BS105" s="228">
        <v>-207</v>
      </c>
      <c r="BT105" s="229">
        <v>-0.314</v>
      </c>
      <c r="BU105" s="230">
        <v>857159</v>
      </c>
      <c r="BV105" s="230">
        <v>1213575</v>
      </c>
      <c r="BW105" s="230">
        <v>-356416</v>
      </c>
      <c r="BX105" s="229">
        <v>-0.29370000000000002</v>
      </c>
      <c r="BY105" s="230">
        <v>1626</v>
      </c>
      <c r="BZ105" s="230">
        <v>1617</v>
      </c>
      <c r="CA105" s="228">
        <v>8</v>
      </c>
      <c r="CB105" s="229">
        <v>5.1999999999999998E-3</v>
      </c>
      <c r="CC105" s="230">
        <v>1606</v>
      </c>
      <c r="CD105" s="230">
        <v>1600</v>
      </c>
      <c r="CE105" s="228">
        <v>6</v>
      </c>
      <c r="CF105" s="229">
        <v>3.7000000000000002E-3</v>
      </c>
      <c r="CG105" s="228">
        <v>18</v>
      </c>
      <c r="CH105" s="228">
        <v>15</v>
      </c>
      <c r="CI105" s="228">
        <v>2</v>
      </c>
      <c r="CJ105" s="229">
        <v>0.15609999999999999</v>
      </c>
      <c r="CK105" s="228">
        <v>2</v>
      </c>
      <c r="CL105" s="228">
        <v>2</v>
      </c>
      <c r="CM105" s="228">
        <v>0</v>
      </c>
      <c r="CN105" s="229">
        <v>2.5000000000000001E-2</v>
      </c>
      <c r="CO105" s="228">
        <v>375</v>
      </c>
      <c r="CP105" s="228">
        <v>349</v>
      </c>
      <c r="CQ105" s="228">
        <v>26</v>
      </c>
      <c r="CR105" s="229">
        <v>7.4899999999999994E-2</v>
      </c>
      <c r="CS105" s="228">
        <v>346</v>
      </c>
      <c r="CT105" s="228">
        <v>340</v>
      </c>
      <c r="CU105" s="228">
        <v>6</v>
      </c>
      <c r="CV105" s="229">
        <v>1.6899999999999998E-2</v>
      </c>
      <c r="CW105" s="230">
        <v>2346</v>
      </c>
      <c r="CX105" s="230">
        <v>2306</v>
      </c>
      <c r="CY105" s="228">
        <v>40</v>
      </c>
      <c r="CZ105" s="229">
        <v>1.7500000000000002E-2</v>
      </c>
      <c r="DA105" s="228">
        <v>26.05</v>
      </c>
      <c r="DB105" s="228">
        <v>27.15</v>
      </c>
      <c r="DC105" s="228">
        <v>-1.1000000000000001</v>
      </c>
      <c r="DD105" s="228">
        <v>-1.1000000000000001</v>
      </c>
      <c r="DE105" s="228">
        <v>42.91</v>
      </c>
      <c r="DF105" s="228">
        <v>43.02</v>
      </c>
      <c r="DG105" s="228">
        <v>-16.86</v>
      </c>
      <c r="DH105" s="228">
        <v>-0.11</v>
      </c>
      <c r="DI105" s="228">
        <v>25.24</v>
      </c>
      <c r="DJ105" s="228">
        <v>26.49</v>
      </c>
      <c r="DK105" s="228">
        <v>-1.25</v>
      </c>
      <c r="DL105" s="228">
        <v>-1.25</v>
      </c>
      <c r="DM105" s="228">
        <v>27.6</v>
      </c>
      <c r="DN105" s="228">
        <v>28.47</v>
      </c>
      <c r="DO105" s="228">
        <v>-0.87</v>
      </c>
      <c r="DP105" s="228">
        <v>-0.87</v>
      </c>
      <c r="DQ105" s="228">
        <v>0.92</v>
      </c>
      <c r="DR105" s="228">
        <v>0.98</v>
      </c>
      <c r="DS105" s="228">
        <v>-0.06</v>
      </c>
      <c r="DT105" s="229">
        <v>-6.1199999999999997E-2</v>
      </c>
      <c r="DU105" s="228">
        <v>500</v>
      </c>
      <c r="DV105" s="228">
        <v>530</v>
      </c>
      <c r="DW105" s="228">
        <v>0.52</v>
      </c>
      <c r="DX105" s="228">
        <v>0.5</v>
      </c>
      <c r="DY105" s="228">
        <v>0.02</v>
      </c>
      <c r="DZ105" s="229">
        <v>0.04</v>
      </c>
      <c r="EA105" s="229">
        <v>1.2E-2</v>
      </c>
      <c r="EB105" s="230">
        <v>354000</v>
      </c>
      <c r="EC105" s="229">
        <v>5.4000000000000003E-3</v>
      </c>
      <c r="ED105" s="229">
        <v>1.2E-2</v>
      </c>
      <c r="EE105" s="228">
        <v>3.01</v>
      </c>
      <c r="EF105" s="229">
        <v>6.3E-3</v>
      </c>
      <c r="EG105" s="230">
        <v>301716</v>
      </c>
      <c r="EH105" s="230">
        <v>493337</v>
      </c>
      <c r="EI105" s="229">
        <v>-0.38840000000000002</v>
      </c>
      <c r="EJ105" s="229">
        <v>0.35199999999999998</v>
      </c>
      <c r="EK105" s="228">
        <v>251.74</v>
      </c>
      <c r="EL105" s="228">
        <v>122.98</v>
      </c>
      <c r="EM105" s="228">
        <v>83.36</v>
      </c>
      <c r="EN105" s="228">
        <v>26.03</v>
      </c>
      <c r="EO105" s="228">
        <v>458.07</v>
      </c>
      <c r="EP105" s="228">
        <v>669.24</v>
      </c>
      <c r="EQ105" s="228">
        <v>-211.17</v>
      </c>
      <c r="ER105" s="229">
        <v>-0.3155</v>
      </c>
      <c r="ES105" s="228">
        <v>382.81</v>
      </c>
      <c r="ET105" s="228">
        <v>335.47</v>
      </c>
      <c r="EU105" s="231">
        <v>1625.88</v>
      </c>
      <c r="EV105" s="231">
        <v>80385888</v>
      </c>
      <c r="EW105" s="231">
        <v>2344.16</v>
      </c>
      <c r="EX105" s="231">
        <v>2306.6999999999998</v>
      </c>
      <c r="EY105" s="228">
        <v>37.46</v>
      </c>
      <c r="EZ105" s="229">
        <v>1.6199999999999999E-2</v>
      </c>
      <c r="FA105" s="229">
        <v>0.60440000000000005</v>
      </c>
      <c r="FB105" s="227" t="s">
        <v>567</v>
      </c>
      <c r="FC105">
        <f t="shared" si="1"/>
        <v>20</v>
      </c>
    </row>
    <row r="106" spans="1:159" ht="17.25" hidden="1" thickBot="1" x14ac:dyDescent="0.3">
      <c r="A106" s="226">
        <v>46064</v>
      </c>
      <c r="B106" s="227" t="s">
        <v>227</v>
      </c>
      <c r="C106" s="227" t="s">
        <v>244</v>
      </c>
      <c r="D106" s="228">
        <v>675</v>
      </c>
      <c r="E106" s="228">
        <v>13</v>
      </c>
      <c r="F106" s="231">
        <v>1250.5</v>
      </c>
      <c r="G106" s="231">
        <v>1248.2</v>
      </c>
      <c r="H106" s="228">
        <v>2.2999999999999998</v>
      </c>
      <c r="I106" s="229">
        <v>1.8E-3</v>
      </c>
      <c r="J106" s="231">
        <v>1249.2</v>
      </c>
      <c r="K106" s="231">
        <v>1244.0999999999999</v>
      </c>
      <c r="L106" s="228">
        <v>5.0999999999999996</v>
      </c>
      <c r="M106" s="229">
        <v>4.1000000000000003E-3</v>
      </c>
      <c r="N106" s="231">
        <v>1250.5</v>
      </c>
      <c r="O106" s="231">
        <v>1248.2</v>
      </c>
      <c r="P106" s="228">
        <v>2.2999999999999998</v>
      </c>
      <c r="Q106" s="229">
        <v>1.8E-3</v>
      </c>
      <c r="R106" s="231">
        <v>1258.7</v>
      </c>
      <c r="S106" s="231">
        <v>1255.2</v>
      </c>
      <c r="T106" s="228">
        <v>3.5</v>
      </c>
      <c r="U106" s="229">
        <v>2.8E-3</v>
      </c>
      <c r="V106" s="231">
        <v>1263.9000000000001</v>
      </c>
      <c r="W106" s="231">
        <v>1261.0999999999999</v>
      </c>
      <c r="X106" s="228">
        <v>2.8</v>
      </c>
      <c r="Y106" s="229">
        <v>2.2000000000000001E-3</v>
      </c>
      <c r="Z106" s="228">
        <v>1.3</v>
      </c>
      <c r="AA106" s="228">
        <v>4.0999999999999996</v>
      </c>
      <c r="AB106" s="228">
        <v>-2.8</v>
      </c>
      <c r="AC106" s="229">
        <v>1E-3</v>
      </c>
      <c r="AD106" s="228">
        <v>1.3</v>
      </c>
      <c r="AE106" s="228">
        <v>4.0999999999999996</v>
      </c>
      <c r="AF106" s="228">
        <v>-2.8</v>
      </c>
      <c r="AG106" s="229">
        <v>1E-3</v>
      </c>
      <c r="AH106" s="228">
        <v>9.5</v>
      </c>
      <c r="AI106" s="228">
        <v>11.1</v>
      </c>
      <c r="AJ106" s="228">
        <v>-1.6</v>
      </c>
      <c r="AK106" s="229">
        <v>7.6E-3</v>
      </c>
      <c r="AL106" s="228">
        <v>14.7</v>
      </c>
      <c r="AM106" s="228">
        <v>17</v>
      </c>
      <c r="AN106" s="228">
        <v>-2.2999999999999998</v>
      </c>
      <c r="AO106" s="229">
        <v>1.18E-2</v>
      </c>
      <c r="AP106" s="231">
        <v>1250.5999999999999</v>
      </c>
      <c r="AQ106" s="231">
        <v>1257.8</v>
      </c>
      <c r="AR106" s="228">
        <v>0</v>
      </c>
      <c r="AS106" s="228">
        <v>214</v>
      </c>
      <c r="AT106" s="228">
        <v>341</v>
      </c>
      <c r="AU106" s="228">
        <v>-127</v>
      </c>
      <c r="AV106" s="229">
        <v>-0.373</v>
      </c>
      <c r="AW106" s="228">
        <v>201</v>
      </c>
      <c r="AX106" s="228">
        <v>323</v>
      </c>
      <c r="AY106" s="228">
        <v>-122</v>
      </c>
      <c r="AZ106" s="229">
        <v>-0.378</v>
      </c>
      <c r="BA106" s="228">
        <v>12</v>
      </c>
      <c r="BB106" s="228">
        <v>16</v>
      </c>
      <c r="BC106" s="228">
        <v>-4</v>
      </c>
      <c r="BD106" s="229">
        <v>-0.27750000000000002</v>
      </c>
      <c r="BE106" s="228">
        <v>1</v>
      </c>
      <c r="BF106" s="228">
        <v>1</v>
      </c>
      <c r="BG106" s="228">
        <v>0</v>
      </c>
      <c r="BH106" s="229">
        <v>-0.3125</v>
      </c>
      <c r="BI106" s="228">
        <v>610</v>
      </c>
      <c r="BJ106" s="230">
        <v>1582</v>
      </c>
      <c r="BK106" s="228">
        <v>-972</v>
      </c>
      <c r="BL106" s="229">
        <v>-0.61439999999999995</v>
      </c>
      <c r="BM106" s="228">
        <v>358</v>
      </c>
      <c r="BN106" s="228">
        <v>601</v>
      </c>
      <c r="BO106" s="228">
        <v>-243</v>
      </c>
      <c r="BP106" s="229">
        <v>-0.4047</v>
      </c>
      <c r="BQ106" s="230">
        <v>1181</v>
      </c>
      <c r="BR106" s="230">
        <v>2524</v>
      </c>
      <c r="BS106" s="230">
        <v>-1342</v>
      </c>
      <c r="BT106" s="229">
        <v>-0.53190000000000004</v>
      </c>
      <c r="BU106" s="230">
        <v>890766</v>
      </c>
      <c r="BV106" s="230">
        <v>1173793</v>
      </c>
      <c r="BW106" s="230">
        <v>-283027</v>
      </c>
      <c r="BX106" s="229">
        <v>-0.24110000000000001</v>
      </c>
      <c r="BY106" s="230">
        <v>6779</v>
      </c>
      <c r="BZ106" s="230">
        <v>6787</v>
      </c>
      <c r="CA106" s="228">
        <v>-7</v>
      </c>
      <c r="CB106" s="229">
        <v>-1.1000000000000001E-3</v>
      </c>
      <c r="CC106" s="230">
        <v>6679</v>
      </c>
      <c r="CD106" s="230">
        <v>6687</v>
      </c>
      <c r="CE106" s="228">
        <v>-8</v>
      </c>
      <c r="CF106" s="229">
        <v>-1.1999999999999999E-3</v>
      </c>
      <c r="CG106" s="228">
        <v>96</v>
      </c>
      <c r="CH106" s="228">
        <v>95</v>
      </c>
      <c r="CI106" s="228">
        <v>1</v>
      </c>
      <c r="CJ106" s="229">
        <v>8.0000000000000002E-3</v>
      </c>
      <c r="CK106" s="228">
        <v>4</v>
      </c>
      <c r="CL106" s="228">
        <v>4</v>
      </c>
      <c r="CM106" s="228">
        <v>0</v>
      </c>
      <c r="CN106" s="229">
        <v>-5.8799999999999998E-2</v>
      </c>
      <c r="CO106" s="228">
        <v>830</v>
      </c>
      <c r="CP106" s="228">
        <v>853</v>
      </c>
      <c r="CQ106" s="228">
        <v>-23</v>
      </c>
      <c r="CR106" s="229">
        <v>-2.7E-2</v>
      </c>
      <c r="CS106" s="228">
        <v>596</v>
      </c>
      <c r="CT106" s="228">
        <v>607</v>
      </c>
      <c r="CU106" s="228">
        <v>-11</v>
      </c>
      <c r="CV106" s="229">
        <v>-1.8200000000000001E-2</v>
      </c>
      <c r="CW106" s="230">
        <v>8205</v>
      </c>
      <c r="CX106" s="230">
        <v>8246</v>
      </c>
      <c r="CY106" s="228">
        <v>-41</v>
      </c>
      <c r="CZ106" s="229">
        <v>-5.0000000000000001E-3</v>
      </c>
      <c r="DA106" s="228">
        <v>24.82</v>
      </c>
      <c r="DB106" s="228">
        <v>24.46</v>
      </c>
      <c r="DC106" s="228">
        <v>0.36</v>
      </c>
      <c r="DD106" s="228">
        <v>0.36</v>
      </c>
      <c r="DE106" s="228">
        <v>29.38</v>
      </c>
      <c r="DF106" s="228">
        <v>29.45</v>
      </c>
      <c r="DG106" s="228">
        <v>-4.5599999999999996</v>
      </c>
      <c r="DH106" s="228">
        <v>-7.0000000000000007E-2</v>
      </c>
      <c r="DI106" s="228">
        <v>24.18</v>
      </c>
      <c r="DJ106" s="228">
        <v>24.17</v>
      </c>
      <c r="DK106" s="228">
        <v>0.01</v>
      </c>
      <c r="DL106" s="228">
        <v>0.01</v>
      </c>
      <c r="DM106" s="228">
        <v>25.91</v>
      </c>
      <c r="DN106" s="228">
        <v>25.21</v>
      </c>
      <c r="DO106" s="228">
        <v>0.7</v>
      </c>
      <c r="DP106" s="228">
        <v>0.7</v>
      </c>
      <c r="DQ106" s="228">
        <v>0.72</v>
      </c>
      <c r="DR106" s="228">
        <v>0.71</v>
      </c>
      <c r="DS106" s="228">
        <v>0.01</v>
      </c>
      <c r="DT106" s="229">
        <v>1.41E-2</v>
      </c>
      <c r="DU106" s="231">
        <v>1400</v>
      </c>
      <c r="DV106" s="231">
        <v>1100</v>
      </c>
      <c r="DW106" s="228">
        <v>0.59</v>
      </c>
      <c r="DX106" s="228">
        <v>0.38</v>
      </c>
      <c r="DY106" s="228">
        <v>0.21</v>
      </c>
      <c r="DZ106" s="229">
        <v>0.55259999999999998</v>
      </c>
      <c r="EA106" s="229">
        <v>1.4800000000000001E-2</v>
      </c>
      <c r="EB106" s="230">
        <v>796500</v>
      </c>
      <c r="EC106" s="229">
        <v>6.6E-3</v>
      </c>
      <c r="ED106" s="229">
        <v>1.4800000000000001E-2</v>
      </c>
      <c r="EE106" s="228">
        <v>7.2</v>
      </c>
      <c r="EF106" s="229">
        <v>5.7999999999999996E-3</v>
      </c>
      <c r="EG106" s="230">
        <v>411250</v>
      </c>
      <c r="EH106" s="230">
        <v>496260</v>
      </c>
      <c r="EI106" s="229">
        <v>-0.17130000000000001</v>
      </c>
      <c r="EJ106" s="229">
        <v>0.4617</v>
      </c>
      <c r="EK106" s="228">
        <v>628.66</v>
      </c>
      <c r="EL106" s="228">
        <v>351.08</v>
      </c>
      <c r="EM106" s="228">
        <v>213.65</v>
      </c>
      <c r="EN106" s="228">
        <v>38.31</v>
      </c>
      <c r="EO106" s="231">
        <v>1193.3900000000001</v>
      </c>
      <c r="EP106" s="231">
        <v>2568.4899999999998</v>
      </c>
      <c r="EQ106" s="231">
        <v>-1375.1</v>
      </c>
      <c r="ER106" s="229">
        <v>-0.53539999999999999</v>
      </c>
      <c r="ES106" s="228">
        <v>851.61</v>
      </c>
      <c r="ET106" s="228">
        <v>552.41999999999996</v>
      </c>
      <c r="EU106" s="231">
        <v>6779.96</v>
      </c>
      <c r="EV106" s="231">
        <v>133434355</v>
      </c>
      <c r="EW106" s="231">
        <v>8183.99</v>
      </c>
      <c r="EX106" s="231">
        <v>8211.31</v>
      </c>
      <c r="EY106" s="228">
        <v>-27.32</v>
      </c>
      <c r="EZ106" s="229">
        <v>-3.3E-3</v>
      </c>
      <c r="FA106" s="229">
        <v>0.49170000000000003</v>
      </c>
      <c r="FB106" s="227" t="s">
        <v>556</v>
      </c>
      <c r="FC106">
        <f t="shared" si="1"/>
        <v>100</v>
      </c>
    </row>
    <row r="107" spans="1:159" ht="17.25" hidden="1" thickBot="1" x14ac:dyDescent="0.3">
      <c r="A107" s="226">
        <v>46064</v>
      </c>
      <c r="B107" s="227" t="s">
        <v>168</v>
      </c>
      <c r="C107" s="227" t="s">
        <v>245</v>
      </c>
      <c r="D107" s="228">
        <v>1250</v>
      </c>
      <c r="E107" s="228">
        <v>13</v>
      </c>
      <c r="F107" s="228">
        <v>545</v>
      </c>
      <c r="G107" s="228">
        <v>556.20000000000005</v>
      </c>
      <c r="H107" s="228">
        <v>-11.2</v>
      </c>
      <c r="I107" s="229">
        <v>-2.01E-2</v>
      </c>
      <c r="J107" s="228">
        <v>547</v>
      </c>
      <c r="K107" s="228">
        <v>554.45000000000005</v>
      </c>
      <c r="L107" s="228">
        <v>-7.45</v>
      </c>
      <c r="M107" s="229">
        <v>-1.34E-2</v>
      </c>
      <c r="N107" s="228">
        <v>545</v>
      </c>
      <c r="O107" s="228">
        <v>556.20000000000005</v>
      </c>
      <c r="P107" s="228">
        <v>-11.2</v>
      </c>
      <c r="Q107" s="229">
        <v>-2.01E-2</v>
      </c>
      <c r="R107" s="228">
        <v>538.6</v>
      </c>
      <c r="S107" s="228">
        <v>551.54999999999995</v>
      </c>
      <c r="T107" s="228">
        <v>-12.95</v>
      </c>
      <c r="U107" s="229">
        <v>-2.35E-2</v>
      </c>
      <c r="V107" s="228">
        <v>536.4</v>
      </c>
      <c r="W107" s="228">
        <v>550</v>
      </c>
      <c r="X107" s="228">
        <v>-13.6</v>
      </c>
      <c r="Y107" s="229">
        <v>-2.47E-2</v>
      </c>
      <c r="Z107" s="228">
        <v>-2</v>
      </c>
      <c r="AA107" s="228">
        <v>1.75</v>
      </c>
      <c r="AB107" s="228">
        <v>-3.75</v>
      </c>
      <c r="AC107" s="229">
        <v>-3.7000000000000002E-3</v>
      </c>
      <c r="AD107" s="228">
        <v>-2</v>
      </c>
      <c r="AE107" s="228">
        <v>1.75</v>
      </c>
      <c r="AF107" s="228">
        <v>-3.75</v>
      </c>
      <c r="AG107" s="229">
        <v>-3.7000000000000002E-3</v>
      </c>
      <c r="AH107" s="228">
        <v>-8.4</v>
      </c>
      <c r="AI107" s="228">
        <v>-2.9</v>
      </c>
      <c r="AJ107" s="228">
        <v>-5.5</v>
      </c>
      <c r="AK107" s="229">
        <v>-1.54E-2</v>
      </c>
      <c r="AL107" s="228">
        <v>-10.6</v>
      </c>
      <c r="AM107" s="228">
        <v>-4.45</v>
      </c>
      <c r="AN107" s="228">
        <v>-6.15</v>
      </c>
      <c r="AO107" s="229">
        <v>-1.9400000000000001E-2</v>
      </c>
      <c r="AP107" s="228">
        <v>551.04999999999995</v>
      </c>
      <c r="AQ107" s="228">
        <v>543.9</v>
      </c>
      <c r="AR107" s="228">
        <v>0</v>
      </c>
      <c r="AS107" s="230">
        <v>1052</v>
      </c>
      <c r="AT107" s="228">
        <v>349</v>
      </c>
      <c r="AU107" s="228">
        <v>703</v>
      </c>
      <c r="AV107" s="229">
        <v>2.0171999999999999</v>
      </c>
      <c r="AW107" s="228">
        <v>903</v>
      </c>
      <c r="AX107" s="228">
        <v>292</v>
      </c>
      <c r="AY107" s="228">
        <v>611</v>
      </c>
      <c r="AZ107" s="229">
        <v>2.0914000000000001</v>
      </c>
      <c r="BA107" s="228">
        <v>130</v>
      </c>
      <c r="BB107" s="228">
        <v>50</v>
      </c>
      <c r="BC107" s="228">
        <v>80</v>
      </c>
      <c r="BD107" s="229">
        <v>1.6034999999999999</v>
      </c>
      <c r="BE107" s="228">
        <v>18</v>
      </c>
      <c r="BF107" s="228">
        <v>6</v>
      </c>
      <c r="BG107" s="228">
        <v>12</v>
      </c>
      <c r="BH107" s="229">
        <v>1.8587</v>
      </c>
      <c r="BI107" s="230">
        <v>4075</v>
      </c>
      <c r="BJ107" s="228">
        <v>957</v>
      </c>
      <c r="BK107" s="230">
        <v>3119</v>
      </c>
      <c r="BL107" s="229">
        <v>3.2601</v>
      </c>
      <c r="BM107" s="230">
        <v>1644</v>
      </c>
      <c r="BN107" s="228">
        <v>384</v>
      </c>
      <c r="BO107" s="230">
        <v>1260</v>
      </c>
      <c r="BP107" s="229">
        <v>3.2822</v>
      </c>
      <c r="BQ107" s="230">
        <v>6771</v>
      </c>
      <c r="BR107" s="230">
        <v>1689</v>
      </c>
      <c r="BS107" s="230">
        <v>5082</v>
      </c>
      <c r="BT107" s="229">
        <v>3.0085999999999999</v>
      </c>
      <c r="BU107" s="230">
        <v>11052073</v>
      </c>
      <c r="BV107" s="230">
        <v>1983660</v>
      </c>
      <c r="BW107" s="230">
        <v>9068413</v>
      </c>
      <c r="BX107" s="229">
        <v>4.5716000000000001</v>
      </c>
      <c r="BY107" s="230">
        <v>1427</v>
      </c>
      <c r="BZ107" s="230">
        <v>1277</v>
      </c>
      <c r="CA107" s="228">
        <v>150</v>
      </c>
      <c r="CB107" s="229">
        <v>0.1172</v>
      </c>
      <c r="CC107" s="230">
        <v>1269</v>
      </c>
      <c r="CD107" s="230">
        <v>1170</v>
      </c>
      <c r="CE107" s="228">
        <v>99</v>
      </c>
      <c r="CF107" s="229">
        <v>8.4599999999999995E-2</v>
      </c>
      <c r="CG107" s="228">
        <v>138</v>
      </c>
      <c r="CH107" s="228">
        <v>96</v>
      </c>
      <c r="CI107" s="228">
        <v>42</v>
      </c>
      <c r="CJ107" s="229">
        <v>0.434</v>
      </c>
      <c r="CK107" s="228">
        <v>20</v>
      </c>
      <c r="CL107" s="228">
        <v>11</v>
      </c>
      <c r="CM107" s="228">
        <v>9</v>
      </c>
      <c r="CN107" s="229">
        <v>0.81989999999999996</v>
      </c>
      <c r="CO107" s="228">
        <v>974</v>
      </c>
      <c r="CP107" s="228">
        <v>461</v>
      </c>
      <c r="CQ107" s="228">
        <v>514</v>
      </c>
      <c r="CR107" s="229">
        <v>1.1154999999999999</v>
      </c>
      <c r="CS107" s="228">
        <v>480</v>
      </c>
      <c r="CT107" s="228">
        <v>353</v>
      </c>
      <c r="CU107" s="228">
        <v>126</v>
      </c>
      <c r="CV107" s="229">
        <v>0.35799999999999998</v>
      </c>
      <c r="CW107" s="230">
        <v>2881</v>
      </c>
      <c r="CX107" s="230">
        <v>2091</v>
      </c>
      <c r="CY107" s="228">
        <v>790</v>
      </c>
      <c r="CZ107" s="229">
        <v>0.37780000000000002</v>
      </c>
      <c r="DA107" s="228">
        <v>37.14</v>
      </c>
      <c r="DB107" s="228">
        <v>41.51</v>
      </c>
      <c r="DC107" s="228">
        <v>-4.37</v>
      </c>
      <c r="DD107" s="228">
        <v>-4.37</v>
      </c>
      <c r="DE107" s="228">
        <v>33.01</v>
      </c>
      <c r="DF107" s="228">
        <v>33.04</v>
      </c>
      <c r="DG107" s="228">
        <v>4.13</v>
      </c>
      <c r="DH107" s="228">
        <v>-0.03</v>
      </c>
      <c r="DI107" s="228">
        <v>37.299999999999997</v>
      </c>
      <c r="DJ107" s="228">
        <v>41.19</v>
      </c>
      <c r="DK107" s="228">
        <v>-3.89</v>
      </c>
      <c r="DL107" s="228">
        <v>-3.89</v>
      </c>
      <c r="DM107" s="228">
        <v>36.74</v>
      </c>
      <c r="DN107" s="228">
        <v>42.29</v>
      </c>
      <c r="DO107" s="228">
        <v>-5.55</v>
      </c>
      <c r="DP107" s="228">
        <v>-5.55</v>
      </c>
      <c r="DQ107" s="228">
        <v>0.49</v>
      </c>
      <c r="DR107" s="228">
        <v>0.77</v>
      </c>
      <c r="DS107" s="228">
        <v>-0.28000000000000003</v>
      </c>
      <c r="DT107" s="229">
        <v>-0.36359999999999998</v>
      </c>
      <c r="DU107" s="228">
        <v>550</v>
      </c>
      <c r="DV107" s="228">
        <v>500</v>
      </c>
      <c r="DW107" s="228">
        <v>0.4</v>
      </c>
      <c r="DX107" s="228">
        <v>0.4</v>
      </c>
      <c r="DY107" s="228">
        <v>0</v>
      </c>
      <c r="DZ107" s="229">
        <v>0</v>
      </c>
      <c r="EA107" s="229">
        <v>0.1105</v>
      </c>
      <c r="EB107" s="230">
        <v>1963750</v>
      </c>
      <c r="EC107" s="229">
        <v>-1.17E-2</v>
      </c>
      <c r="ED107" s="229">
        <v>0.1105</v>
      </c>
      <c r="EE107" s="228">
        <v>-7.15</v>
      </c>
      <c r="EF107" s="229">
        <v>-1.2999999999999999E-2</v>
      </c>
      <c r="EG107" s="230">
        <v>2956083</v>
      </c>
      <c r="EH107" s="230">
        <v>943559</v>
      </c>
      <c r="EI107" s="229">
        <v>2.1328999999999998</v>
      </c>
      <c r="EJ107" s="229">
        <v>0.26750000000000002</v>
      </c>
      <c r="EK107" s="231">
        <v>4328.28</v>
      </c>
      <c r="EL107" s="231">
        <v>1634.7</v>
      </c>
      <c r="EM107" s="231">
        <v>1061.24</v>
      </c>
      <c r="EN107" s="228">
        <v>53.1</v>
      </c>
      <c r="EO107" s="231">
        <v>7024.22</v>
      </c>
      <c r="EP107" s="231">
        <v>1760.8</v>
      </c>
      <c r="EQ107" s="231">
        <v>5263.43</v>
      </c>
      <c r="ER107" s="229">
        <v>2.9891999999999999</v>
      </c>
      <c r="ES107" s="231">
        <v>1012.71</v>
      </c>
      <c r="ET107" s="228">
        <v>455.53</v>
      </c>
      <c r="EU107" s="231">
        <v>1424.67</v>
      </c>
      <c r="EV107" s="231">
        <v>58761693</v>
      </c>
      <c r="EW107" s="231">
        <v>2892.91</v>
      </c>
      <c r="EX107" s="231">
        <v>2109.08</v>
      </c>
      <c r="EY107" s="228">
        <v>783.83</v>
      </c>
      <c r="EZ107" s="229">
        <v>0.37159999999999999</v>
      </c>
      <c r="FA107" s="229">
        <v>0.89949999999999997</v>
      </c>
      <c r="FB107" s="227" t="s">
        <v>567</v>
      </c>
      <c r="FC107">
        <f t="shared" si="1"/>
        <v>158</v>
      </c>
    </row>
    <row r="108" spans="1:159" ht="17.25" hidden="1" thickBot="1" x14ac:dyDescent="0.3">
      <c r="A108" s="226">
        <v>46064</v>
      </c>
      <c r="B108" s="227" t="s">
        <v>168</v>
      </c>
      <c r="C108" s="227" t="s">
        <v>582</v>
      </c>
      <c r="D108" s="228">
        <v>1175</v>
      </c>
      <c r="E108" s="228">
        <v>13</v>
      </c>
      <c r="F108" s="228">
        <v>427.45</v>
      </c>
      <c r="G108" s="228">
        <v>434.8</v>
      </c>
      <c r="H108" s="228">
        <v>-7.35</v>
      </c>
      <c r="I108" s="229">
        <v>-1.6899999999999998E-2</v>
      </c>
      <c r="J108" s="228">
        <v>426.95</v>
      </c>
      <c r="K108" s="228">
        <v>433.9</v>
      </c>
      <c r="L108" s="228">
        <v>-6.95</v>
      </c>
      <c r="M108" s="229">
        <v>-1.6E-2</v>
      </c>
      <c r="N108" s="228">
        <v>427.45</v>
      </c>
      <c r="O108" s="228">
        <v>434.8</v>
      </c>
      <c r="P108" s="228">
        <v>-7.35</v>
      </c>
      <c r="Q108" s="229">
        <v>-1.6899999999999998E-2</v>
      </c>
      <c r="R108" s="228">
        <v>429.9</v>
      </c>
      <c r="S108" s="228">
        <v>436.85</v>
      </c>
      <c r="T108" s="228">
        <v>-6.95</v>
      </c>
      <c r="U108" s="229">
        <v>-1.5900000000000001E-2</v>
      </c>
      <c r="V108" s="228">
        <v>432.35</v>
      </c>
      <c r="W108" s="228">
        <v>438.75</v>
      </c>
      <c r="X108" s="228">
        <v>-6.4</v>
      </c>
      <c r="Y108" s="229">
        <v>-1.46E-2</v>
      </c>
      <c r="Z108" s="228">
        <v>0.5</v>
      </c>
      <c r="AA108" s="228">
        <v>0.9</v>
      </c>
      <c r="AB108" s="228">
        <v>-0.4</v>
      </c>
      <c r="AC108" s="229">
        <v>1.1999999999999999E-3</v>
      </c>
      <c r="AD108" s="228">
        <v>0.5</v>
      </c>
      <c r="AE108" s="228">
        <v>0.9</v>
      </c>
      <c r="AF108" s="228">
        <v>-0.4</v>
      </c>
      <c r="AG108" s="229">
        <v>1.1999999999999999E-3</v>
      </c>
      <c r="AH108" s="228">
        <v>2.95</v>
      </c>
      <c r="AI108" s="228">
        <v>2.95</v>
      </c>
      <c r="AJ108" s="228">
        <v>0</v>
      </c>
      <c r="AK108" s="229">
        <v>6.8999999999999999E-3</v>
      </c>
      <c r="AL108" s="228">
        <v>5.4</v>
      </c>
      <c r="AM108" s="228">
        <v>4.8499999999999996</v>
      </c>
      <c r="AN108" s="228">
        <v>0.55000000000000004</v>
      </c>
      <c r="AO108" s="229">
        <v>1.26E-2</v>
      </c>
      <c r="AP108" s="228">
        <v>428.76</v>
      </c>
      <c r="AQ108" s="228">
        <v>430.36</v>
      </c>
      <c r="AR108" s="228">
        <v>0</v>
      </c>
      <c r="AS108" s="228">
        <v>344</v>
      </c>
      <c r="AT108" s="228">
        <v>584</v>
      </c>
      <c r="AU108" s="228">
        <v>-241</v>
      </c>
      <c r="AV108" s="229">
        <v>-0.4118</v>
      </c>
      <c r="AW108" s="228">
        <v>314</v>
      </c>
      <c r="AX108" s="228">
        <v>509</v>
      </c>
      <c r="AY108" s="228">
        <v>-195</v>
      </c>
      <c r="AZ108" s="229">
        <v>-0.3826</v>
      </c>
      <c r="BA108" s="228">
        <v>25</v>
      </c>
      <c r="BB108" s="228">
        <v>65</v>
      </c>
      <c r="BC108" s="228">
        <v>-40</v>
      </c>
      <c r="BD108" s="229">
        <v>-0.61050000000000004</v>
      </c>
      <c r="BE108" s="228">
        <v>4</v>
      </c>
      <c r="BF108" s="228">
        <v>10</v>
      </c>
      <c r="BG108" s="228">
        <v>-6</v>
      </c>
      <c r="BH108" s="229">
        <v>-0.59130000000000005</v>
      </c>
      <c r="BI108" s="230">
        <v>1329</v>
      </c>
      <c r="BJ108" s="230">
        <v>3380</v>
      </c>
      <c r="BK108" s="230">
        <v>-2050</v>
      </c>
      <c r="BL108" s="229">
        <v>-0.60660000000000003</v>
      </c>
      <c r="BM108" s="228">
        <v>960</v>
      </c>
      <c r="BN108" s="230">
        <v>1916</v>
      </c>
      <c r="BO108" s="228">
        <v>-956</v>
      </c>
      <c r="BP108" s="229">
        <v>-0.49890000000000001</v>
      </c>
      <c r="BQ108" s="230">
        <v>2633</v>
      </c>
      <c r="BR108" s="230">
        <v>5880</v>
      </c>
      <c r="BS108" s="230">
        <v>-3247</v>
      </c>
      <c r="BT108" s="229">
        <v>-0.55220000000000002</v>
      </c>
      <c r="BU108" s="230">
        <v>9348898</v>
      </c>
      <c r="BV108" s="230">
        <v>31434507</v>
      </c>
      <c r="BW108" s="230">
        <v>-22085609</v>
      </c>
      <c r="BX108" s="229">
        <v>-0.7026</v>
      </c>
      <c r="BY108" s="230">
        <v>1407</v>
      </c>
      <c r="BZ108" s="230">
        <v>1432</v>
      </c>
      <c r="CA108" s="228">
        <v>-25</v>
      </c>
      <c r="CB108" s="229">
        <v>-1.7399999999999999E-2</v>
      </c>
      <c r="CC108" s="230">
        <v>1310</v>
      </c>
      <c r="CD108" s="230">
        <v>1337</v>
      </c>
      <c r="CE108" s="228">
        <v>-27</v>
      </c>
      <c r="CF108" s="229">
        <v>-2.0199999999999999E-2</v>
      </c>
      <c r="CG108" s="228">
        <v>87</v>
      </c>
      <c r="CH108" s="228">
        <v>84</v>
      </c>
      <c r="CI108" s="228">
        <v>2</v>
      </c>
      <c r="CJ108" s="229">
        <v>2.93E-2</v>
      </c>
      <c r="CK108" s="228">
        <v>10</v>
      </c>
      <c r="CL108" s="228">
        <v>10</v>
      </c>
      <c r="CM108" s="228">
        <v>0</v>
      </c>
      <c r="CN108" s="229">
        <v>-4.3099999999999999E-2</v>
      </c>
      <c r="CO108" s="228">
        <v>975</v>
      </c>
      <c r="CP108" s="230">
        <v>1045</v>
      </c>
      <c r="CQ108" s="228">
        <v>-70</v>
      </c>
      <c r="CR108" s="229">
        <v>-6.6699999999999995E-2</v>
      </c>
      <c r="CS108" s="228">
        <v>777</v>
      </c>
      <c r="CT108" s="228">
        <v>819</v>
      </c>
      <c r="CU108" s="228">
        <v>-42</v>
      </c>
      <c r="CV108" s="229">
        <v>-5.11E-2</v>
      </c>
      <c r="CW108" s="230">
        <v>3159</v>
      </c>
      <c r="CX108" s="230">
        <v>3295</v>
      </c>
      <c r="CY108" s="228">
        <v>-137</v>
      </c>
      <c r="CZ108" s="229">
        <v>-4.1399999999999999E-2</v>
      </c>
      <c r="DA108" s="228">
        <v>46.88</v>
      </c>
      <c r="DB108" s="228">
        <v>51.5</v>
      </c>
      <c r="DC108" s="228">
        <v>-4.62</v>
      </c>
      <c r="DD108" s="228">
        <v>-4.62</v>
      </c>
      <c r="DE108" s="228">
        <v>53.02</v>
      </c>
      <c r="DF108" s="228">
        <v>53.11</v>
      </c>
      <c r="DG108" s="228">
        <v>-6.14</v>
      </c>
      <c r="DH108" s="228">
        <v>-0.09</v>
      </c>
      <c r="DI108" s="228">
        <v>48</v>
      </c>
      <c r="DJ108" s="228">
        <v>52.16</v>
      </c>
      <c r="DK108" s="228">
        <v>-4.16</v>
      </c>
      <c r="DL108" s="228">
        <v>-4.16</v>
      </c>
      <c r="DM108" s="228">
        <v>45.32</v>
      </c>
      <c r="DN108" s="228">
        <v>50.34</v>
      </c>
      <c r="DO108" s="228">
        <v>-5.0199999999999996</v>
      </c>
      <c r="DP108" s="228">
        <v>-5.0199999999999996</v>
      </c>
      <c r="DQ108" s="228">
        <v>0.8</v>
      </c>
      <c r="DR108" s="228">
        <v>0.78</v>
      </c>
      <c r="DS108" s="228">
        <v>0.02</v>
      </c>
      <c r="DT108" s="229">
        <v>2.5600000000000001E-2</v>
      </c>
      <c r="DU108" s="228">
        <v>500</v>
      </c>
      <c r="DV108" s="228">
        <v>400</v>
      </c>
      <c r="DW108" s="228">
        <v>0.72</v>
      </c>
      <c r="DX108" s="228">
        <v>0.56999999999999995</v>
      </c>
      <c r="DY108" s="228">
        <v>0.15</v>
      </c>
      <c r="DZ108" s="229">
        <v>0.26319999999999999</v>
      </c>
      <c r="EA108" s="229">
        <v>6.8699999999999997E-2</v>
      </c>
      <c r="EB108" s="230">
        <v>2213700</v>
      </c>
      <c r="EC108" s="229">
        <v>5.7000000000000002E-3</v>
      </c>
      <c r="ED108" s="229">
        <v>6.8699999999999997E-2</v>
      </c>
      <c r="EE108" s="228">
        <v>1.6</v>
      </c>
      <c r="EF108" s="229">
        <v>3.7000000000000002E-3</v>
      </c>
      <c r="EG108" s="230">
        <v>1985028</v>
      </c>
      <c r="EH108" s="230">
        <v>5137060</v>
      </c>
      <c r="EI108" s="229">
        <v>-0.61360000000000003</v>
      </c>
      <c r="EJ108" s="229">
        <v>0.21229999999999999</v>
      </c>
      <c r="EK108" s="231">
        <v>1433.04</v>
      </c>
      <c r="EL108" s="228">
        <v>942</v>
      </c>
      <c r="EM108" s="228">
        <v>344.83</v>
      </c>
      <c r="EN108" s="228">
        <v>130.5</v>
      </c>
      <c r="EO108" s="231">
        <v>2719.87</v>
      </c>
      <c r="EP108" s="231">
        <v>6188.04</v>
      </c>
      <c r="EQ108" s="231">
        <v>-3468.17</v>
      </c>
      <c r="ER108" s="229">
        <v>-0.5605</v>
      </c>
      <c r="ES108" s="231">
        <v>1010.49</v>
      </c>
      <c r="ET108" s="228">
        <v>709.22</v>
      </c>
      <c r="EU108" s="231">
        <v>1407.27</v>
      </c>
      <c r="EV108" s="231">
        <v>57654984</v>
      </c>
      <c r="EW108" s="231">
        <v>3126.98</v>
      </c>
      <c r="EX108" s="231">
        <v>3290.75</v>
      </c>
      <c r="EY108" s="228">
        <v>-163.77000000000001</v>
      </c>
      <c r="EZ108" s="229">
        <v>-4.9799999999999997E-2</v>
      </c>
      <c r="FA108" s="229">
        <v>1.2818000000000001</v>
      </c>
      <c r="FB108" s="227" t="s">
        <v>568</v>
      </c>
      <c r="FC108">
        <f t="shared" si="1"/>
        <v>97</v>
      </c>
    </row>
    <row r="109" spans="1:159" ht="17.25" hidden="1" thickBot="1" x14ac:dyDescent="0.3">
      <c r="A109" s="226">
        <v>46064</v>
      </c>
      <c r="B109" s="227" t="s">
        <v>184</v>
      </c>
      <c r="C109" s="227" t="s">
        <v>675</v>
      </c>
      <c r="D109" s="228">
        <v>100</v>
      </c>
      <c r="E109" s="228">
        <v>13</v>
      </c>
      <c r="F109" s="231">
        <v>4169.1000000000004</v>
      </c>
      <c r="G109" s="231">
        <v>3961.4</v>
      </c>
      <c r="H109" s="228">
        <v>207.7</v>
      </c>
      <c r="I109" s="229">
        <v>5.2400000000000002E-2</v>
      </c>
      <c r="J109" s="231">
        <v>4154.7</v>
      </c>
      <c r="K109" s="231">
        <v>3957.6</v>
      </c>
      <c r="L109" s="228">
        <v>197.1</v>
      </c>
      <c r="M109" s="229">
        <v>4.9799999999999997E-2</v>
      </c>
      <c r="N109" s="231">
        <v>4169.1000000000004</v>
      </c>
      <c r="O109" s="231">
        <v>3961.4</v>
      </c>
      <c r="P109" s="228">
        <v>207.7</v>
      </c>
      <c r="Q109" s="229">
        <v>5.2400000000000002E-2</v>
      </c>
      <c r="R109" s="231">
        <v>4162.8999999999996</v>
      </c>
      <c r="S109" s="231">
        <v>3956.6</v>
      </c>
      <c r="T109" s="228">
        <v>206.3</v>
      </c>
      <c r="U109" s="229">
        <v>5.21E-2</v>
      </c>
      <c r="V109" s="231">
        <v>4163.7</v>
      </c>
      <c r="W109" s="231">
        <v>3954.1</v>
      </c>
      <c r="X109" s="228">
        <v>209.6</v>
      </c>
      <c r="Y109" s="229">
        <v>5.2999999999999999E-2</v>
      </c>
      <c r="Z109" s="228">
        <v>14.4</v>
      </c>
      <c r="AA109" s="228">
        <v>3.8</v>
      </c>
      <c r="AB109" s="228">
        <v>10.6</v>
      </c>
      <c r="AC109" s="229">
        <v>3.5000000000000001E-3</v>
      </c>
      <c r="AD109" s="228">
        <v>14.4</v>
      </c>
      <c r="AE109" s="228">
        <v>3.8</v>
      </c>
      <c r="AF109" s="228">
        <v>10.6</v>
      </c>
      <c r="AG109" s="229">
        <v>3.5000000000000001E-3</v>
      </c>
      <c r="AH109" s="228">
        <v>8.1999999999999993</v>
      </c>
      <c r="AI109" s="228">
        <v>-1</v>
      </c>
      <c r="AJ109" s="228">
        <v>9.1999999999999993</v>
      </c>
      <c r="AK109" s="229">
        <v>2E-3</v>
      </c>
      <c r="AL109" s="228">
        <v>9</v>
      </c>
      <c r="AM109" s="228">
        <v>-3.5</v>
      </c>
      <c r="AN109" s="228">
        <v>12.5</v>
      </c>
      <c r="AO109" s="229">
        <v>2.2000000000000001E-3</v>
      </c>
      <c r="AP109" s="231">
        <v>4108.88</v>
      </c>
      <c r="AQ109" s="231">
        <v>4110.74</v>
      </c>
      <c r="AR109" s="228">
        <v>0</v>
      </c>
      <c r="AS109" s="228">
        <v>811</v>
      </c>
      <c r="AT109" s="228">
        <v>646</v>
      </c>
      <c r="AU109" s="228">
        <v>166</v>
      </c>
      <c r="AV109" s="229">
        <v>0.25650000000000001</v>
      </c>
      <c r="AW109" s="228">
        <v>689</v>
      </c>
      <c r="AX109" s="228">
        <v>559</v>
      </c>
      <c r="AY109" s="228">
        <v>130</v>
      </c>
      <c r="AZ109" s="229">
        <v>0.23150000000000001</v>
      </c>
      <c r="BA109" s="228">
        <v>108</v>
      </c>
      <c r="BB109" s="228">
        <v>72</v>
      </c>
      <c r="BC109" s="228">
        <v>36</v>
      </c>
      <c r="BD109" s="229">
        <v>0.50490000000000002</v>
      </c>
      <c r="BE109" s="228">
        <v>14</v>
      </c>
      <c r="BF109" s="228">
        <v>14</v>
      </c>
      <c r="BG109" s="228">
        <v>0</v>
      </c>
      <c r="BH109" s="229">
        <v>-1.7500000000000002E-2</v>
      </c>
      <c r="BI109" s="230">
        <v>6102</v>
      </c>
      <c r="BJ109" s="230">
        <v>3382</v>
      </c>
      <c r="BK109" s="230">
        <v>2720</v>
      </c>
      <c r="BL109" s="229">
        <v>0.80449999999999999</v>
      </c>
      <c r="BM109" s="230">
        <v>2174</v>
      </c>
      <c r="BN109" s="230">
        <v>1917</v>
      </c>
      <c r="BO109" s="228">
        <v>257</v>
      </c>
      <c r="BP109" s="229">
        <v>0.13420000000000001</v>
      </c>
      <c r="BQ109" s="230">
        <v>9088</v>
      </c>
      <c r="BR109" s="230">
        <v>5944</v>
      </c>
      <c r="BS109" s="230">
        <v>3143</v>
      </c>
      <c r="BT109" s="229">
        <v>0.52880000000000005</v>
      </c>
      <c r="BU109" s="230">
        <v>3843555</v>
      </c>
      <c r="BV109" s="230">
        <v>3052118</v>
      </c>
      <c r="BW109" s="230">
        <v>791437</v>
      </c>
      <c r="BX109" s="229">
        <v>0.25929999999999997</v>
      </c>
      <c r="BY109" s="230">
        <v>1723</v>
      </c>
      <c r="BZ109" s="230">
        <v>1734</v>
      </c>
      <c r="CA109" s="228">
        <v>-11</v>
      </c>
      <c r="CB109" s="229">
        <v>-6.4999999999999997E-3</v>
      </c>
      <c r="CC109" s="230">
        <v>1575</v>
      </c>
      <c r="CD109" s="230">
        <v>1602</v>
      </c>
      <c r="CE109" s="228">
        <v>-27</v>
      </c>
      <c r="CF109" s="229">
        <v>-1.6799999999999999E-2</v>
      </c>
      <c r="CG109" s="228">
        <v>129</v>
      </c>
      <c r="CH109" s="228">
        <v>114</v>
      </c>
      <c r="CI109" s="228">
        <v>15</v>
      </c>
      <c r="CJ109" s="229">
        <v>0.13239999999999999</v>
      </c>
      <c r="CK109" s="228">
        <v>19</v>
      </c>
      <c r="CL109" s="228">
        <v>19</v>
      </c>
      <c r="CM109" s="228">
        <v>1</v>
      </c>
      <c r="CN109" s="229">
        <v>3.56E-2</v>
      </c>
      <c r="CO109" s="230">
        <v>1014</v>
      </c>
      <c r="CP109" s="228">
        <v>839</v>
      </c>
      <c r="CQ109" s="228">
        <v>174</v>
      </c>
      <c r="CR109" s="229">
        <v>0.20780000000000001</v>
      </c>
      <c r="CS109" s="228">
        <v>898</v>
      </c>
      <c r="CT109" s="228">
        <v>813</v>
      </c>
      <c r="CU109" s="228">
        <v>85</v>
      </c>
      <c r="CV109" s="229">
        <v>0.1043</v>
      </c>
      <c r="CW109" s="230">
        <v>3634</v>
      </c>
      <c r="CX109" s="230">
        <v>3386</v>
      </c>
      <c r="CY109" s="228">
        <v>248</v>
      </c>
      <c r="CZ109" s="229">
        <v>7.3200000000000001E-2</v>
      </c>
      <c r="DA109" s="228">
        <v>54.23</v>
      </c>
      <c r="DB109" s="228">
        <v>50</v>
      </c>
      <c r="DC109" s="228">
        <v>4.2300000000000004</v>
      </c>
      <c r="DD109" s="228">
        <v>4.2300000000000004</v>
      </c>
      <c r="DE109" s="228">
        <v>61.58</v>
      </c>
      <c r="DF109" s="228">
        <v>61.39</v>
      </c>
      <c r="DG109" s="228">
        <v>-7.35</v>
      </c>
      <c r="DH109" s="228">
        <v>0.19</v>
      </c>
      <c r="DI109" s="228">
        <v>53.03</v>
      </c>
      <c r="DJ109" s="228">
        <v>49.84</v>
      </c>
      <c r="DK109" s="228">
        <v>3.19</v>
      </c>
      <c r="DL109" s="228">
        <v>3.19</v>
      </c>
      <c r="DM109" s="228">
        <v>57.6</v>
      </c>
      <c r="DN109" s="228">
        <v>50.27</v>
      </c>
      <c r="DO109" s="228">
        <v>7.33</v>
      </c>
      <c r="DP109" s="228">
        <v>7.33</v>
      </c>
      <c r="DQ109" s="228">
        <v>0.89</v>
      </c>
      <c r="DR109" s="228">
        <v>0.97</v>
      </c>
      <c r="DS109" s="228">
        <v>-0.08</v>
      </c>
      <c r="DT109" s="229">
        <v>-8.2500000000000004E-2</v>
      </c>
      <c r="DU109" s="231">
        <v>4500</v>
      </c>
      <c r="DV109" s="231">
        <v>3500</v>
      </c>
      <c r="DW109" s="228">
        <v>0.36</v>
      </c>
      <c r="DX109" s="228">
        <v>0.56999999999999995</v>
      </c>
      <c r="DY109" s="228">
        <v>-0.21</v>
      </c>
      <c r="DZ109" s="229">
        <v>-0.36840000000000001</v>
      </c>
      <c r="EA109" s="229">
        <v>8.5999999999999993E-2</v>
      </c>
      <c r="EB109" s="230">
        <v>317600</v>
      </c>
      <c r="EC109" s="229">
        <v>-1.5E-3</v>
      </c>
      <c r="ED109" s="229">
        <v>8.5999999999999993E-2</v>
      </c>
      <c r="EE109" s="228">
        <v>1.86</v>
      </c>
      <c r="EF109" s="229">
        <v>5.0000000000000001E-4</v>
      </c>
      <c r="EG109" s="230">
        <v>598088</v>
      </c>
      <c r="EH109" s="230">
        <v>444419</v>
      </c>
      <c r="EI109" s="229">
        <v>0.3458</v>
      </c>
      <c r="EJ109" s="229">
        <v>0.15559999999999999</v>
      </c>
      <c r="EK109" s="231">
        <v>6452.09</v>
      </c>
      <c r="EL109" s="231">
        <v>2050.8200000000002</v>
      </c>
      <c r="EM109" s="228">
        <v>799.63</v>
      </c>
      <c r="EN109" s="228">
        <v>255.17</v>
      </c>
      <c r="EO109" s="231">
        <v>9302.5400000000009</v>
      </c>
      <c r="EP109" s="231">
        <v>5820.73</v>
      </c>
      <c r="EQ109" s="231">
        <v>3481.81</v>
      </c>
      <c r="ER109" s="229">
        <v>0.59819999999999995</v>
      </c>
      <c r="ES109" s="231">
        <v>1024.23</v>
      </c>
      <c r="ET109" s="228">
        <v>787.19</v>
      </c>
      <c r="EU109" s="231">
        <v>1722.58</v>
      </c>
      <c r="EV109" s="231">
        <v>4679418</v>
      </c>
      <c r="EW109" s="231">
        <v>3534.01</v>
      </c>
      <c r="EX109" s="231">
        <v>3163.25</v>
      </c>
      <c r="EY109" s="228">
        <v>370.76</v>
      </c>
      <c r="EZ109" s="229">
        <v>0.1172</v>
      </c>
      <c r="FA109" s="229">
        <v>1.8629</v>
      </c>
      <c r="FB109" s="227" t="s">
        <v>556</v>
      </c>
      <c r="FC109">
        <f t="shared" si="1"/>
        <v>148</v>
      </c>
    </row>
    <row r="110" spans="1:159" ht="17.25" hidden="1" thickBot="1" x14ac:dyDescent="0.3">
      <c r="A110" s="226">
        <v>46064</v>
      </c>
      <c r="B110" s="227" t="s">
        <v>161</v>
      </c>
      <c r="C110" s="227" t="s">
        <v>610</v>
      </c>
      <c r="D110" s="228">
        <v>175</v>
      </c>
      <c r="E110" s="228">
        <v>13</v>
      </c>
      <c r="F110" s="231">
        <v>4619.5</v>
      </c>
      <c r="G110" s="231">
        <v>4606.6000000000004</v>
      </c>
      <c r="H110" s="228">
        <v>12.9</v>
      </c>
      <c r="I110" s="229">
        <v>2.8E-3</v>
      </c>
      <c r="J110" s="231">
        <v>4605.8999999999996</v>
      </c>
      <c r="K110" s="231">
        <v>4590.6000000000004</v>
      </c>
      <c r="L110" s="228">
        <v>15.3</v>
      </c>
      <c r="M110" s="229">
        <v>3.3E-3</v>
      </c>
      <c r="N110" s="231">
        <v>4619.5</v>
      </c>
      <c r="O110" s="231">
        <v>4606.6000000000004</v>
      </c>
      <c r="P110" s="228">
        <v>12.9</v>
      </c>
      <c r="Q110" s="229">
        <v>2.8E-3</v>
      </c>
      <c r="R110" s="231">
        <v>4563.3999999999996</v>
      </c>
      <c r="S110" s="231">
        <v>4547.2</v>
      </c>
      <c r="T110" s="228">
        <v>16.2</v>
      </c>
      <c r="U110" s="229">
        <v>3.5999999999999999E-3</v>
      </c>
      <c r="V110" s="231">
        <v>4555.8</v>
      </c>
      <c r="W110" s="231">
        <v>4495</v>
      </c>
      <c r="X110" s="228">
        <v>60.8</v>
      </c>
      <c r="Y110" s="229">
        <v>1.35E-2</v>
      </c>
      <c r="Z110" s="228">
        <v>13.6</v>
      </c>
      <c r="AA110" s="228">
        <v>16</v>
      </c>
      <c r="AB110" s="228">
        <v>-2.4</v>
      </c>
      <c r="AC110" s="229">
        <v>3.0000000000000001E-3</v>
      </c>
      <c r="AD110" s="228">
        <v>13.6</v>
      </c>
      <c r="AE110" s="228">
        <v>16</v>
      </c>
      <c r="AF110" s="228">
        <v>-2.4</v>
      </c>
      <c r="AG110" s="229">
        <v>3.0000000000000001E-3</v>
      </c>
      <c r="AH110" s="228">
        <v>-42.5</v>
      </c>
      <c r="AI110" s="228">
        <v>-43.4</v>
      </c>
      <c r="AJ110" s="228">
        <v>0.9</v>
      </c>
      <c r="AK110" s="229">
        <v>-9.1999999999999998E-3</v>
      </c>
      <c r="AL110" s="228">
        <v>-50.1</v>
      </c>
      <c r="AM110" s="228">
        <v>-95.6</v>
      </c>
      <c r="AN110" s="228">
        <v>45.5</v>
      </c>
      <c r="AO110" s="229">
        <v>-1.09E-2</v>
      </c>
      <c r="AP110" s="231">
        <v>4635.78</v>
      </c>
      <c r="AQ110" s="231">
        <v>4572.58</v>
      </c>
      <c r="AR110" s="228">
        <v>0</v>
      </c>
      <c r="AS110" s="228">
        <v>206</v>
      </c>
      <c r="AT110" s="228">
        <v>135</v>
      </c>
      <c r="AU110" s="228">
        <v>71</v>
      </c>
      <c r="AV110" s="229">
        <v>0.52400000000000002</v>
      </c>
      <c r="AW110" s="228">
        <v>187</v>
      </c>
      <c r="AX110" s="228">
        <v>119</v>
      </c>
      <c r="AY110" s="228">
        <v>69</v>
      </c>
      <c r="AZ110" s="229">
        <v>0.57689999999999997</v>
      </c>
      <c r="BA110" s="228">
        <v>18</v>
      </c>
      <c r="BB110" s="228">
        <v>15</v>
      </c>
      <c r="BC110" s="228">
        <v>2</v>
      </c>
      <c r="BD110" s="229">
        <v>0.14660000000000001</v>
      </c>
      <c r="BE110" s="228">
        <v>1</v>
      </c>
      <c r="BF110" s="228">
        <v>1</v>
      </c>
      <c r="BG110" s="228">
        <v>0</v>
      </c>
      <c r="BH110" s="229">
        <v>-0.1111</v>
      </c>
      <c r="BI110" s="228">
        <v>358</v>
      </c>
      <c r="BJ110" s="228">
        <v>638</v>
      </c>
      <c r="BK110" s="228">
        <v>-280</v>
      </c>
      <c r="BL110" s="229">
        <v>-0.43830000000000002</v>
      </c>
      <c r="BM110" s="228">
        <v>146</v>
      </c>
      <c r="BN110" s="228">
        <v>150</v>
      </c>
      <c r="BO110" s="228">
        <v>-5</v>
      </c>
      <c r="BP110" s="229">
        <v>-3.1199999999999999E-2</v>
      </c>
      <c r="BQ110" s="228">
        <v>710</v>
      </c>
      <c r="BR110" s="228">
        <v>923</v>
      </c>
      <c r="BS110" s="228">
        <v>-214</v>
      </c>
      <c r="BT110" s="229">
        <v>-0.23130000000000001</v>
      </c>
      <c r="BU110" s="230">
        <v>178429</v>
      </c>
      <c r="BV110" s="230">
        <v>151018</v>
      </c>
      <c r="BW110" s="230">
        <v>27411</v>
      </c>
      <c r="BX110" s="229">
        <v>0.18149999999999999</v>
      </c>
      <c r="BY110" s="228">
        <v>863</v>
      </c>
      <c r="BZ110" s="228">
        <v>843</v>
      </c>
      <c r="CA110" s="228">
        <v>20</v>
      </c>
      <c r="CB110" s="229">
        <v>2.3699999999999999E-2</v>
      </c>
      <c r="CC110" s="228">
        <v>753</v>
      </c>
      <c r="CD110" s="228">
        <v>739</v>
      </c>
      <c r="CE110" s="228">
        <v>14</v>
      </c>
      <c r="CF110" s="229">
        <v>1.8599999999999998E-2</v>
      </c>
      <c r="CG110" s="228">
        <v>108</v>
      </c>
      <c r="CH110" s="228">
        <v>102</v>
      </c>
      <c r="CI110" s="228">
        <v>6</v>
      </c>
      <c r="CJ110" s="229">
        <v>5.8500000000000003E-2</v>
      </c>
      <c r="CK110" s="228">
        <v>2</v>
      </c>
      <c r="CL110" s="228">
        <v>2</v>
      </c>
      <c r="CM110" s="228">
        <v>0</v>
      </c>
      <c r="CN110" s="229">
        <v>0.13039999999999999</v>
      </c>
      <c r="CO110" s="228">
        <v>268</v>
      </c>
      <c r="CP110" s="228">
        <v>280</v>
      </c>
      <c r="CQ110" s="228">
        <v>-12</v>
      </c>
      <c r="CR110" s="229">
        <v>-4.19E-2</v>
      </c>
      <c r="CS110" s="228">
        <v>253</v>
      </c>
      <c r="CT110" s="228">
        <v>250</v>
      </c>
      <c r="CU110" s="228">
        <v>3</v>
      </c>
      <c r="CV110" s="229">
        <v>1.3899999999999999E-2</v>
      </c>
      <c r="CW110" s="230">
        <v>1385</v>
      </c>
      <c r="CX110" s="230">
        <v>1373</v>
      </c>
      <c r="CY110" s="228">
        <v>12</v>
      </c>
      <c r="CZ110" s="229">
        <v>8.5000000000000006E-3</v>
      </c>
      <c r="DA110" s="228">
        <v>31.67</v>
      </c>
      <c r="DB110" s="228">
        <v>34.299999999999997</v>
      </c>
      <c r="DC110" s="228">
        <v>-2.63</v>
      </c>
      <c r="DD110" s="228">
        <v>-2.63</v>
      </c>
      <c r="DE110" s="228">
        <v>45.57</v>
      </c>
      <c r="DF110" s="228">
        <v>45.68</v>
      </c>
      <c r="DG110" s="228">
        <v>-13.9</v>
      </c>
      <c r="DH110" s="228">
        <v>-0.11</v>
      </c>
      <c r="DI110" s="228">
        <v>31.38</v>
      </c>
      <c r="DJ110" s="228">
        <v>34.08</v>
      </c>
      <c r="DK110" s="228">
        <v>-2.7</v>
      </c>
      <c r="DL110" s="228">
        <v>-2.7</v>
      </c>
      <c r="DM110" s="228">
        <v>32.380000000000003</v>
      </c>
      <c r="DN110" s="228">
        <v>35.25</v>
      </c>
      <c r="DO110" s="228">
        <v>-2.87</v>
      </c>
      <c r="DP110" s="228">
        <v>-2.87</v>
      </c>
      <c r="DQ110" s="228">
        <v>0.95</v>
      </c>
      <c r="DR110" s="228">
        <v>0.89</v>
      </c>
      <c r="DS110" s="228">
        <v>0.06</v>
      </c>
      <c r="DT110" s="229">
        <v>6.7400000000000002E-2</v>
      </c>
      <c r="DU110" s="231">
        <v>5000</v>
      </c>
      <c r="DV110" s="231">
        <v>3800</v>
      </c>
      <c r="DW110" s="228">
        <v>0.41</v>
      </c>
      <c r="DX110" s="228">
        <v>0.24</v>
      </c>
      <c r="DY110" s="228">
        <v>0.17</v>
      </c>
      <c r="DZ110" s="229">
        <v>0.70830000000000004</v>
      </c>
      <c r="EA110" s="229">
        <v>0.12790000000000001</v>
      </c>
      <c r="EB110" s="230">
        <v>225575</v>
      </c>
      <c r="EC110" s="229">
        <v>-1.21E-2</v>
      </c>
      <c r="ED110" s="229">
        <v>0.12790000000000001</v>
      </c>
      <c r="EE110" s="228">
        <v>-63.2</v>
      </c>
      <c r="EF110" s="229">
        <v>-1.3599999999999999E-2</v>
      </c>
      <c r="EG110" s="230">
        <v>94473</v>
      </c>
      <c r="EH110" s="230">
        <v>76696</v>
      </c>
      <c r="EI110" s="229">
        <v>0.23180000000000001</v>
      </c>
      <c r="EJ110" s="229">
        <v>0.52949999999999997</v>
      </c>
      <c r="EK110" s="228">
        <v>369.97</v>
      </c>
      <c r="EL110" s="228">
        <v>142.62</v>
      </c>
      <c r="EM110" s="228">
        <v>206.21</v>
      </c>
      <c r="EN110" s="228">
        <v>25.43</v>
      </c>
      <c r="EO110" s="228">
        <v>718.81</v>
      </c>
      <c r="EP110" s="228">
        <v>934.35</v>
      </c>
      <c r="EQ110" s="228">
        <v>-215.54</v>
      </c>
      <c r="ER110" s="229">
        <v>-0.23069999999999999</v>
      </c>
      <c r="ES110" s="228">
        <v>262.87</v>
      </c>
      <c r="ET110" s="228">
        <v>223.29</v>
      </c>
      <c r="EU110" s="228">
        <v>862.04</v>
      </c>
      <c r="EV110" s="231">
        <v>8553821</v>
      </c>
      <c r="EW110" s="231">
        <v>1348.2</v>
      </c>
      <c r="EX110" s="231">
        <v>1333.17</v>
      </c>
      <c r="EY110" s="228">
        <v>15.03</v>
      </c>
      <c r="EZ110" s="229">
        <v>1.1299999999999999E-2</v>
      </c>
      <c r="FA110" s="229">
        <v>0.35049999999999998</v>
      </c>
      <c r="FB110" s="227" t="s">
        <v>555</v>
      </c>
      <c r="FC110">
        <f t="shared" si="1"/>
        <v>110</v>
      </c>
    </row>
    <row r="111" spans="1:159" ht="17.25" hidden="1" thickBot="1" x14ac:dyDescent="0.3">
      <c r="A111" s="226">
        <v>46064</v>
      </c>
      <c r="B111" s="227" t="s">
        <v>175</v>
      </c>
      <c r="C111" s="227" t="s">
        <v>682</v>
      </c>
      <c r="D111" s="228">
        <v>500</v>
      </c>
      <c r="E111" s="228">
        <v>13</v>
      </c>
      <c r="F111" s="231">
        <v>1019.4</v>
      </c>
      <c r="G111" s="231">
        <v>1026.0999999999999</v>
      </c>
      <c r="H111" s="228">
        <v>-6.7</v>
      </c>
      <c r="I111" s="229">
        <v>-6.4999999999999997E-3</v>
      </c>
      <c r="J111" s="231">
        <v>1022.5</v>
      </c>
      <c r="K111" s="231">
        <v>1022.4</v>
      </c>
      <c r="L111" s="228">
        <v>0.1</v>
      </c>
      <c r="M111" s="229">
        <v>1E-4</v>
      </c>
      <c r="N111" s="231">
        <v>1019.4</v>
      </c>
      <c r="O111" s="231">
        <v>1026.0999999999999</v>
      </c>
      <c r="P111" s="228">
        <v>-6.7</v>
      </c>
      <c r="Q111" s="229">
        <v>-6.4999999999999997E-3</v>
      </c>
      <c r="R111" s="228">
        <v>994</v>
      </c>
      <c r="S111" s="231">
        <v>1005.9</v>
      </c>
      <c r="T111" s="228">
        <v>-11.9</v>
      </c>
      <c r="U111" s="229">
        <v>-1.18E-2</v>
      </c>
      <c r="V111" s="228">
        <v>980.8</v>
      </c>
      <c r="W111" s="231">
        <v>1003.4</v>
      </c>
      <c r="X111" s="228">
        <v>-22.6</v>
      </c>
      <c r="Y111" s="229">
        <v>-2.2499999999999999E-2</v>
      </c>
      <c r="Z111" s="228">
        <v>-3.1</v>
      </c>
      <c r="AA111" s="228">
        <v>3.7</v>
      </c>
      <c r="AB111" s="228">
        <v>-6.8</v>
      </c>
      <c r="AC111" s="229">
        <v>-3.0000000000000001E-3</v>
      </c>
      <c r="AD111" s="228">
        <v>-3.1</v>
      </c>
      <c r="AE111" s="228">
        <v>3.7</v>
      </c>
      <c r="AF111" s="228">
        <v>-6.8</v>
      </c>
      <c r="AG111" s="229">
        <v>-3.0000000000000001E-3</v>
      </c>
      <c r="AH111" s="228">
        <v>-28.5</v>
      </c>
      <c r="AI111" s="228">
        <v>-16.5</v>
      </c>
      <c r="AJ111" s="228">
        <v>-12</v>
      </c>
      <c r="AK111" s="229">
        <v>-2.7900000000000001E-2</v>
      </c>
      <c r="AL111" s="228">
        <v>-41.7</v>
      </c>
      <c r="AM111" s="228">
        <v>-19</v>
      </c>
      <c r="AN111" s="228">
        <v>-22.7</v>
      </c>
      <c r="AO111" s="229">
        <v>-4.0800000000000003E-2</v>
      </c>
      <c r="AP111" s="231">
        <v>1019.76</v>
      </c>
      <c r="AQ111" s="228">
        <v>994.79</v>
      </c>
      <c r="AR111" s="228">
        <v>0</v>
      </c>
      <c r="AS111" s="228">
        <v>105</v>
      </c>
      <c r="AT111" s="228">
        <v>308</v>
      </c>
      <c r="AU111" s="228">
        <v>-202</v>
      </c>
      <c r="AV111" s="229">
        <v>-0.65780000000000005</v>
      </c>
      <c r="AW111" s="228">
        <v>72</v>
      </c>
      <c r="AX111" s="228">
        <v>228</v>
      </c>
      <c r="AY111" s="228">
        <v>-156</v>
      </c>
      <c r="AZ111" s="229">
        <v>-0.68289999999999995</v>
      </c>
      <c r="BA111" s="228">
        <v>31</v>
      </c>
      <c r="BB111" s="228">
        <v>77</v>
      </c>
      <c r="BC111" s="228">
        <v>-46</v>
      </c>
      <c r="BD111" s="229">
        <v>-0.59589999999999999</v>
      </c>
      <c r="BE111" s="228">
        <v>2</v>
      </c>
      <c r="BF111" s="228">
        <v>3</v>
      </c>
      <c r="BG111" s="228">
        <v>-1</v>
      </c>
      <c r="BH111" s="229">
        <v>-0.30909999999999999</v>
      </c>
      <c r="BI111" s="228">
        <v>121</v>
      </c>
      <c r="BJ111" s="228">
        <v>978</v>
      </c>
      <c r="BK111" s="228">
        <v>-857</v>
      </c>
      <c r="BL111" s="229">
        <v>-0.87619999999999998</v>
      </c>
      <c r="BM111" s="228">
        <v>47</v>
      </c>
      <c r="BN111" s="228">
        <v>339</v>
      </c>
      <c r="BO111" s="228">
        <v>-293</v>
      </c>
      <c r="BP111" s="229">
        <v>-0.86260000000000003</v>
      </c>
      <c r="BQ111" s="228">
        <v>273</v>
      </c>
      <c r="BR111" s="230">
        <v>1625</v>
      </c>
      <c r="BS111" s="230">
        <v>-1352</v>
      </c>
      <c r="BT111" s="229">
        <v>-0.83199999999999996</v>
      </c>
      <c r="BU111" s="230">
        <v>494998</v>
      </c>
      <c r="BV111" s="230">
        <v>1449147</v>
      </c>
      <c r="BW111" s="230">
        <v>-954149</v>
      </c>
      <c r="BX111" s="229">
        <v>-0.65839999999999999</v>
      </c>
      <c r="BY111" s="228">
        <v>650</v>
      </c>
      <c r="BZ111" s="228">
        <v>621</v>
      </c>
      <c r="CA111" s="228">
        <v>29</v>
      </c>
      <c r="CB111" s="229">
        <v>4.6300000000000001E-2</v>
      </c>
      <c r="CC111" s="228">
        <v>496</v>
      </c>
      <c r="CD111" s="228">
        <v>480</v>
      </c>
      <c r="CE111" s="228">
        <v>16</v>
      </c>
      <c r="CF111" s="229">
        <v>3.2899999999999999E-2</v>
      </c>
      <c r="CG111" s="228">
        <v>147</v>
      </c>
      <c r="CH111" s="228">
        <v>136</v>
      </c>
      <c r="CI111" s="228">
        <v>12</v>
      </c>
      <c r="CJ111" s="229">
        <v>8.5400000000000004E-2</v>
      </c>
      <c r="CK111" s="228">
        <v>7</v>
      </c>
      <c r="CL111" s="228">
        <v>6</v>
      </c>
      <c r="CM111" s="228">
        <v>1</v>
      </c>
      <c r="CN111" s="229">
        <v>0.2389</v>
      </c>
      <c r="CO111" s="228">
        <v>148</v>
      </c>
      <c r="CP111" s="228">
        <v>134</v>
      </c>
      <c r="CQ111" s="228">
        <v>14</v>
      </c>
      <c r="CR111" s="229">
        <v>0.1053</v>
      </c>
      <c r="CS111" s="228">
        <v>112</v>
      </c>
      <c r="CT111" s="228">
        <v>101</v>
      </c>
      <c r="CU111" s="228">
        <v>11</v>
      </c>
      <c r="CV111" s="229">
        <v>0.1062</v>
      </c>
      <c r="CW111" s="228">
        <v>910</v>
      </c>
      <c r="CX111" s="228">
        <v>856</v>
      </c>
      <c r="CY111" s="228">
        <v>54</v>
      </c>
      <c r="CZ111" s="229">
        <v>6.2600000000000003E-2</v>
      </c>
      <c r="DA111" s="228">
        <v>50.26</v>
      </c>
      <c r="DB111" s="228">
        <v>48.9</v>
      </c>
      <c r="DC111" s="228">
        <v>1.36</v>
      </c>
      <c r="DD111" s="228">
        <v>1.36</v>
      </c>
      <c r="DE111" s="228">
        <v>50.43</v>
      </c>
      <c r="DF111" s="228">
        <v>50.55</v>
      </c>
      <c r="DG111" s="228">
        <v>-0.17</v>
      </c>
      <c r="DH111" s="228">
        <v>-0.12</v>
      </c>
      <c r="DI111" s="228">
        <v>50.24</v>
      </c>
      <c r="DJ111" s="228">
        <v>48.84</v>
      </c>
      <c r="DK111" s="228">
        <v>1.4</v>
      </c>
      <c r="DL111" s="228">
        <v>1.4</v>
      </c>
      <c r="DM111" s="228">
        <v>50.32</v>
      </c>
      <c r="DN111" s="228">
        <v>49.08</v>
      </c>
      <c r="DO111" s="228">
        <v>1.24</v>
      </c>
      <c r="DP111" s="228">
        <v>1.24</v>
      </c>
      <c r="DQ111" s="228">
        <v>0.76</v>
      </c>
      <c r="DR111" s="228">
        <v>0.76</v>
      </c>
      <c r="DS111" s="228">
        <v>0</v>
      </c>
      <c r="DT111" s="229">
        <v>0</v>
      </c>
      <c r="DU111" s="231">
        <v>1040</v>
      </c>
      <c r="DV111" s="228">
        <v>960</v>
      </c>
      <c r="DW111" s="228">
        <v>0.39</v>
      </c>
      <c r="DX111" s="228">
        <v>0.35</v>
      </c>
      <c r="DY111" s="228">
        <v>0.04</v>
      </c>
      <c r="DZ111" s="229">
        <v>0.1143</v>
      </c>
      <c r="EA111" s="229">
        <v>0.23730000000000001</v>
      </c>
      <c r="EB111" s="230">
        <v>1386000</v>
      </c>
      <c r="EC111" s="229">
        <v>-2.4899999999999999E-2</v>
      </c>
      <c r="ED111" s="229">
        <v>0.23730000000000001</v>
      </c>
      <c r="EE111" s="228">
        <v>-24.97</v>
      </c>
      <c r="EF111" s="229">
        <v>-2.4500000000000001E-2</v>
      </c>
      <c r="EG111" s="230">
        <v>207210</v>
      </c>
      <c r="EH111" s="230">
        <v>238892</v>
      </c>
      <c r="EI111" s="229">
        <v>-0.1326</v>
      </c>
      <c r="EJ111" s="229">
        <v>0.41860000000000003</v>
      </c>
      <c r="EK111" s="228">
        <v>132.06</v>
      </c>
      <c r="EL111" s="228">
        <v>46.46</v>
      </c>
      <c r="EM111" s="228">
        <v>104.51</v>
      </c>
      <c r="EN111" s="228">
        <v>36.75</v>
      </c>
      <c r="EO111" s="228">
        <v>283.04000000000002</v>
      </c>
      <c r="EP111" s="231">
        <v>1681.67</v>
      </c>
      <c r="EQ111" s="231">
        <v>-1398.63</v>
      </c>
      <c r="ER111" s="229">
        <v>-0.83169999999999999</v>
      </c>
      <c r="ES111" s="228">
        <v>153.97999999999999</v>
      </c>
      <c r="ET111" s="228">
        <v>108.99</v>
      </c>
      <c r="EU111" s="228">
        <v>646.03</v>
      </c>
      <c r="EV111" s="231">
        <v>19924232</v>
      </c>
      <c r="EW111" s="228">
        <v>909</v>
      </c>
      <c r="EX111" s="228">
        <v>859.26</v>
      </c>
      <c r="EY111" s="228">
        <v>49.74</v>
      </c>
      <c r="EZ111" s="229">
        <v>5.79E-2</v>
      </c>
      <c r="FA111" s="229">
        <v>0.44790000000000002</v>
      </c>
      <c r="FB111" s="227" t="s">
        <v>567</v>
      </c>
      <c r="FC111">
        <f t="shared" si="1"/>
        <v>154</v>
      </c>
    </row>
    <row r="112" spans="1:159" ht="17.25" hidden="1" thickBot="1" x14ac:dyDescent="0.3">
      <c r="A112" s="226">
        <v>46064</v>
      </c>
      <c r="B112" s="227" t="s">
        <v>172</v>
      </c>
      <c r="C112" s="227" t="s">
        <v>246</v>
      </c>
      <c r="D112" s="228">
        <v>2000</v>
      </c>
      <c r="E112" s="228">
        <v>13</v>
      </c>
      <c r="F112" s="228">
        <v>429.9</v>
      </c>
      <c r="G112" s="228">
        <v>429.8</v>
      </c>
      <c r="H112" s="228">
        <v>0.1</v>
      </c>
      <c r="I112" s="229">
        <v>2.0000000000000001E-4</v>
      </c>
      <c r="J112" s="228">
        <v>429.55</v>
      </c>
      <c r="K112" s="228">
        <v>429.3</v>
      </c>
      <c r="L112" s="228">
        <v>0.25</v>
      </c>
      <c r="M112" s="229">
        <v>5.9999999999999995E-4</v>
      </c>
      <c r="N112" s="228">
        <v>429.9</v>
      </c>
      <c r="O112" s="228">
        <v>429.8</v>
      </c>
      <c r="P112" s="228">
        <v>0.1</v>
      </c>
      <c r="Q112" s="229">
        <v>2.0000000000000001E-4</v>
      </c>
      <c r="R112" s="228">
        <v>432.6</v>
      </c>
      <c r="S112" s="228">
        <v>432.35</v>
      </c>
      <c r="T112" s="228">
        <v>0.25</v>
      </c>
      <c r="U112" s="229">
        <v>5.9999999999999995E-4</v>
      </c>
      <c r="V112" s="228">
        <v>435.9</v>
      </c>
      <c r="W112" s="228">
        <v>435</v>
      </c>
      <c r="X112" s="228">
        <v>0.9</v>
      </c>
      <c r="Y112" s="229">
        <v>2.0999999999999999E-3</v>
      </c>
      <c r="Z112" s="228">
        <v>0.35</v>
      </c>
      <c r="AA112" s="228">
        <v>0.5</v>
      </c>
      <c r="AB112" s="228">
        <v>-0.15</v>
      </c>
      <c r="AC112" s="229">
        <v>8.0000000000000004E-4</v>
      </c>
      <c r="AD112" s="228">
        <v>0.35</v>
      </c>
      <c r="AE112" s="228">
        <v>0.5</v>
      </c>
      <c r="AF112" s="228">
        <v>-0.15</v>
      </c>
      <c r="AG112" s="229">
        <v>8.0000000000000004E-4</v>
      </c>
      <c r="AH112" s="228">
        <v>3.05</v>
      </c>
      <c r="AI112" s="228">
        <v>3.05</v>
      </c>
      <c r="AJ112" s="228">
        <v>0</v>
      </c>
      <c r="AK112" s="229">
        <v>7.1000000000000004E-3</v>
      </c>
      <c r="AL112" s="228">
        <v>6.35</v>
      </c>
      <c r="AM112" s="228">
        <v>5.7</v>
      </c>
      <c r="AN112" s="228">
        <v>0.65</v>
      </c>
      <c r="AO112" s="229">
        <v>1.4800000000000001E-2</v>
      </c>
      <c r="AP112" s="228">
        <v>429.77</v>
      </c>
      <c r="AQ112" s="228">
        <v>432.52</v>
      </c>
      <c r="AR112" s="228">
        <v>0</v>
      </c>
      <c r="AS112" s="228">
        <v>522</v>
      </c>
      <c r="AT112" s="228">
        <v>577</v>
      </c>
      <c r="AU112" s="228">
        <v>-55</v>
      </c>
      <c r="AV112" s="229">
        <v>-9.6000000000000002E-2</v>
      </c>
      <c r="AW112" s="228">
        <v>500</v>
      </c>
      <c r="AX112" s="228">
        <v>533</v>
      </c>
      <c r="AY112" s="228">
        <v>-34</v>
      </c>
      <c r="AZ112" s="229">
        <v>-6.3200000000000006E-2</v>
      </c>
      <c r="BA112" s="228">
        <v>20</v>
      </c>
      <c r="BB112" s="228">
        <v>38</v>
      </c>
      <c r="BC112" s="228">
        <v>-18</v>
      </c>
      <c r="BD112" s="229">
        <v>-0.46610000000000001</v>
      </c>
      <c r="BE112" s="228">
        <v>2</v>
      </c>
      <c r="BF112" s="228">
        <v>6</v>
      </c>
      <c r="BG112" s="228">
        <v>-4</v>
      </c>
      <c r="BH112" s="229">
        <v>-0.69699999999999995</v>
      </c>
      <c r="BI112" s="230">
        <v>1000</v>
      </c>
      <c r="BJ112" s="230">
        <v>1621</v>
      </c>
      <c r="BK112" s="228">
        <v>-621</v>
      </c>
      <c r="BL112" s="229">
        <v>-0.3831</v>
      </c>
      <c r="BM112" s="228">
        <v>741</v>
      </c>
      <c r="BN112" s="230">
        <v>1156</v>
      </c>
      <c r="BO112" s="228">
        <v>-415</v>
      </c>
      <c r="BP112" s="229">
        <v>-0.35859999999999997</v>
      </c>
      <c r="BQ112" s="230">
        <v>2263</v>
      </c>
      <c r="BR112" s="230">
        <v>3354</v>
      </c>
      <c r="BS112" s="230">
        <v>-1091</v>
      </c>
      <c r="BT112" s="229">
        <v>-0.32529999999999998</v>
      </c>
      <c r="BU112" s="230">
        <v>13182259</v>
      </c>
      <c r="BV112" s="230">
        <v>21204089</v>
      </c>
      <c r="BW112" s="230">
        <v>-8021830</v>
      </c>
      <c r="BX112" s="229">
        <v>-0.37830000000000003</v>
      </c>
      <c r="BY112" s="230">
        <v>8679</v>
      </c>
      <c r="BZ112" s="230">
        <v>8810</v>
      </c>
      <c r="CA112" s="228">
        <v>-131</v>
      </c>
      <c r="CB112" s="229">
        <v>-1.49E-2</v>
      </c>
      <c r="CC112" s="230">
        <v>8004</v>
      </c>
      <c r="CD112" s="230">
        <v>8139</v>
      </c>
      <c r="CE112" s="228">
        <v>-135</v>
      </c>
      <c r="CF112" s="229">
        <v>-1.66E-2</v>
      </c>
      <c r="CG112" s="228">
        <v>651</v>
      </c>
      <c r="CH112" s="228">
        <v>649</v>
      </c>
      <c r="CI112" s="228">
        <v>3</v>
      </c>
      <c r="CJ112" s="229">
        <v>4.1000000000000003E-3</v>
      </c>
      <c r="CK112" s="228">
        <v>24</v>
      </c>
      <c r="CL112" s="228">
        <v>23</v>
      </c>
      <c r="CM112" s="228">
        <v>1</v>
      </c>
      <c r="CN112" s="229">
        <v>3.73E-2</v>
      </c>
      <c r="CO112" s="230">
        <v>1594</v>
      </c>
      <c r="CP112" s="230">
        <v>1605</v>
      </c>
      <c r="CQ112" s="228">
        <v>-11</v>
      </c>
      <c r="CR112" s="229">
        <v>-7.1000000000000004E-3</v>
      </c>
      <c r="CS112" s="230">
        <v>1544</v>
      </c>
      <c r="CT112" s="230">
        <v>1581</v>
      </c>
      <c r="CU112" s="228">
        <v>-37</v>
      </c>
      <c r="CV112" s="229">
        <v>-2.3599999999999999E-2</v>
      </c>
      <c r="CW112" s="230">
        <v>11816</v>
      </c>
      <c r="CX112" s="230">
        <v>11996</v>
      </c>
      <c r="CY112" s="228">
        <v>-180</v>
      </c>
      <c r="CZ112" s="229">
        <v>-1.4999999999999999E-2</v>
      </c>
      <c r="DA112" s="228">
        <v>19.89</v>
      </c>
      <c r="DB112" s="228">
        <v>20.260000000000002</v>
      </c>
      <c r="DC112" s="228">
        <v>-0.37</v>
      </c>
      <c r="DD112" s="228">
        <v>-0.37</v>
      </c>
      <c r="DE112" s="228">
        <v>25.31</v>
      </c>
      <c r="DF112" s="228">
        <v>25.37</v>
      </c>
      <c r="DG112" s="228">
        <v>-5.42</v>
      </c>
      <c r="DH112" s="228">
        <v>-0.06</v>
      </c>
      <c r="DI112" s="228">
        <v>19.079999999999998</v>
      </c>
      <c r="DJ112" s="228">
        <v>19.93</v>
      </c>
      <c r="DK112" s="228">
        <v>-0.85</v>
      </c>
      <c r="DL112" s="228">
        <v>-0.85</v>
      </c>
      <c r="DM112" s="228">
        <v>20.99</v>
      </c>
      <c r="DN112" s="228">
        <v>20.71</v>
      </c>
      <c r="DO112" s="228">
        <v>0.28000000000000003</v>
      </c>
      <c r="DP112" s="228">
        <v>0.28000000000000003</v>
      </c>
      <c r="DQ112" s="228">
        <v>0.97</v>
      </c>
      <c r="DR112" s="228">
        <v>0.98</v>
      </c>
      <c r="DS112" s="228">
        <v>-0.01</v>
      </c>
      <c r="DT112" s="229">
        <v>-1.0200000000000001E-2</v>
      </c>
      <c r="DU112" s="228">
        <v>430</v>
      </c>
      <c r="DV112" s="228">
        <v>410</v>
      </c>
      <c r="DW112" s="228">
        <v>0.74</v>
      </c>
      <c r="DX112" s="228">
        <v>0.71</v>
      </c>
      <c r="DY112" s="228">
        <v>0.03</v>
      </c>
      <c r="DZ112" s="229">
        <v>4.2299999999999997E-2</v>
      </c>
      <c r="EA112" s="229">
        <v>7.7799999999999994E-2</v>
      </c>
      <c r="EB112" s="230">
        <v>15628000</v>
      </c>
      <c r="EC112" s="229">
        <v>6.3E-3</v>
      </c>
      <c r="ED112" s="229">
        <v>7.7799999999999994E-2</v>
      </c>
      <c r="EE112" s="228">
        <v>2.75</v>
      </c>
      <c r="EF112" s="229">
        <v>6.4000000000000003E-3</v>
      </c>
      <c r="EG112" s="230">
        <v>10146807</v>
      </c>
      <c r="EH112" s="230">
        <v>16844466</v>
      </c>
      <c r="EI112" s="229">
        <v>-0.39760000000000001</v>
      </c>
      <c r="EJ112" s="229">
        <v>0.76970000000000005</v>
      </c>
      <c r="EK112" s="231">
        <v>1023.8</v>
      </c>
      <c r="EL112" s="228">
        <v>731.78</v>
      </c>
      <c r="EM112" s="228">
        <v>521.63</v>
      </c>
      <c r="EN112" s="228">
        <v>132.15</v>
      </c>
      <c r="EO112" s="231">
        <v>2277.21</v>
      </c>
      <c r="EP112" s="231">
        <v>3388.36</v>
      </c>
      <c r="EQ112" s="231">
        <v>-1111.1500000000001</v>
      </c>
      <c r="ER112" s="229">
        <v>-0.32790000000000002</v>
      </c>
      <c r="ES112" s="231">
        <v>1608.94</v>
      </c>
      <c r="ET112" s="231">
        <v>1454.46</v>
      </c>
      <c r="EU112" s="231">
        <v>8683.42</v>
      </c>
      <c r="EV112" s="231">
        <v>781025350</v>
      </c>
      <c r="EW112" s="231">
        <v>11746.82</v>
      </c>
      <c r="EX112" s="231">
        <v>11922.13</v>
      </c>
      <c r="EY112" s="228">
        <v>-175.31</v>
      </c>
      <c r="EZ112" s="229">
        <v>-1.47E-2</v>
      </c>
      <c r="FA112" s="229">
        <v>0.35189999999999999</v>
      </c>
      <c r="FB112" s="227" t="s">
        <v>556</v>
      </c>
      <c r="FC112">
        <f t="shared" si="1"/>
        <v>675</v>
      </c>
    </row>
    <row r="113" spans="1:159" ht="17.25" hidden="1" thickBot="1" x14ac:dyDescent="0.3">
      <c r="A113" s="226">
        <v>46064</v>
      </c>
      <c r="B113" s="227" t="s">
        <v>221</v>
      </c>
      <c r="C113" s="227" t="s">
        <v>577</v>
      </c>
      <c r="D113" s="228">
        <v>425</v>
      </c>
      <c r="E113" s="228">
        <v>13</v>
      </c>
      <c r="F113" s="228">
        <v>962</v>
      </c>
      <c r="G113" s="228">
        <v>977</v>
      </c>
      <c r="H113" s="228">
        <v>-15</v>
      </c>
      <c r="I113" s="229">
        <v>-1.54E-2</v>
      </c>
      <c r="J113" s="228">
        <v>959.4</v>
      </c>
      <c r="K113" s="228">
        <v>973.6</v>
      </c>
      <c r="L113" s="228">
        <v>-14.2</v>
      </c>
      <c r="M113" s="229">
        <v>-1.46E-2</v>
      </c>
      <c r="N113" s="228">
        <v>962</v>
      </c>
      <c r="O113" s="228">
        <v>977</v>
      </c>
      <c r="P113" s="228">
        <v>-15</v>
      </c>
      <c r="Q113" s="229">
        <v>-1.54E-2</v>
      </c>
      <c r="R113" s="228">
        <v>960.9</v>
      </c>
      <c r="S113" s="228">
        <v>975.4</v>
      </c>
      <c r="T113" s="228">
        <v>-14.5</v>
      </c>
      <c r="U113" s="229">
        <v>-1.49E-2</v>
      </c>
      <c r="V113" s="228">
        <v>962.6</v>
      </c>
      <c r="W113" s="228">
        <v>979</v>
      </c>
      <c r="X113" s="228">
        <v>-16.399999999999999</v>
      </c>
      <c r="Y113" s="229">
        <v>-1.6799999999999999E-2</v>
      </c>
      <c r="Z113" s="228">
        <v>2.6</v>
      </c>
      <c r="AA113" s="228">
        <v>3.4</v>
      </c>
      <c r="AB113" s="228">
        <v>-0.8</v>
      </c>
      <c r="AC113" s="229">
        <v>2.7000000000000001E-3</v>
      </c>
      <c r="AD113" s="228">
        <v>2.6</v>
      </c>
      <c r="AE113" s="228">
        <v>3.4</v>
      </c>
      <c r="AF113" s="228">
        <v>-0.8</v>
      </c>
      <c r="AG113" s="229">
        <v>2.7000000000000001E-3</v>
      </c>
      <c r="AH113" s="228">
        <v>1.5</v>
      </c>
      <c r="AI113" s="228">
        <v>1.8</v>
      </c>
      <c r="AJ113" s="228">
        <v>-0.3</v>
      </c>
      <c r="AK113" s="229">
        <v>1.6000000000000001E-3</v>
      </c>
      <c r="AL113" s="228">
        <v>3.2</v>
      </c>
      <c r="AM113" s="228">
        <v>5.4</v>
      </c>
      <c r="AN113" s="228">
        <v>-2.2000000000000002</v>
      </c>
      <c r="AO113" s="229">
        <v>3.3E-3</v>
      </c>
      <c r="AP113" s="228">
        <v>967.38</v>
      </c>
      <c r="AQ113" s="228">
        <v>964.01</v>
      </c>
      <c r="AR113" s="228">
        <v>0</v>
      </c>
      <c r="AS113" s="228">
        <v>78</v>
      </c>
      <c r="AT113" s="228">
        <v>109</v>
      </c>
      <c r="AU113" s="228">
        <v>-31</v>
      </c>
      <c r="AV113" s="229">
        <v>-0.28689999999999999</v>
      </c>
      <c r="AW113" s="228">
        <v>67</v>
      </c>
      <c r="AX113" s="228">
        <v>95</v>
      </c>
      <c r="AY113" s="228">
        <v>-28</v>
      </c>
      <c r="AZ113" s="229">
        <v>-0.29520000000000002</v>
      </c>
      <c r="BA113" s="228">
        <v>9</v>
      </c>
      <c r="BB113" s="228">
        <v>12</v>
      </c>
      <c r="BC113" s="228">
        <v>-3</v>
      </c>
      <c r="BD113" s="229">
        <v>-0.25169999999999998</v>
      </c>
      <c r="BE113" s="228">
        <v>1</v>
      </c>
      <c r="BF113" s="228">
        <v>1</v>
      </c>
      <c r="BG113" s="228">
        <v>0</v>
      </c>
      <c r="BH113" s="229">
        <v>-2.86E-2</v>
      </c>
      <c r="BI113" s="228">
        <v>234</v>
      </c>
      <c r="BJ113" s="228">
        <v>643</v>
      </c>
      <c r="BK113" s="228">
        <v>-409</v>
      </c>
      <c r="BL113" s="229">
        <v>-0.63629999999999998</v>
      </c>
      <c r="BM113" s="228">
        <v>62</v>
      </c>
      <c r="BN113" s="228">
        <v>111</v>
      </c>
      <c r="BO113" s="228">
        <v>-49</v>
      </c>
      <c r="BP113" s="229">
        <v>-0.44169999999999998</v>
      </c>
      <c r="BQ113" s="228">
        <v>373</v>
      </c>
      <c r="BR113" s="228">
        <v>863</v>
      </c>
      <c r="BS113" s="228">
        <v>-489</v>
      </c>
      <c r="BT113" s="229">
        <v>-0.56730000000000003</v>
      </c>
      <c r="BU113" s="230">
        <v>668465</v>
      </c>
      <c r="BV113" s="230">
        <v>1115287</v>
      </c>
      <c r="BW113" s="230">
        <v>-446822</v>
      </c>
      <c r="BX113" s="229">
        <v>-0.40060000000000001</v>
      </c>
      <c r="BY113" s="228">
        <v>454</v>
      </c>
      <c r="BZ113" s="228">
        <v>441</v>
      </c>
      <c r="CA113" s="228">
        <v>13</v>
      </c>
      <c r="CB113" s="229">
        <v>3.0300000000000001E-2</v>
      </c>
      <c r="CC113" s="228">
        <v>389</v>
      </c>
      <c r="CD113" s="228">
        <v>381</v>
      </c>
      <c r="CE113" s="228">
        <v>9</v>
      </c>
      <c r="CF113" s="229">
        <v>2.3E-2</v>
      </c>
      <c r="CG113" s="228">
        <v>54</v>
      </c>
      <c r="CH113" s="228">
        <v>50</v>
      </c>
      <c r="CI113" s="228">
        <v>4</v>
      </c>
      <c r="CJ113" s="229">
        <v>7.6499999999999999E-2</v>
      </c>
      <c r="CK113" s="228">
        <v>11</v>
      </c>
      <c r="CL113" s="228">
        <v>10</v>
      </c>
      <c r="CM113" s="228">
        <v>1</v>
      </c>
      <c r="CN113" s="229">
        <v>7.5399999999999995E-2</v>
      </c>
      <c r="CO113" s="228">
        <v>562</v>
      </c>
      <c r="CP113" s="228">
        <v>553</v>
      </c>
      <c r="CQ113" s="228">
        <v>9</v>
      </c>
      <c r="CR113" s="229">
        <v>1.6899999999999998E-2</v>
      </c>
      <c r="CS113" s="228">
        <v>230</v>
      </c>
      <c r="CT113" s="228">
        <v>217</v>
      </c>
      <c r="CU113" s="228">
        <v>13</v>
      </c>
      <c r="CV113" s="229">
        <v>6.0600000000000001E-2</v>
      </c>
      <c r="CW113" s="230">
        <v>1247</v>
      </c>
      <c r="CX113" s="230">
        <v>1211</v>
      </c>
      <c r="CY113" s="228">
        <v>36</v>
      </c>
      <c r="CZ113" s="229">
        <v>2.9600000000000001E-2</v>
      </c>
      <c r="DA113" s="228">
        <v>41.81</v>
      </c>
      <c r="DB113" s="228">
        <v>39.590000000000003</v>
      </c>
      <c r="DC113" s="228">
        <v>2.2200000000000002</v>
      </c>
      <c r="DD113" s="228">
        <v>2.2200000000000002</v>
      </c>
      <c r="DE113" s="228">
        <v>42.52</v>
      </c>
      <c r="DF113" s="228">
        <v>42.58</v>
      </c>
      <c r="DG113" s="228">
        <v>-0.71</v>
      </c>
      <c r="DH113" s="228">
        <v>-0.06</v>
      </c>
      <c r="DI113" s="228">
        <v>42.45</v>
      </c>
      <c r="DJ113" s="228">
        <v>39.78</v>
      </c>
      <c r="DK113" s="228">
        <v>2.67</v>
      </c>
      <c r="DL113" s="228">
        <v>2.67</v>
      </c>
      <c r="DM113" s="228">
        <v>39.369999999999997</v>
      </c>
      <c r="DN113" s="228">
        <v>38.49</v>
      </c>
      <c r="DO113" s="228">
        <v>0.88</v>
      </c>
      <c r="DP113" s="228">
        <v>0.88</v>
      </c>
      <c r="DQ113" s="228">
        <v>0.41</v>
      </c>
      <c r="DR113" s="228">
        <v>0.39</v>
      </c>
      <c r="DS113" s="228">
        <v>0.02</v>
      </c>
      <c r="DT113" s="229">
        <v>5.1299999999999998E-2</v>
      </c>
      <c r="DU113" s="231">
        <v>1100</v>
      </c>
      <c r="DV113" s="231">
        <v>1000</v>
      </c>
      <c r="DW113" s="228">
        <v>0.26</v>
      </c>
      <c r="DX113" s="228">
        <v>0.17</v>
      </c>
      <c r="DY113" s="228">
        <v>0.09</v>
      </c>
      <c r="DZ113" s="229">
        <v>0.52939999999999998</v>
      </c>
      <c r="EA113" s="229">
        <v>0.1434</v>
      </c>
      <c r="EB113" s="230">
        <v>629425</v>
      </c>
      <c r="EC113" s="229">
        <v>-1.1000000000000001E-3</v>
      </c>
      <c r="ED113" s="229">
        <v>0.1434</v>
      </c>
      <c r="EE113" s="228">
        <v>-3.37</v>
      </c>
      <c r="EF113" s="229">
        <v>-3.5000000000000001E-3</v>
      </c>
      <c r="EG113" s="230">
        <v>334228</v>
      </c>
      <c r="EH113" s="230">
        <v>390673</v>
      </c>
      <c r="EI113" s="229">
        <v>-0.14449999999999999</v>
      </c>
      <c r="EJ113" s="229">
        <v>0.5</v>
      </c>
      <c r="EK113" s="228">
        <v>256.02999999999997</v>
      </c>
      <c r="EL113" s="228">
        <v>61.62</v>
      </c>
      <c r="EM113" s="228">
        <v>77.92</v>
      </c>
      <c r="EN113" s="228">
        <v>29.34</v>
      </c>
      <c r="EO113" s="228">
        <v>395.57</v>
      </c>
      <c r="EP113" s="228">
        <v>924.91</v>
      </c>
      <c r="EQ113" s="228">
        <v>-529.34</v>
      </c>
      <c r="ER113" s="229">
        <v>-0.57230000000000003</v>
      </c>
      <c r="ES113" s="228">
        <v>628.79999999999995</v>
      </c>
      <c r="ET113" s="228">
        <v>242.27</v>
      </c>
      <c r="EU113" s="228">
        <v>454.38</v>
      </c>
      <c r="EV113" s="231">
        <v>24589408</v>
      </c>
      <c r="EW113" s="231">
        <v>1325.44</v>
      </c>
      <c r="EX113" s="231">
        <v>1296.93</v>
      </c>
      <c r="EY113" s="228">
        <v>28.51</v>
      </c>
      <c r="EZ113" s="229">
        <v>2.1999999999999999E-2</v>
      </c>
      <c r="FA113" s="229">
        <v>0.5272</v>
      </c>
      <c r="FB113" s="227" t="s">
        <v>567</v>
      </c>
      <c r="FC113">
        <f t="shared" si="1"/>
        <v>65</v>
      </c>
    </row>
    <row r="114" spans="1:159" ht="17.25" hidden="1" thickBot="1" x14ac:dyDescent="0.3">
      <c r="A114" s="226">
        <v>46064</v>
      </c>
      <c r="B114" s="227" t="s">
        <v>170</v>
      </c>
      <c r="C114" s="227" t="s">
        <v>535</v>
      </c>
      <c r="D114" s="228">
        <v>850</v>
      </c>
      <c r="E114" s="228">
        <v>13</v>
      </c>
      <c r="F114" s="231">
        <v>1015.6</v>
      </c>
      <c r="G114" s="228">
        <v>969.65</v>
      </c>
      <c r="H114" s="228">
        <v>45.95</v>
      </c>
      <c r="I114" s="229">
        <v>4.7399999999999998E-2</v>
      </c>
      <c r="J114" s="231">
        <v>1013.65</v>
      </c>
      <c r="K114" s="228">
        <v>966.35</v>
      </c>
      <c r="L114" s="228">
        <v>47.3</v>
      </c>
      <c r="M114" s="229">
        <v>4.8899999999999999E-2</v>
      </c>
      <c r="N114" s="231">
        <v>1015.6</v>
      </c>
      <c r="O114" s="228">
        <v>969.65</v>
      </c>
      <c r="P114" s="228">
        <v>45.95</v>
      </c>
      <c r="Q114" s="229">
        <v>4.7399999999999998E-2</v>
      </c>
      <c r="R114" s="231">
        <v>1022.25</v>
      </c>
      <c r="S114" s="228">
        <v>975.6</v>
      </c>
      <c r="T114" s="228">
        <v>46.65</v>
      </c>
      <c r="U114" s="229">
        <v>4.7800000000000002E-2</v>
      </c>
      <c r="V114" s="231">
        <v>1027.95</v>
      </c>
      <c r="W114" s="228">
        <v>981.55</v>
      </c>
      <c r="X114" s="228">
        <v>46.4</v>
      </c>
      <c r="Y114" s="229">
        <v>4.7300000000000002E-2</v>
      </c>
      <c r="Z114" s="228">
        <v>1.95</v>
      </c>
      <c r="AA114" s="228">
        <v>3.3</v>
      </c>
      <c r="AB114" s="228">
        <v>-1.35</v>
      </c>
      <c r="AC114" s="229">
        <v>1.9E-3</v>
      </c>
      <c r="AD114" s="228">
        <v>1.95</v>
      </c>
      <c r="AE114" s="228">
        <v>3.3</v>
      </c>
      <c r="AF114" s="228">
        <v>-1.35</v>
      </c>
      <c r="AG114" s="229">
        <v>1.9E-3</v>
      </c>
      <c r="AH114" s="228">
        <v>8.6</v>
      </c>
      <c r="AI114" s="228">
        <v>9.25</v>
      </c>
      <c r="AJ114" s="228">
        <v>-0.65</v>
      </c>
      <c r="AK114" s="229">
        <v>8.5000000000000006E-3</v>
      </c>
      <c r="AL114" s="228">
        <v>14.3</v>
      </c>
      <c r="AM114" s="228">
        <v>15.2</v>
      </c>
      <c r="AN114" s="228">
        <v>-0.9</v>
      </c>
      <c r="AO114" s="229">
        <v>1.41E-2</v>
      </c>
      <c r="AP114" s="228">
        <v>999.05</v>
      </c>
      <c r="AQ114" s="231">
        <v>1004.96</v>
      </c>
      <c r="AR114" s="228">
        <v>0</v>
      </c>
      <c r="AS114" s="228">
        <v>545</v>
      </c>
      <c r="AT114" s="228">
        <v>201</v>
      </c>
      <c r="AU114" s="228">
        <v>343</v>
      </c>
      <c r="AV114" s="229">
        <v>1.7043999999999999</v>
      </c>
      <c r="AW114" s="228">
        <v>464</v>
      </c>
      <c r="AX114" s="228">
        <v>172</v>
      </c>
      <c r="AY114" s="228">
        <v>292</v>
      </c>
      <c r="AZ114" s="229">
        <v>1.7027000000000001</v>
      </c>
      <c r="BA114" s="228">
        <v>74</v>
      </c>
      <c r="BB114" s="228">
        <v>28</v>
      </c>
      <c r="BC114" s="228">
        <v>46</v>
      </c>
      <c r="BD114" s="229">
        <v>1.6584000000000001</v>
      </c>
      <c r="BE114" s="228">
        <v>7</v>
      </c>
      <c r="BF114" s="228">
        <v>2</v>
      </c>
      <c r="BG114" s="228">
        <v>5</v>
      </c>
      <c r="BH114" s="229">
        <v>2.4582999999999999</v>
      </c>
      <c r="BI114" s="230">
        <v>2881</v>
      </c>
      <c r="BJ114" s="228">
        <v>559</v>
      </c>
      <c r="BK114" s="230">
        <v>2323</v>
      </c>
      <c r="BL114" s="229">
        <v>4.1585999999999999</v>
      </c>
      <c r="BM114" s="228">
        <v>825</v>
      </c>
      <c r="BN114" s="228">
        <v>299</v>
      </c>
      <c r="BO114" s="228">
        <v>526</v>
      </c>
      <c r="BP114" s="229">
        <v>1.7592000000000001</v>
      </c>
      <c r="BQ114" s="230">
        <v>4251</v>
      </c>
      <c r="BR114" s="230">
        <v>1059</v>
      </c>
      <c r="BS114" s="230">
        <v>3192</v>
      </c>
      <c r="BT114" s="229">
        <v>3.0142000000000002</v>
      </c>
      <c r="BU114" s="230">
        <v>2335481</v>
      </c>
      <c r="BV114" s="230">
        <v>1222354</v>
      </c>
      <c r="BW114" s="230">
        <v>1113127</v>
      </c>
      <c r="BX114" s="229">
        <v>0.91059999999999997</v>
      </c>
      <c r="BY114" s="230">
        <v>2068</v>
      </c>
      <c r="BZ114" s="230">
        <v>2030</v>
      </c>
      <c r="CA114" s="228">
        <v>39</v>
      </c>
      <c r="CB114" s="229">
        <v>1.9099999999999999E-2</v>
      </c>
      <c r="CC114" s="230">
        <v>1972</v>
      </c>
      <c r="CD114" s="230">
        <v>1954</v>
      </c>
      <c r="CE114" s="228">
        <v>19</v>
      </c>
      <c r="CF114" s="229">
        <v>9.5999999999999992E-3</v>
      </c>
      <c r="CG114" s="228">
        <v>86</v>
      </c>
      <c r="CH114" s="228">
        <v>68</v>
      </c>
      <c r="CI114" s="228">
        <v>18</v>
      </c>
      <c r="CJ114" s="229">
        <v>0.26579999999999998</v>
      </c>
      <c r="CK114" s="228">
        <v>10</v>
      </c>
      <c r="CL114" s="228">
        <v>8</v>
      </c>
      <c r="CM114" s="228">
        <v>2</v>
      </c>
      <c r="CN114" s="229">
        <v>0.2472</v>
      </c>
      <c r="CO114" s="230">
        <v>1219</v>
      </c>
      <c r="CP114" s="230">
        <v>1204</v>
      </c>
      <c r="CQ114" s="228">
        <v>15</v>
      </c>
      <c r="CR114" s="229">
        <v>1.24E-2</v>
      </c>
      <c r="CS114" s="228">
        <v>618</v>
      </c>
      <c r="CT114" s="228">
        <v>584</v>
      </c>
      <c r="CU114" s="228">
        <v>33</v>
      </c>
      <c r="CV114" s="229">
        <v>5.6899999999999999E-2</v>
      </c>
      <c r="CW114" s="230">
        <v>3905</v>
      </c>
      <c r="CX114" s="230">
        <v>3818</v>
      </c>
      <c r="CY114" s="228">
        <v>87</v>
      </c>
      <c r="CZ114" s="229">
        <v>2.2800000000000001E-2</v>
      </c>
      <c r="DA114" s="228">
        <v>34.43</v>
      </c>
      <c r="DB114" s="228">
        <v>33.74</v>
      </c>
      <c r="DC114" s="228">
        <v>0.69</v>
      </c>
      <c r="DD114" s="228">
        <v>0.69</v>
      </c>
      <c r="DE114" s="228">
        <v>38.82</v>
      </c>
      <c r="DF114" s="228">
        <v>38.380000000000003</v>
      </c>
      <c r="DG114" s="228">
        <v>-4.3899999999999997</v>
      </c>
      <c r="DH114" s="228">
        <v>0.44</v>
      </c>
      <c r="DI114" s="228">
        <v>34.42</v>
      </c>
      <c r="DJ114" s="228">
        <v>34.5</v>
      </c>
      <c r="DK114" s="228">
        <v>-0.08</v>
      </c>
      <c r="DL114" s="228">
        <v>-0.08</v>
      </c>
      <c r="DM114" s="228">
        <v>34.47</v>
      </c>
      <c r="DN114" s="228">
        <v>32.32</v>
      </c>
      <c r="DO114" s="228">
        <v>2.15</v>
      </c>
      <c r="DP114" s="228">
        <v>2.15</v>
      </c>
      <c r="DQ114" s="228">
        <v>0.51</v>
      </c>
      <c r="DR114" s="228">
        <v>0.49</v>
      </c>
      <c r="DS114" s="228">
        <v>0.02</v>
      </c>
      <c r="DT114" s="229">
        <v>4.0800000000000003E-2</v>
      </c>
      <c r="DU114" s="231">
        <v>1100</v>
      </c>
      <c r="DV114" s="228">
        <v>900</v>
      </c>
      <c r="DW114" s="228">
        <v>0.28999999999999998</v>
      </c>
      <c r="DX114" s="228">
        <v>0.54</v>
      </c>
      <c r="DY114" s="228">
        <v>-0.25</v>
      </c>
      <c r="DZ114" s="229">
        <v>-0.46300000000000002</v>
      </c>
      <c r="EA114" s="229">
        <v>4.6399999999999997E-2</v>
      </c>
      <c r="EB114" s="230">
        <v>747150</v>
      </c>
      <c r="EC114" s="229">
        <v>6.4999999999999997E-3</v>
      </c>
      <c r="ED114" s="229">
        <v>4.6399999999999997E-2</v>
      </c>
      <c r="EE114" s="228">
        <v>5.91</v>
      </c>
      <c r="EF114" s="229">
        <v>5.8999999999999999E-3</v>
      </c>
      <c r="EG114" s="230">
        <v>950690</v>
      </c>
      <c r="EH114" s="230">
        <v>689536</v>
      </c>
      <c r="EI114" s="229">
        <v>0.37869999999999998</v>
      </c>
      <c r="EJ114" s="229">
        <v>0.40710000000000002</v>
      </c>
      <c r="EK114" s="231">
        <v>2994.96</v>
      </c>
      <c r="EL114" s="228">
        <v>788.44</v>
      </c>
      <c r="EM114" s="228">
        <v>536.53</v>
      </c>
      <c r="EN114" s="228">
        <v>28.5</v>
      </c>
      <c r="EO114" s="231">
        <v>4319.93</v>
      </c>
      <c r="EP114" s="231">
        <v>1052.42</v>
      </c>
      <c r="EQ114" s="231">
        <v>3267.51</v>
      </c>
      <c r="ER114" s="229">
        <v>3.1048</v>
      </c>
      <c r="ES114" s="231">
        <v>1277.0899999999999</v>
      </c>
      <c r="ET114" s="228">
        <v>586.52</v>
      </c>
      <c r="EU114" s="231">
        <v>2069.0500000000002</v>
      </c>
      <c r="EV114" s="231">
        <v>58629477</v>
      </c>
      <c r="EW114" s="231">
        <v>3932.66</v>
      </c>
      <c r="EX114" s="231">
        <v>3746.79</v>
      </c>
      <c r="EY114" s="228">
        <v>185.87</v>
      </c>
      <c r="EZ114" s="229">
        <v>4.9599999999999998E-2</v>
      </c>
      <c r="FA114" s="229">
        <v>0.65580000000000005</v>
      </c>
      <c r="FB114" s="227" t="s">
        <v>555</v>
      </c>
      <c r="FC114">
        <f t="shared" si="1"/>
        <v>96</v>
      </c>
    </row>
    <row r="115" spans="1:159" ht="17.25" hidden="1" thickBot="1" x14ac:dyDescent="0.3">
      <c r="A115" s="226">
        <v>46064</v>
      </c>
      <c r="B115" s="227" t="s">
        <v>175</v>
      </c>
      <c r="C115" s="227" t="s">
        <v>248</v>
      </c>
      <c r="D115" s="228">
        <v>1000</v>
      </c>
      <c r="E115" s="228">
        <v>13</v>
      </c>
      <c r="F115" s="228">
        <v>526</v>
      </c>
      <c r="G115" s="228">
        <v>523.95000000000005</v>
      </c>
      <c r="H115" s="228">
        <v>2.0499999999999998</v>
      </c>
      <c r="I115" s="229">
        <v>3.8999999999999998E-3</v>
      </c>
      <c r="J115" s="228">
        <v>525.54999999999995</v>
      </c>
      <c r="K115" s="228">
        <v>522.54999999999995</v>
      </c>
      <c r="L115" s="228">
        <v>3</v>
      </c>
      <c r="M115" s="229">
        <v>5.7000000000000002E-3</v>
      </c>
      <c r="N115" s="228">
        <v>526</v>
      </c>
      <c r="O115" s="228">
        <v>523.95000000000005</v>
      </c>
      <c r="P115" s="228">
        <v>2.0499999999999998</v>
      </c>
      <c r="Q115" s="229">
        <v>3.8999999999999998E-3</v>
      </c>
      <c r="R115" s="228">
        <v>529.20000000000005</v>
      </c>
      <c r="S115" s="228">
        <v>526.95000000000005</v>
      </c>
      <c r="T115" s="228">
        <v>2.25</v>
      </c>
      <c r="U115" s="229">
        <v>4.3E-3</v>
      </c>
      <c r="V115" s="228">
        <v>532.25</v>
      </c>
      <c r="W115" s="228">
        <v>530.9</v>
      </c>
      <c r="X115" s="228">
        <v>1.35</v>
      </c>
      <c r="Y115" s="229">
        <v>2.5000000000000001E-3</v>
      </c>
      <c r="Z115" s="228">
        <v>0.45</v>
      </c>
      <c r="AA115" s="228">
        <v>1.4</v>
      </c>
      <c r="AB115" s="228">
        <v>-0.95</v>
      </c>
      <c r="AC115" s="229">
        <v>8.9999999999999998E-4</v>
      </c>
      <c r="AD115" s="228">
        <v>0.45</v>
      </c>
      <c r="AE115" s="228">
        <v>1.4</v>
      </c>
      <c r="AF115" s="228">
        <v>-0.95</v>
      </c>
      <c r="AG115" s="229">
        <v>8.9999999999999998E-4</v>
      </c>
      <c r="AH115" s="228">
        <v>3.65</v>
      </c>
      <c r="AI115" s="228">
        <v>4.4000000000000004</v>
      </c>
      <c r="AJ115" s="228">
        <v>-0.75</v>
      </c>
      <c r="AK115" s="229">
        <v>6.8999999999999999E-3</v>
      </c>
      <c r="AL115" s="228">
        <v>6.7</v>
      </c>
      <c r="AM115" s="228">
        <v>8.35</v>
      </c>
      <c r="AN115" s="228">
        <v>-1.65</v>
      </c>
      <c r="AO115" s="229">
        <v>1.2699999999999999E-2</v>
      </c>
      <c r="AP115" s="228">
        <v>523.05999999999995</v>
      </c>
      <c r="AQ115" s="228">
        <v>525.77</v>
      </c>
      <c r="AR115" s="228">
        <v>0</v>
      </c>
      <c r="AS115" s="228">
        <v>175</v>
      </c>
      <c r="AT115" s="228">
        <v>121</v>
      </c>
      <c r="AU115" s="228">
        <v>55</v>
      </c>
      <c r="AV115" s="229">
        <v>0.45269999999999999</v>
      </c>
      <c r="AW115" s="228">
        <v>142</v>
      </c>
      <c r="AX115" s="228">
        <v>110</v>
      </c>
      <c r="AY115" s="228">
        <v>33</v>
      </c>
      <c r="AZ115" s="229">
        <v>0.29799999999999999</v>
      </c>
      <c r="BA115" s="228">
        <v>32</v>
      </c>
      <c r="BB115" s="228">
        <v>11</v>
      </c>
      <c r="BC115" s="228">
        <v>22</v>
      </c>
      <c r="BD115" s="229">
        <v>2.0448</v>
      </c>
      <c r="BE115" s="228">
        <v>1</v>
      </c>
      <c r="BF115" s="228">
        <v>0</v>
      </c>
      <c r="BG115" s="228">
        <v>0</v>
      </c>
      <c r="BH115" s="229">
        <v>0.85709999999999997</v>
      </c>
      <c r="BI115" s="228">
        <v>345</v>
      </c>
      <c r="BJ115" s="228">
        <v>195</v>
      </c>
      <c r="BK115" s="228">
        <v>150</v>
      </c>
      <c r="BL115" s="229">
        <v>0.77259999999999995</v>
      </c>
      <c r="BM115" s="228">
        <v>133</v>
      </c>
      <c r="BN115" s="228">
        <v>69</v>
      </c>
      <c r="BO115" s="228">
        <v>64</v>
      </c>
      <c r="BP115" s="229">
        <v>0.92179999999999995</v>
      </c>
      <c r="BQ115" s="228">
        <v>653</v>
      </c>
      <c r="BR115" s="228">
        <v>385</v>
      </c>
      <c r="BS115" s="228">
        <v>269</v>
      </c>
      <c r="BT115" s="229">
        <v>0.69910000000000005</v>
      </c>
      <c r="BU115" s="230">
        <v>1104704</v>
      </c>
      <c r="BV115" s="230">
        <v>969854</v>
      </c>
      <c r="BW115" s="230">
        <v>134850</v>
      </c>
      <c r="BX115" s="229">
        <v>0.13900000000000001</v>
      </c>
      <c r="BY115" s="230">
        <v>1780</v>
      </c>
      <c r="BZ115" s="230">
        <v>1787</v>
      </c>
      <c r="CA115" s="228">
        <v>-7</v>
      </c>
      <c r="CB115" s="229">
        <v>-3.7000000000000002E-3</v>
      </c>
      <c r="CC115" s="230">
        <v>1679</v>
      </c>
      <c r="CD115" s="230">
        <v>1702</v>
      </c>
      <c r="CE115" s="228">
        <v>-23</v>
      </c>
      <c r="CF115" s="229">
        <v>-1.34E-2</v>
      </c>
      <c r="CG115" s="228">
        <v>96</v>
      </c>
      <c r="CH115" s="228">
        <v>80</v>
      </c>
      <c r="CI115" s="228">
        <v>16</v>
      </c>
      <c r="CJ115" s="229">
        <v>0.20280000000000001</v>
      </c>
      <c r="CK115" s="228">
        <v>4</v>
      </c>
      <c r="CL115" s="228">
        <v>4</v>
      </c>
      <c r="CM115" s="228">
        <v>0</v>
      </c>
      <c r="CN115" s="229">
        <v>0</v>
      </c>
      <c r="CO115" s="228">
        <v>561</v>
      </c>
      <c r="CP115" s="228">
        <v>540</v>
      </c>
      <c r="CQ115" s="228">
        <v>21</v>
      </c>
      <c r="CR115" s="229">
        <v>3.9E-2</v>
      </c>
      <c r="CS115" s="228">
        <v>437</v>
      </c>
      <c r="CT115" s="228">
        <v>429</v>
      </c>
      <c r="CU115" s="228">
        <v>8</v>
      </c>
      <c r="CV115" s="229">
        <v>1.89E-2</v>
      </c>
      <c r="CW115" s="230">
        <v>2777</v>
      </c>
      <c r="CX115" s="230">
        <v>2755</v>
      </c>
      <c r="CY115" s="228">
        <v>22</v>
      </c>
      <c r="CZ115" s="229">
        <v>8.2000000000000007E-3</v>
      </c>
      <c r="DA115" s="228">
        <v>26.47</v>
      </c>
      <c r="DB115" s="228">
        <v>25.24</v>
      </c>
      <c r="DC115" s="228">
        <v>1.23</v>
      </c>
      <c r="DD115" s="228">
        <v>1.23</v>
      </c>
      <c r="DE115" s="228">
        <v>31.91</v>
      </c>
      <c r="DF115" s="228">
        <v>31.98</v>
      </c>
      <c r="DG115" s="228">
        <v>-5.44</v>
      </c>
      <c r="DH115" s="228">
        <v>-7.0000000000000007E-2</v>
      </c>
      <c r="DI115" s="228">
        <v>25.86</v>
      </c>
      <c r="DJ115" s="228">
        <v>25.25</v>
      </c>
      <c r="DK115" s="228">
        <v>0.61</v>
      </c>
      <c r="DL115" s="228">
        <v>0.61</v>
      </c>
      <c r="DM115" s="228">
        <v>28.02</v>
      </c>
      <c r="DN115" s="228">
        <v>25.23</v>
      </c>
      <c r="DO115" s="228">
        <v>2.79</v>
      </c>
      <c r="DP115" s="228">
        <v>2.79</v>
      </c>
      <c r="DQ115" s="228">
        <v>0.78</v>
      </c>
      <c r="DR115" s="228">
        <v>0.79</v>
      </c>
      <c r="DS115" s="228">
        <v>-0.01</v>
      </c>
      <c r="DT115" s="229">
        <v>-1.2699999999999999E-2</v>
      </c>
      <c r="DU115" s="228">
        <v>520</v>
      </c>
      <c r="DV115" s="228">
        <v>520</v>
      </c>
      <c r="DW115" s="228">
        <v>0.39</v>
      </c>
      <c r="DX115" s="228">
        <v>0.36</v>
      </c>
      <c r="DY115" s="228">
        <v>0.03</v>
      </c>
      <c r="DZ115" s="229">
        <v>8.3299999999999999E-2</v>
      </c>
      <c r="EA115" s="229">
        <v>5.6500000000000002E-2</v>
      </c>
      <c r="EB115" s="230">
        <v>1603000</v>
      </c>
      <c r="EC115" s="229">
        <v>6.1000000000000004E-3</v>
      </c>
      <c r="ED115" s="229">
        <v>5.6500000000000002E-2</v>
      </c>
      <c r="EE115" s="228">
        <v>2.71</v>
      </c>
      <c r="EF115" s="229">
        <v>5.1999999999999998E-3</v>
      </c>
      <c r="EG115" s="230">
        <v>642225</v>
      </c>
      <c r="EH115" s="230">
        <v>576788</v>
      </c>
      <c r="EI115" s="229">
        <v>0.1135</v>
      </c>
      <c r="EJ115" s="229">
        <v>0.58140000000000003</v>
      </c>
      <c r="EK115" s="228">
        <v>353.88</v>
      </c>
      <c r="EL115" s="228">
        <v>129.51</v>
      </c>
      <c r="EM115" s="228">
        <v>174.56</v>
      </c>
      <c r="EN115" s="228">
        <v>36.729999999999997</v>
      </c>
      <c r="EO115" s="228">
        <v>657.96</v>
      </c>
      <c r="EP115" s="228">
        <v>389.79</v>
      </c>
      <c r="EQ115" s="228">
        <v>268.17</v>
      </c>
      <c r="ER115" s="229">
        <v>0.68799999999999994</v>
      </c>
      <c r="ES115" s="228">
        <v>571.66</v>
      </c>
      <c r="ET115" s="228">
        <v>432.23</v>
      </c>
      <c r="EU115" s="231">
        <v>1780.62</v>
      </c>
      <c r="EV115" s="231">
        <v>45183075</v>
      </c>
      <c r="EW115" s="231">
        <v>2784.51</v>
      </c>
      <c r="EX115" s="231">
        <v>2754.75</v>
      </c>
      <c r="EY115" s="228">
        <v>29.76</v>
      </c>
      <c r="EZ115" s="229">
        <v>1.0800000000000001E-2</v>
      </c>
      <c r="FA115" s="229">
        <v>1.1686000000000001</v>
      </c>
      <c r="FB115" s="227" t="s">
        <v>556</v>
      </c>
      <c r="FC115">
        <f t="shared" si="1"/>
        <v>101</v>
      </c>
    </row>
    <row r="116" spans="1:159" ht="17.25" hidden="1" thickBot="1" x14ac:dyDescent="0.3">
      <c r="A116" s="226">
        <v>46064</v>
      </c>
      <c r="B116" s="227" t="s">
        <v>175</v>
      </c>
      <c r="C116" s="227" t="s">
        <v>607</v>
      </c>
      <c r="D116" s="228">
        <v>700</v>
      </c>
      <c r="E116" s="228">
        <v>13</v>
      </c>
      <c r="F116" s="228">
        <v>875.55</v>
      </c>
      <c r="G116" s="228">
        <v>892.45</v>
      </c>
      <c r="H116" s="228">
        <v>-16.899999999999999</v>
      </c>
      <c r="I116" s="229">
        <v>-1.89E-2</v>
      </c>
      <c r="J116" s="228">
        <v>875.3</v>
      </c>
      <c r="K116" s="228">
        <v>891.7</v>
      </c>
      <c r="L116" s="228">
        <v>-16.399999999999999</v>
      </c>
      <c r="M116" s="229">
        <v>-1.84E-2</v>
      </c>
      <c r="N116" s="228">
        <v>875.55</v>
      </c>
      <c r="O116" s="228">
        <v>892.45</v>
      </c>
      <c r="P116" s="228">
        <v>-16.899999999999999</v>
      </c>
      <c r="Q116" s="229">
        <v>-1.89E-2</v>
      </c>
      <c r="R116" s="228">
        <v>881.3</v>
      </c>
      <c r="S116" s="228">
        <v>897.75</v>
      </c>
      <c r="T116" s="228">
        <v>-16.45</v>
      </c>
      <c r="U116" s="229">
        <v>-1.83E-2</v>
      </c>
      <c r="V116" s="228">
        <v>886.05</v>
      </c>
      <c r="W116" s="228">
        <v>903.55</v>
      </c>
      <c r="X116" s="228">
        <v>-17.5</v>
      </c>
      <c r="Y116" s="229">
        <v>-1.9400000000000001E-2</v>
      </c>
      <c r="Z116" s="228">
        <v>0.25</v>
      </c>
      <c r="AA116" s="228">
        <v>0.75</v>
      </c>
      <c r="AB116" s="228">
        <v>-0.5</v>
      </c>
      <c r="AC116" s="229">
        <v>2.9999999999999997E-4</v>
      </c>
      <c r="AD116" s="228">
        <v>0.25</v>
      </c>
      <c r="AE116" s="228">
        <v>0.75</v>
      </c>
      <c r="AF116" s="228">
        <v>-0.5</v>
      </c>
      <c r="AG116" s="229">
        <v>2.9999999999999997E-4</v>
      </c>
      <c r="AH116" s="228">
        <v>6</v>
      </c>
      <c r="AI116" s="228">
        <v>6.05</v>
      </c>
      <c r="AJ116" s="228">
        <v>-0.05</v>
      </c>
      <c r="AK116" s="229">
        <v>6.8999999999999999E-3</v>
      </c>
      <c r="AL116" s="228">
        <v>10.75</v>
      </c>
      <c r="AM116" s="228">
        <v>11.85</v>
      </c>
      <c r="AN116" s="228">
        <v>-1.1000000000000001</v>
      </c>
      <c r="AO116" s="229">
        <v>1.23E-2</v>
      </c>
      <c r="AP116" s="228">
        <v>874.32</v>
      </c>
      <c r="AQ116" s="228">
        <v>878.8</v>
      </c>
      <c r="AR116" s="228">
        <v>0</v>
      </c>
      <c r="AS116" s="228">
        <v>347</v>
      </c>
      <c r="AT116" s="228">
        <v>186</v>
      </c>
      <c r="AU116" s="228">
        <v>161</v>
      </c>
      <c r="AV116" s="229">
        <v>0.8649</v>
      </c>
      <c r="AW116" s="228">
        <v>280</v>
      </c>
      <c r="AX116" s="228">
        <v>166</v>
      </c>
      <c r="AY116" s="228">
        <v>113</v>
      </c>
      <c r="AZ116" s="229">
        <v>0.67930000000000001</v>
      </c>
      <c r="BA116" s="228">
        <v>57</v>
      </c>
      <c r="BB116" s="228">
        <v>16</v>
      </c>
      <c r="BC116" s="228">
        <v>41</v>
      </c>
      <c r="BD116" s="229">
        <v>2.5076000000000001</v>
      </c>
      <c r="BE116" s="228">
        <v>11</v>
      </c>
      <c r="BF116" s="228">
        <v>3</v>
      </c>
      <c r="BG116" s="228">
        <v>7</v>
      </c>
      <c r="BH116" s="229">
        <v>2.1455000000000002</v>
      </c>
      <c r="BI116" s="230">
        <v>1485</v>
      </c>
      <c r="BJ116" s="228">
        <v>816</v>
      </c>
      <c r="BK116" s="228">
        <v>669</v>
      </c>
      <c r="BL116" s="229">
        <v>0.82040000000000002</v>
      </c>
      <c r="BM116" s="228">
        <v>906</v>
      </c>
      <c r="BN116" s="228">
        <v>451</v>
      </c>
      <c r="BO116" s="228">
        <v>455</v>
      </c>
      <c r="BP116" s="229">
        <v>1.0086999999999999</v>
      </c>
      <c r="BQ116" s="230">
        <v>2739</v>
      </c>
      <c r="BR116" s="230">
        <v>1453</v>
      </c>
      <c r="BS116" s="230">
        <v>1285</v>
      </c>
      <c r="BT116" s="229">
        <v>0.88460000000000005</v>
      </c>
      <c r="BU116" s="230">
        <v>2175453</v>
      </c>
      <c r="BV116" s="230">
        <v>1143614</v>
      </c>
      <c r="BW116" s="230">
        <v>1031839</v>
      </c>
      <c r="BX116" s="229">
        <v>0.90229999999999999</v>
      </c>
      <c r="BY116" s="230">
        <v>1090</v>
      </c>
      <c r="BZ116" s="230">
        <v>1034</v>
      </c>
      <c r="CA116" s="228">
        <v>56</v>
      </c>
      <c r="CB116" s="229">
        <v>5.4399999999999997E-2</v>
      </c>
      <c r="CC116" s="230">
        <v>1009</v>
      </c>
      <c r="CD116" s="228">
        <v>967</v>
      </c>
      <c r="CE116" s="228">
        <v>42</v>
      </c>
      <c r="CF116" s="229">
        <v>4.3200000000000002E-2</v>
      </c>
      <c r="CG116" s="228">
        <v>67</v>
      </c>
      <c r="CH116" s="228">
        <v>54</v>
      </c>
      <c r="CI116" s="228">
        <v>13</v>
      </c>
      <c r="CJ116" s="229">
        <v>0.2387</v>
      </c>
      <c r="CK116" s="228">
        <v>14</v>
      </c>
      <c r="CL116" s="228">
        <v>13</v>
      </c>
      <c r="CM116" s="228">
        <v>2</v>
      </c>
      <c r="CN116" s="229">
        <v>0.12139999999999999</v>
      </c>
      <c r="CO116" s="230">
        <v>1055</v>
      </c>
      <c r="CP116" s="230">
        <v>1012</v>
      </c>
      <c r="CQ116" s="228">
        <v>44</v>
      </c>
      <c r="CR116" s="229">
        <v>4.3200000000000002E-2</v>
      </c>
      <c r="CS116" s="228">
        <v>500</v>
      </c>
      <c r="CT116" s="228">
        <v>547</v>
      </c>
      <c r="CU116" s="228">
        <v>-47</v>
      </c>
      <c r="CV116" s="229">
        <v>-8.5400000000000004E-2</v>
      </c>
      <c r="CW116" s="230">
        <v>2646</v>
      </c>
      <c r="CX116" s="230">
        <v>2593</v>
      </c>
      <c r="CY116" s="228">
        <v>53</v>
      </c>
      <c r="CZ116" s="229">
        <v>2.0500000000000001E-2</v>
      </c>
      <c r="DA116" s="228">
        <v>26.67</v>
      </c>
      <c r="DB116" s="228">
        <v>26.09</v>
      </c>
      <c r="DC116" s="228">
        <v>0.57999999999999996</v>
      </c>
      <c r="DD116" s="228">
        <v>0.57999999999999996</v>
      </c>
      <c r="DE116" s="228">
        <v>30.92</v>
      </c>
      <c r="DF116" s="228">
        <v>30.89</v>
      </c>
      <c r="DG116" s="228">
        <v>-4.25</v>
      </c>
      <c r="DH116" s="228">
        <v>0.03</v>
      </c>
      <c r="DI116" s="228">
        <v>27.64</v>
      </c>
      <c r="DJ116" s="228">
        <v>26.39</v>
      </c>
      <c r="DK116" s="228">
        <v>1.25</v>
      </c>
      <c r="DL116" s="228">
        <v>1.25</v>
      </c>
      <c r="DM116" s="228">
        <v>25.08</v>
      </c>
      <c r="DN116" s="228">
        <v>25.54</v>
      </c>
      <c r="DO116" s="228">
        <v>-0.46</v>
      </c>
      <c r="DP116" s="228">
        <v>-0.46</v>
      </c>
      <c r="DQ116" s="228">
        <v>0.47</v>
      </c>
      <c r="DR116" s="228">
        <v>0.54</v>
      </c>
      <c r="DS116" s="228">
        <v>-7.0000000000000007E-2</v>
      </c>
      <c r="DT116" s="229">
        <v>-0.12959999999999999</v>
      </c>
      <c r="DU116" s="231">
        <v>1000</v>
      </c>
      <c r="DV116" s="228">
        <v>850</v>
      </c>
      <c r="DW116" s="228">
        <v>0.61</v>
      </c>
      <c r="DX116" s="228">
        <v>0.55000000000000004</v>
      </c>
      <c r="DY116" s="228">
        <v>0.06</v>
      </c>
      <c r="DZ116" s="229">
        <v>0.1091</v>
      </c>
      <c r="EA116" s="229">
        <v>7.4499999999999997E-2</v>
      </c>
      <c r="EB116" s="230">
        <v>763000</v>
      </c>
      <c r="EC116" s="229">
        <v>6.6E-3</v>
      </c>
      <c r="ED116" s="229">
        <v>7.4499999999999997E-2</v>
      </c>
      <c r="EE116" s="228">
        <v>4.4800000000000004</v>
      </c>
      <c r="EF116" s="229">
        <v>5.1000000000000004E-3</v>
      </c>
      <c r="EG116" s="230">
        <v>761493</v>
      </c>
      <c r="EH116" s="230">
        <v>503418</v>
      </c>
      <c r="EI116" s="229">
        <v>0.51259999999999994</v>
      </c>
      <c r="EJ116" s="229">
        <v>0.35</v>
      </c>
      <c r="EK116" s="231">
        <v>1554.75</v>
      </c>
      <c r="EL116" s="228">
        <v>908.99</v>
      </c>
      <c r="EM116" s="228">
        <v>346.81</v>
      </c>
      <c r="EN116" s="228">
        <v>60.26</v>
      </c>
      <c r="EO116" s="231">
        <v>2810.54</v>
      </c>
      <c r="EP116" s="231">
        <v>1511.29</v>
      </c>
      <c r="EQ116" s="231">
        <v>1299.26</v>
      </c>
      <c r="ER116" s="229">
        <v>0.85970000000000002</v>
      </c>
      <c r="ES116" s="231">
        <v>1119.5899999999999</v>
      </c>
      <c r="ET116" s="228">
        <v>480.3</v>
      </c>
      <c r="EU116" s="231">
        <v>1090.75</v>
      </c>
      <c r="EV116" s="231">
        <v>33206238</v>
      </c>
      <c r="EW116" s="231">
        <v>2690.65</v>
      </c>
      <c r="EX116" s="231">
        <v>2654</v>
      </c>
      <c r="EY116" s="228">
        <v>36.65</v>
      </c>
      <c r="EZ116" s="229">
        <v>1.38E-2</v>
      </c>
      <c r="FA116" s="229">
        <v>0.91</v>
      </c>
      <c r="FB116" s="227" t="s">
        <v>567</v>
      </c>
      <c r="FC116">
        <f t="shared" si="1"/>
        <v>81</v>
      </c>
    </row>
    <row r="117" spans="1:159" ht="17.25" hidden="1" thickBot="1" x14ac:dyDescent="0.3">
      <c r="A117" s="226">
        <v>46064</v>
      </c>
      <c r="B117" s="227" t="s">
        <v>206</v>
      </c>
      <c r="C117" s="227" t="s">
        <v>588</v>
      </c>
      <c r="D117" s="228">
        <v>450</v>
      </c>
      <c r="E117" s="228">
        <v>13</v>
      </c>
      <c r="F117" s="231">
        <v>1095.5</v>
      </c>
      <c r="G117" s="231">
        <v>1095.4000000000001</v>
      </c>
      <c r="H117" s="228">
        <v>0.1</v>
      </c>
      <c r="I117" s="229">
        <v>1E-4</v>
      </c>
      <c r="J117" s="231">
        <v>1094.9000000000001</v>
      </c>
      <c r="K117" s="231">
        <v>1095.05</v>
      </c>
      <c r="L117" s="228">
        <v>-0.15</v>
      </c>
      <c r="M117" s="229">
        <v>-1E-4</v>
      </c>
      <c r="N117" s="231">
        <v>1095.5</v>
      </c>
      <c r="O117" s="231">
        <v>1095.4000000000001</v>
      </c>
      <c r="P117" s="228">
        <v>0.1</v>
      </c>
      <c r="Q117" s="229">
        <v>1E-4</v>
      </c>
      <c r="R117" s="231">
        <v>1099.8</v>
      </c>
      <c r="S117" s="231">
        <v>1100.45</v>
      </c>
      <c r="T117" s="228">
        <v>-0.65</v>
      </c>
      <c r="U117" s="229">
        <v>-5.9999999999999995E-4</v>
      </c>
      <c r="V117" s="231">
        <v>1106.8</v>
      </c>
      <c r="W117" s="231">
        <v>1106</v>
      </c>
      <c r="X117" s="228">
        <v>0.8</v>
      </c>
      <c r="Y117" s="229">
        <v>6.9999999999999999E-4</v>
      </c>
      <c r="Z117" s="228">
        <v>0.6</v>
      </c>
      <c r="AA117" s="228">
        <v>0.35</v>
      </c>
      <c r="AB117" s="228">
        <v>0.25</v>
      </c>
      <c r="AC117" s="229">
        <v>5.0000000000000001E-4</v>
      </c>
      <c r="AD117" s="228">
        <v>0.6</v>
      </c>
      <c r="AE117" s="228">
        <v>0.35</v>
      </c>
      <c r="AF117" s="228">
        <v>0.25</v>
      </c>
      <c r="AG117" s="229">
        <v>5.0000000000000001E-4</v>
      </c>
      <c r="AH117" s="228">
        <v>4.9000000000000004</v>
      </c>
      <c r="AI117" s="228">
        <v>5.4</v>
      </c>
      <c r="AJ117" s="228">
        <v>-0.5</v>
      </c>
      <c r="AK117" s="229">
        <v>4.4999999999999997E-3</v>
      </c>
      <c r="AL117" s="228">
        <v>11.9</v>
      </c>
      <c r="AM117" s="228">
        <v>10.95</v>
      </c>
      <c r="AN117" s="228">
        <v>0.95</v>
      </c>
      <c r="AO117" s="229">
        <v>1.09E-2</v>
      </c>
      <c r="AP117" s="231">
        <v>1090.8699999999999</v>
      </c>
      <c r="AQ117" s="231">
        <v>1095.51</v>
      </c>
      <c r="AR117" s="228">
        <v>0</v>
      </c>
      <c r="AS117" s="228">
        <v>107</v>
      </c>
      <c r="AT117" s="228">
        <v>171</v>
      </c>
      <c r="AU117" s="228">
        <v>-64</v>
      </c>
      <c r="AV117" s="229">
        <v>-0.37409999999999999</v>
      </c>
      <c r="AW117" s="228">
        <v>99</v>
      </c>
      <c r="AX117" s="228">
        <v>144</v>
      </c>
      <c r="AY117" s="228">
        <v>-45</v>
      </c>
      <c r="AZ117" s="229">
        <v>-0.3105</v>
      </c>
      <c r="BA117" s="228">
        <v>7</v>
      </c>
      <c r="BB117" s="228">
        <v>26</v>
      </c>
      <c r="BC117" s="228">
        <v>-19</v>
      </c>
      <c r="BD117" s="229">
        <v>-0.73040000000000005</v>
      </c>
      <c r="BE117" s="228">
        <v>1</v>
      </c>
      <c r="BF117" s="228">
        <v>1</v>
      </c>
      <c r="BG117" s="228">
        <v>0</v>
      </c>
      <c r="BH117" s="229">
        <v>-0.34620000000000001</v>
      </c>
      <c r="BI117" s="228">
        <v>184</v>
      </c>
      <c r="BJ117" s="228">
        <v>441</v>
      </c>
      <c r="BK117" s="228">
        <v>-257</v>
      </c>
      <c r="BL117" s="229">
        <v>-0.5827</v>
      </c>
      <c r="BM117" s="228">
        <v>143</v>
      </c>
      <c r="BN117" s="228">
        <v>255</v>
      </c>
      <c r="BO117" s="228">
        <v>-112</v>
      </c>
      <c r="BP117" s="229">
        <v>-0.44040000000000001</v>
      </c>
      <c r="BQ117" s="228">
        <v>434</v>
      </c>
      <c r="BR117" s="228">
        <v>867</v>
      </c>
      <c r="BS117" s="228">
        <v>-433</v>
      </c>
      <c r="BT117" s="229">
        <v>-0.49969999999999998</v>
      </c>
      <c r="BU117" s="230">
        <v>524088</v>
      </c>
      <c r="BV117" s="230">
        <v>1065599</v>
      </c>
      <c r="BW117" s="230">
        <v>-541511</v>
      </c>
      <c r="BX117" s="229">
        <v>-0.50819999999999999</v>
      </c>
      <c r="BY117" s="228">
        <v>974</v>
      </c>
      <c r="BZ117" s="228">
        <v>980</v>
      </c>
      <c r="CA117" s="228">
        <v>-5</v>
      </c>
      <c r="CB117" s="229">
        <v>-5.5999999999999999E-3</v>
      </c>
      <c r="CC117" s="228">
        <v>938</v>
      </c>
      <c r="CD117" s="228">
        <v>945</v>
      </c>
      <c r="CE117" s="228">
        <v>-7</v>
      </c>
      <c r="CF117" s="229">
        <v>-7.9000000000000008E-3</v>
      </c>
      <c r="CG117" s="228">
        <v>34</v>
      </c>
      <c r="CH117" s="228">
        <v>32</v>
      </c>
      <c r="CI117" s="228">
        <v>2</v>
      </c>
      <c r="CJ117" s="229">
        <v>6.7199999999999996E-2</v>
      </c>
      <c r="CK117" s="228">
        <v>3</v>
      </c>
      <c r="CL117" s="228">
        <v>3</v>
      </c>
      <c r="CM117" s="228">
        <v>0</v>
      </c>
      <c r="CN117" s="229">
        <v>-3.4500000000000003E-2</v>
      </c>
      <c r="CO117" s="228">
        <v>325</v>
      </c>
      <c r="CP117" s="228">
        <v>315</v>
      </c>
      <c r="CQ117" s="228">
        <v>10</v>
      </c>
      <c r="CR117" s="229">
        <v>3.0700000000000002E-2</v>
      </c>
      <c r="CS117" s="228">
        <v>336</v>
      </c>
      <c r="CT117" s="228">
        <v>344</v>
      </c>
      <c r="CU117" s="228">
        <v>-8</v>
      </c>
      <c r="CV117" s="229">
        <v>-2.2100000000000002E-2</v>
      </c>
      <c r="CW117" s="230">
        <v>1635</v>
      </c>
      <c r="CX117" s="230">
        <v>1638</v>
      </c>
      <c r="CY117" s="228">
        <v>-3</v>
      </c>
      <c r="CZ117" s="229">
        <v>-2.0999999999999999E-3</v>
      </c>
      <c r="DA117" s="228">
        <v>32.43</v>
      </c>
      <c r="DB117" s="228">
        <v>32.020000000000003</v>
      </c>
      <c r="DC117" s="228">
        <v>0.41</v>
      </c>
      <c r="DD117" s="228">
        <v>0.41</v>
      </c>
      <c r="DE117" s="228">
        <v>45.24</v>
      </c>
      <c r="DF117" s="228">
        <v>45.35</v>
      </c>
      <c r="DG117" s="228">
        <v>-12.81</v>
      </c>
      <c r="DH117" s="228">
        <v>-0.11</v>
      </c>
      <c r="DI117" s="228">
        <v>30.03</v>
      </c>
      <c r="DJ117" s="228">
        <v>30.7</v>
      </c>
      <c r="DK117" s="228">
        <v>-0.67</v>
      </c>
      <c r="DL117" s="228">
        <v>-0.67</v>
      </c>
      <c r="DM117" s="228">
        <v>35.51</v>
      </c>
      <c r="DN117" s="228">
        <v>34.299999999999997</v>
      </c>
      <c r="DO117" s="228">
        <v>1.21</v>
      </c>
      <c r="DP117" s="228">
        <v>1.21</v>
      </c>
      <c r="DQ117" s="228">
        <v>1.04</v>
      </c>
      <c r="DR117" s="228">
        <v>1.0900000000000001</v>
      </c>
      <c r="DS117" s="228">
        <v>-0.05</v>
      </c>
      <c r="DT117" s="229">
        <v>-4.5900000000000003E-2</v>
      </c>
      <c r="DU117" s="231">
        <v>1140</v>
      </c>
      <c r="DV117" s="231">
        <v>1020</v>
      </c>
      <c r="DW117" s="228">
        <v>0.78</v>
      </c>
      <c r="DX117" s="228">
        <v>0.57999999999999996</v>
      </c>
      <c r="DY117" s="228">
        <v>0.2</v>
      </c>
      <c r="DZ117" s="229">
        <v>0.3448</v>
      </c>
      <c r="EA117" s="229">
        <v>3.7400000000000003E-2</v>
      </c>
      <c r="EB117" s="230">
        <v>314100</v>
      </c>
      <c r="EC117" s="229">
        <v>3.8999999999999998E-3</v>
      </c>
      <c r="ED117" s="229">
        <v>3.7400000000000003E-2</v>
      </c>
      <c r="EE117" s="228">
        <v>4.6399999999999997</v>
      </c>
      <c r="EF117" s="229">
        <v>4.3E-3</v>
      </c>
      <c r="EG117" s="230">
        <v>244418</v>
      </c>
      <c r="EH117" s="230">
        <v>458724</v>
      </c>
      <c r="EI117" s="229">
        <v>-0.4672</v>
      </c>
      <c r="EJ117" s="229">
        <v>0.46639999999999998</v>
      </c>
      <c r="EK117" s="228">
        <v>190</v>
      </c>
      <c r="EL117" s="228">
        <v>134.96</v>
      </c>
      <c r="EM117" s="228">
        <v>106.56</v>
      </c>
      <c r="EN117" s="228">
        <v>36.520000000000003</v>
      </c>
      <c r="EO117" s="228">
        <v>431.52</v>
      </c>
      <c r="EP117" s="228">
        <v>871.11</v>
      </c>
      <c r="EQ117" s="228">
        <v>-439.59</v>
      </c>
      <c r="ER117" s="229">
        <v>-0.50460000000000005</v>
      </c>
      <c r="ES117" s="228">
        <v>315.16000000000003</v>
      </c>
      <c r="ET117" s="228">
        <v>299.57</v>
      </c>
      <c r="EU117" s="228">
        <v>974.23</v>
      </c>
      <c r="EV117" s="231">
        <v>42126960</v>
      </c>
      <c r="EW117" s="231">
        <v>1588.96</v>
      </c>
      <c r="EX117" s="231">
        <v>1590.19</v>
      </c>
      <c r="EY117" s="228">
        <v>-1.23</v>
      </c>
      <c r="EZ117" s="229">
        <v>-8.0000000000000004E-4</v>
      </c>
      <c r="FA117" s="229">
        <v>0.3543</v>
      </c>
      <c r="FB117" s="227" t="s">
        <v>556</v>
      </c>
      <c r="FC117">
        <f t="shared" si="1"/>
        <v>36</v>
      </c>
    </row>
    <row r="118" spans="1:159" ht="17.25" hidden="1" thickBot="1" x14ac:dyDescent="0.3">
      <c r="A118" s="226">
        <v>46064</v>
      </c>
      <c r="B118" s="227" t="s">
        <v>184</v>
      </c>
      <c r="C118" s="227" t="s">
        <v>249</v>
      </c>
      <c r="D118" s="228">
        <v>175</v>
      </c>
      <c r="E118" s="228">
        <v>13</v>
      </c>
      <c r="F118" s="231">
        <v>4170.8999999999996</v>
      </c>
      <c r="G118" s="231">
        <v>4169.8999999999996</v>
      </c>
      <c r="H118" s="228">
        <v>1</v>
      </c>
      <c r="I118" s="229">
        <v>2.0000000000000001E-4</v>
      </c>
      <c r="J118" s="231">
        <v>4170.3999999999996</v>
      </c>
      <c r="K118" s="231">
        <v>4169</v>
      </c>
      <c r="L118" s="228">
        <v>1.4</v>
      </c>
      <c r="M118" s="229">
        <v>2.9999999999999997E-4</v>
      </c>
      <c r="N118" s="231">
        <v>4170.8999999999996</v>
      </c>
      <c r="O118" s="231">
        <v>4169.8999999999996</v>
      </c>
      <c r="P118" s="228">
        <v>1</v>
      </c>
      <c r="Q118" s="229">
        <v>2.0000000000000001E-4</v>
      </c>
      <c r="R118" s="231">
        <v>4197.2</v>
      </c>
      <c r="S118" s="231">
        <v>4195</v>
      </c>
      <c r="T118" s="228">
        <v>2.2000000000000002</v>
      </c>
      <c r="U118" s="229">
        <v>5.0000000000000001E-4</v>
      </c>
      <c r="V118" s="231">
        <v>4223.8</v>
      </c>
      <c r="W118" s="231">
        <v>4224</v>
      </c>
      <c r="X118" s="228">
        <v>-0.2</v>
      </c>
      <c r="Y118" s="229">
        <v>0</v>
      </c>
      <c r="Z118" s="228">
        <v>0.5</v>
      </c>
      <c r="AA118" s="228">
        <v>0.9</v>
      </c>
      <c r="AB118" s="228">
        <v>-0.4</v>
      </c>
      <c r="AC118" s="229">
        <v>1E-4</v>
      </c>
      <c r="AD118" s="228">
        <v>0.5</v>
      </c>
      <c r="AE118" s="228">
        <v>0.9</v>
      </c>
      <c r="AF118" s="228">
        <v>-0.4</v>
      </c>
      <c r="AG118" s="229">
        <v>1E-4</v>
      </c>
      <c r="AH118" s="228">
        <v>26.8</v>
      </c>
      <c r="AI118" s="228">
        <v>26</v>
      </c>
      <c r="AJ118" s="228">
        <v>0.8</v>
      </c>
      <c r="AK118" s="229">
        <v>6.4000000000000003E-3</v>
      </c>
      <c r="AL118" s="228">
        <v>53.4</v>
      </c>
      <c r="AM118" s="228">
        <v>55</v>
      </c>
      <c r="AN118" s="228">
        <v>-1.6</v>
      </c>
      <c r="AO118" s="229">
        <v>1.2800000000000001E-2</v>
      </c>
      <c r="AP118" s="231">
        <v>4167.1000000000004</v>
      </c>
      <c r="AQ118" s="231">
        <v>4192.3599999999997</v>
      </c>
      <c r="AR118" s="228">
        <v>0</v>
      </c>
      <c r="AS118" s="228">
        <v>555</v>
      </c>
      <c r="AT118" s="228">
        <v>625</v>
      </c>
      <c r="AU118" s="228">
        <v>-71</v>
      </c>
      <c r="AV118" s="229">
        <v>-0.1133</v>
      </c>
      <c r="AW118" s="228">
        <v>516</v>
      </c>
      <c r="AX118" s="228">
        <v>572</v>
      </c>
      <c r="AY118" s="228">
        <v>-56</v>
      </c>
      <c r="AZ118" s="229">
        <v>-9.7600000000000006E-2</v>
      </c>
      <c r="BA118" s="228">
        <v>31</v>
      </c>
      <c r="BB118" s="228">
        <v>43</v>
      </c>
      <c r="BC118" s="228">
        <v>-11</v>
      </c>
      <c r="BD118" s="229">
        <v>-0.26240000000000002</v>
      </c>
      <c r="BE118" s="228">
        <v>7</v>
      </c>
      <c r="BF118" s="228">
        <v>11</v>
      </c>
      <c r="BG118" s="228">
        <v>-4</v>
      </c>
      <c r="BH118" s="229">
        <v>-0.36549999999999999</v>
      </c>
      <c r="BI118" s="230">
        <v>2548</v>
      </c>
      <c r="BJ118" s="230">
        <v>3640</v>
      </c>
      <c r="BK118" s="230">
        <v>-1092</v>
      </c>
      <c r="BL118" s="229">
        <v>-0.3</v>
      </c>
      <c r="BM118" s="230">
        <v>3295</v>
      </c>
      <c r="BN118" s="230">
        <v>2409</v>
      </c>
      <c r="BO118" s="228">
        <v>886</v>
      </c>
      <c r="BP118" s="229">
        <v>0.36770000000000003</v>
      </c>
      <c r="BQ118" s="230">
        <v>6398</v>
      </c>
      <c r="BR118" s="230">
        <v>6675</v>
      </c>
      <c r="BS118" s="228">
        <v>-277</v>
      </c>
      <c r="BT118" s="229">
        <v>-4.1500000000000002E-2</v>
      </c>
      <c r="BU118" s="230">
        <v>2512915</v>
      </c>
      <c r="BV118" s="230">
        <v>2010143</v>
      </c>
      <c r="BW118" s="230">
        <v>502772</v>
      </c>
      <c r="BX118" s="229">
        <v>0.25009999999999999</v>
      </c>
      <c r="BY118" s="230">
        <v>6310</v>
      </c>
      <c r="BZ118" s="230">
        <v>6270</v>
      </c>
      <c r="CA118" s="228">
        <v>41</v>
      </c>
      <c r="CB118" s="229">
        <v>6.4999999999999997E-3</v>
      </c>
      <c r="CC118" s="230">
        <v>5723</v>
      </c>
      <c r="CD118" s="230">
        <v>5690</v>
      </c>
      <c r="CE118" s="228">
        <v>33</v>
      </c>
      <c r="CF118" s="229">
        <v>5.7000000000000002E-3</v>
      </c>
      <c r="CG118" s="228">
        <v>558</v>
      </c>
      <c r="CH118" s="228">
        <v>551</v>
      </c>
      <c r="CI118" s="228">
        <v>7</v>
      </c>
      <c r="CJ118" s="229">
        <v>1.3100000000000001E-2</v>
      </c>
      <c r="CK118" s="228">
        <v>29</v>
      </c>
      <c r="CL118" s="228">
        <v>28</v>
      </c>
      <c r="CM118" s="228">
        <v>1</v>
      </c>
      <c r="CN118" s="229">
        <v>2.5700000000000001E-2</v>
      </c>
      <c r="CO118" s="230">
        <v>3495</v>
      </c>
      <c r="CP118" s="230">
        <v>3371</v>
      </c>
      <c r="CQ118" s="228">
        <v>124</v>
      </c>
      <c r="CR118" s="229">
        <v>3.6900000000000002E-2</v>
      </c>
      <c r="CS118" s="230">
        <v>2891</v>
      </c>
      <c r="CT118" s="230">
        <v>2861</v>
      </c>
      <c r="CU118" s="228">
        <v>29</v>
      </c>
      <c r="CV118" s="229">
        <v>1.03E-2</v>
      </c>
      <c r="CW118" s="230">
        <v>12696</v>
      </c>
      <c r="CX118" s="230">
        <v>12502</v>
      </c>
      <c r="CY118" s="228">
        <v>194</v>
      </c>
      <c r="CZ118" s="229">
        <v>1.5599999999999999E-2</v>
      </c>
      <c r="DA118" s="228">
        <v>16.739999999999998</v>
      </c>
      <c r="DB118" s="228">
        <v>16.55</v>
      </c>
      <c r="DC118" s="228">
        <v>0.19</v>
      </c>
      <c r="DD118" s="228">
        <v>0.19</v>
      </c>
      <c r="DE118" s="228">
        <v>26.36</v>
      </c>
      <c r="DF118" s="228">
        <v>26.42</v>
      </c>
      <c r="DG118" s="228">
        <v>-9.6199999999999992</v>
      </c>
      <c r="DH118" s="228">
        <v>-0.06</v>
      </c>
      <c r="DI118" s="228">
        <v>15.98</v>
      </c>
      <c r="DJ118" s="228">
        <v>15.39</v>
      </c>
      <c r="DK118" s="228">
        <v>0.59</v>
      </c>
      <c r="DL118" s="228">
        <v>0.59</v>
      </c>
      <c r="DM118" s="228">
        <v>17.34</v>
      </c>
      <c r="DN118" s="228">
        <v>18.3</v>
      </c>
      <c r="DO118" s="228">
        <v>-0.96</v>
      </c>
      <c r="DP118" s="228">
        <v>-0.96</v>
      </c>
      <c r="DQ118" s="228">
        <v>0.83</v>
      </c>
      <c r="DR118" s="228">
        <v>0.85</v>
      </c>
      <c r="DS118" s="228">
        <v>-0.02</v>
      </c>
      <c r="DT118" s="229">
        <v>-2.35E-2</v>
      </c>
      <c r="DU118" s="231">
        <v>4100</v>
      </c>
      <c r="DV118" s="231">
        <v>4100</v>
      </c>
      <c r="DW118" s="228">
        <v>1.29</v>
      </c>
      <c r="DX118" s="228">
        <v>0.66</v>
      </c>
      <c r="DY118" s="228">
        <v>0.63</v>
      </c>
      <c r="DZ118" s="229">
        <v>0.95450000000000002</v>
      </c>
      <c r="EA118" s="229">
        <v>9.3100000000000002E-2</v>
      </c>
      <c r="EB118" s="230">
        <v>1389675</v>
      </c>
      <c r="EC118" s="229">
        <v>6.3E-3</v>
      </c>
      <c r="ED118" s="229">
        <v>9.3100000000000002E-2</v>
      </c>
      <c r="EE118" s="228">
        <v>25.26</v>
      </c>
      <c r="EF118" s="229">
        <v>6.1000000000000004E-3</v>
      </c>
      <c r="EG118" s="230">
        <v>2044060</v>
      </c>
      <c r="EH118" s="230">
        <v>1145311</v>
      </c>
      <c r="EI118" s="229">
        <v>0.78469999999999995</v>
      </c>
      <c r="EJ118" s="229">
        <v>0.81340000000000001</v>
      </c>
      <c r="EK118" s="231">
        <v>2594.0100000000002</v>
      </c>
      <c r="EL118" s="231">
        <v>3236.6</v>
      </c>
      <c r="EM118" s="228">
        <v>554.27</v>
      </c>
      <c r="EN118" s="228">
        <v>83.5</v>
      </c>
      <c r="EO118" s="231">
        <v>6384.89</v>
      </c>
      <c r="EP118" s="231">
        <v>6665.05</v>
      </c>
      <c r="EQ118" s="228">
        <v>-280.17</v>
      </c>
      <c r="ER118" s="229">
        <v>-4.2000000000000003E-2</v>
      </c>
      <c r="ES118" s="231">
        <v>3440.63</v>
      </c>
      <c r="ET118" s="231">
        <v>2730.91</v>
      </c>
      <c r="EU118" s="231">
        <v>6314.16</v>
      </c>
      <c r="EV118" s="231">
        <v>136109374</v>
      </c>
      <c r="EW118" s="231">
        <v>12485.7</v>
      </c>
      <c r="EX118" s="231">
        <v>12282.24</v>
      </c>
      <c r="EY118" s="228">
        <v>203.46</v>
      </c>
      <c r="EZ118" s="229">
        <v>1.66E-2</v>
      </c>
      <c r="FA118" s="229">
        <v>0.22359999999999999</v>
      </c>
      <c r="FB118" s="227" t="s">
        <v>555</v>
      </c>
      <c r="FC118">
        <f t="shared" si="1"/>
        <v>587</v>
      </c>
    </row>
    <row r="119" spans="1:159" ht="17.25" hidden="1" thickBot="1" x14ac:dyDescent="0.3">
      <c r="A119" s="226">
        <v>46064</v>
      </c>
      <c r="B119" s="227" t="s">
        <v>175</v>
      </c>
      <c r="C119" s="227" t="s">
        <v>565</v>
      </c>
      <c r="D119" s="228">
        <v>2250</v>
      </c>
      <c r="E119" s="228">
        <v>13</v>
      </c>
      <c r="F119" s="228">
        <v>288.05</v>
      </c>
      <c r="G119" s="228">
        <v>293.95</v>
      </c>
      <c r="H119" s="228">
        <v>-5.9</v>
      </c>
      <c r="I119" s="229">
        <v>-2.01E-2</v>
      </c>
      <c r="J119" s="228">
        <v>288.3</v>
      </c>
      <c r="K119" s="228">
        <v>294</v>
      </c>
      <c r="L119" s="228">
        <v>-5.7</v>
      </c>
      <c r="M119" s="229">
        <v>-1.9400000000000001E-2</v>
      </c>
      <c r="N119" s="228">
        <v>288.05</v>
      </c>
      <c r="O119" s="228">
        <v>293.95</v>
      </c>
      <c r="P119" s="228">
        <v>-5.9</v>
      </c>
      <c r="Q119" s="229">
        <v>-2.01E-2</v>
      </c>
      <c r="R119" s="228">
        <v>287.14999999999998</v>
      </c>
      <c r="S119" s="228">
        <v>293.05</v>
      </c>
      <c r="T119" s="228">
        <v>-5.9</v>
      </c>
      <c r="U119" s="229">
        <v>-2.01E-2</v>
      </c>
      <c r="V119" s="228">
        <v>287.25</v>
      </c>
      <c r="W119" s="228">
        <v>293.10000000000002</v>
      </c>
      <c r="X119" s="228">
        <v>-5.85</v>
      </c>
      <c r="Y119" s="229">
        <v>-0.02</v>
      </c>
      <c r="Z119" s="228">
        <v>-0.25</v>
      </c>
      <c r="AA119" s="228">
        <v>-0.05</v>
      </c>
      <c r="AB119" s="228">
        <v>-0.2</v>
      </c>
      <c r="AC119" s="229">
        <v>-8.9999999999999998E-4</v>
      </c>
      <c r="AD119" s="228">
        <v>-0.25</v>
      </c>
      <c r="AE119" s="228">
        <v>-0.05</v>
      </c>
      <c r="AF119" s="228">
        <v>-0.2</v>
      </c>
      <c r="AG119" s="229">
        <v>-8.9999999999999998E-4</v>
      </c>
      <c r="AH119" s="228">
        <v>-1.1499999999999999</v>
      </c>
      <c r="AI119" s="228">
        <v>-0.95</v>
      </c>
      <c r="AJ119" s="228">
        <v>-0.2</v>
      </c>
      <c r="AK119" s="229">
        <v>-4.0000000000000001E-3</v>
      </c>
      <c r="AL119" s="228">
        <v>-1.05</v>
      </c>
      <c r="AM119" s="228">
        <v>-0.9</v>
      </c>
      <c r="AN119" s="228">
        <v>-0.15</v>
      </c>
      <c r="AO119" s="229">
        <v>-3.5999999999999999E-3</v>
      </c>
      <c r="AP119" s="228">
        <v>288.7</v>
      </c>
      <c r="AQ119" s="228">
        <v>287.75</v>
      </c>
      <c r="AR119" s="228">
        <v>0</v>
      </c>
      <c r="AS119" s="228">
        <v>483</v>
      </c>
      <c r="AT119" s="228">
        <v>314</v>
      </c>
      <c r="AU119" s="228">
        <v>169</v>
      </c>
      <c r="AV119" s="229">
        <v>0.53920000000000001</v>
      </c>
      <c r="AW119" s="228">
        <v>426</v>
      </c>
      <c r="AX119" s="228">
        <v>283</v>
      </c>
      <c r="AY119" s="228">
        <v>143</v>
      </c>
      <c r="AZ119" s="229">
        <v>0.50529999999999997</v>
      </c>
      <c r="BA119" s="228">
        <v>53</v>
      </c>
      <c r="BB119" s="228">
        <v>26</v>
      </c>
      <c r="BC119" s="228">
        <v>28</v>
      </c>
      <c r="BD119" s="229">
        <v>1.0785</v>
      </c>
      <c r="BE119" s="228">
        <v>4</v>
      </c>
      <c r="BF119" s="228">
        <v>5</v>
      </c>
      <c r="BG119" s="228">
        <v>-1</v>
      </c>
      <c r="BH119" s="229">
        <v>-0.24099999999999999</v>
      </c>
      <c r="BI119" s="230">
        <v>1198</v>
      </c>
      <c r="BJ119" s="228">
        <v>811</v>
      </c>
      <c r="BK119" s="228">
        <v>387</v>
      </c>
      <c r="BL119" s="229">
        <v>0.47789999999999999</v>
      </c>
      <c r="BM119" s="228">
        <v>516</v>
      </c>
      <c r="BN119" s="228">
        <v>342</v>
      </c>
      <c r="BO119" s="228">
        <v>174</v>
      </c>
      <c r="BP119" s="229">
        <v>0.50990000000000002</v>
      </c>
      <c r="BQ119" s="230">
        <v>2198</v>
      </c>
      <c r="BR119" s="230">
        <v>1467</v>
      </c>
      <c r="BS119" s="228">
        <v>731</v>
      </c>
      <c r="BT119" s="229">
        <v>0.4985</v>
      </c>
      <c r="BU119" s="230">
        <v>7177075</v>
      </c>
      <c r="BV119" s="230">
        <v>3838889</v>
      </c>
      <c r="BW119" s="230">
        <v>3338186</v>
      </c>
      <c r="BX119" s="229">
        <v>0.86960000000000004</v>
      </c>
      <c r="BY119" s="230">
        <v>1627</v>
      </c>
      <c r="BZ119" s="230">
        <v>1499</v>
      </c>
      <c r="CA119" s="228">
        <v>128</v>
      </c>
      <c r="CB119" s="229">
        <v>8.5500000000000007E-2</v>
      </c>
      <c r="CC119" s="230">
        <v>1536</v>
      </c>
      <c r="CD119" s="230">
        <v>1420</v>
      </c>
      <c r="CE119" s="228">
        <v>116</v>
      </c>
      <c r="CF119" s="229">
        <v>8.1600000000000006E-2</v>
      </c>
      <c r="CG119" s="228">
        <v>82</v>
      </c>
      <c r="CH119" s="228">
        <v>71</v>
      </c>
      <c r="CI119" s="228">
        <v>10</v>
      </c>
      <c r="CJ119" s="229">
        <v>0.14430000000000001</v>
      </c>
      <c r="CK119" s="228">
        <v>9</v>
      </c>
      <c r="CL119" s="228">
        <v>7</v>
      </c>
      <c r="CM119" s="228">
        <v>2</v>
      </c>
      <c r="CN119" s="229">
        <v>0.28179999999999999</v>
      </c>
      <c r="CO119" s="230">
        <v>1005</v>
      </c>
      <c r="CP119" s="228">
        <v>812</v>
      </c>
      <c r="CQ119" s="228">
        <v>194</v>
      </c>
      <c r="CR119" s="229">
        <v>0.2384</v>
      </c>
      <c r="CS119" s="228">
        <v>600</v>
      </c>
      <c r="CT119" s="228">
        <v>548</v>
      </c>
      <c r="CU119" s="228">
        <v>52</v>
      </c>
      <c r="CV119" s="229">
        <v>9.5600000000000004E-2</v>
      </c>
      <c r="CW119" s="230">
        <v>3232</v>
      </c>
      <c r="CX119" s="230">
        <v>2858</v>
      </c>
      <c r="CY119" s="228">
        <v>374</v>
      </c>
      <c r="CZ119" s="229">
        <v>0.13089999999999999</v>
      </c>
      <c r="DA119" s="228">
        <v>39.86</v>
      </c>
      <c r="DB119" s="228">
        <v>37.51</v>
      </c>
      <c r="DC119" s="228">
        <v>2.35</v>
      </c>
      <c r="DD119" s="228">
        <v>2.35</v>
      </c>
      <c r="DE119" s="228">
        <v>37.979999999999997</v>
      </c>
      <c r="DF119" s="228">
        <v>37.97</v>
      </c>
      <c r="DG119" s="228">
        <v>1.88</v>
      </c>
      <c r="DH119" s="228">
        <v>0.01</v>
      </c>
      <c r="DI119" s="228">
        <v>40.57</v>
      </c>
      <c r="DJ119" s="228">
        <v>38.22</v>
      </c>
      <c r="DK119" s="228">
        <v>2.35</v>
      </c>
      <c r="DL119" s="228">
        <v>2.35</v>
      </c>
      <c r="DM119" s="228">
        <v>38.21</v>
      </c>
      <c r="DN119" s="228">
        <v>35.83</v>
      </c>
      <c r="DO119" s="228">
        <v>2.38</v>
      </c>
      <c r="DP119" s="228">
        <v>2.38</v>
      </c>
      <c r="DQ119" s="228">
        <v>0.6</v>
      </c>
      <c r="DR119" s="228">
        <v>0.67</v>
      </c>
      <c r="DS119" s="228">
        <v>-7.0000000000000007E-2</v>
      </c>
      <c r="DT119" s="229">
        <v>-0.1045</v>
      </c>
      <c r="DU119" s="228">
        <v>300</v>
      </c>
      <c r="DV119" s="228">
        <v>300</v>
      </c>
      <c r="DW119" s="228">
        <v>0.43</v>
      </c>
      <c r="DX119" s="228">
        <v>0.42</v>
      </c>
      <c r="DY119" s="228">
        <v>0.01</v>
      </c>
      <c r="DZ119" s="229">
        <v>2.3800000000000002E-2</v>
      </c>
      <c r="EA119" s="229">
        <v>5.5899999999999998E-2</v>
      </c>
      <c r="EB119" s="230">
        <v>2727000</v>
      </c>
      <c r="EC119" s="229">
        <v>-3.0999999999999999E-3</v>
      </c>
      <c r="ED119" s="229">
        <v>5.5899999999999998E-2</v>
      </c>
      <c r="EE119" s="228">
        <v>-0.95</v>
      </c>
      <c r="EF119" s="229">
        <v>-3.3E-3</v>
      </c>
      <c r="EG119" s="230">
        <v>2903651</v>
      </c>
      <c r="EH119" s="230">
        <v>1919834</v>
      </c>
      <c r="EI119" s="229">
        <v>0.51239999999999997</v>
      </c>
      <c r="EJ119" s="229">
        <v>0.40460000000000002</v>
      </c>
      <c r="EK119" s="231">
        <v>1285.46</v>
      </c>
      <c r="EL119" s="228">
        <v>512.59</v>
      </c>
      <c r="EM119" s="228">
        <v>484.33</v>
      </c>
      <c r="EN119" s="228">
        <v>56.2</v>
      </c>
      <c r="EO119" s="231">
        <v>2282.38</v>
      </c>
      <c r="EP119" s="231">
        <v>1551.74</v>
      </c>
      <c r="EQ119" s="228">
        <v>730.64</v>
      </c>
      <c r="ER119" s="229">
        <v>0.4708</v>
      </c>
      <c r="ES119" s="231">
        <v>1068.04</v>
      </c>
      <c r="ET119" s="228">
        <v>587.16</v>
      </c>
      <c r="EU119" s="231">
        <v>1626.48</v>
      </c>
      <c r="EV119" s="231">
        <v>127100972</v>
      </c>
      <c r="EW119" s="231">
        <v>3281.68</v>
      </c>
      <c r="EX119" s="231">
        <v>2928.25</v>
      </c>
      <c r="EY119" s="228">
        <v>353.43</v>
      </c>
      <c r="EZ119" s="229">
        <v>0.1207</v>
      </c>
      <c r="FA119" s="229">
        <v>0.88290000000000002</v>
      </c>
      <c r="FB119" s="227" t="s">
        <v>567</v>
      </c>
      <c r="FC119">
        <f t="shared" si="1"/>
        <v>91</v>
      </c>
    </row>
    <row r="120" spans="1:159" ht="17.25" hidden="1" thickBot="1" x14ac:dyDescent="0.3">
      <c r="A120" s="226">
        <v>46064</v>
      </c>
      <c r="B120" s="227" t="s">
        <v>221</v>
      </c>
      <c r="C120" s="227" t="s">
        <v>561</v>
      </c>
      <c r="D120" s="228">
        <v>150</v>
      </c>
      <c r="E120" s="228">
        <v>13</v>
      </c>
      <c r="F120" s="231">
        <v>5532</v>
      </c>
      <c r="G120" s="231">
        <v>5659.5</v>
      </c>
      <c r="H120" s="228">
        <v>-127.5</v>
      </c>
      <c r="I120" s="229">
        <v>-2.2499999999999999E-2</v>
      </c>
      <c r="J120" s="231">
        <v>5515.5</v>
      </c>
      <c r="K120" s="231">
        <v>5662</v>
      </c>
      <c r="L120" s="228">
        <v>-146.5</v>
      </c>
      <c r="M120" s="229">
        <v>-2.5899999999999999E-2</v>
      </c>
      <c r="N120" s="231">
        <v>5532</v>
      </c>
      <c r="O120" s="231">
        <v>5659.5</v>
      </c>
      <c r="P120" s="228">
        <v>-127.5</v>
      </c>
      <c r="Q120" s="229">
        <v>-2.2499999999999999E-2</v>
      </c>
      <c r="R120" s="231">
        <v>5540.5</v>
      </c>
      <c r="S120" s="231">
        <v>5670.5</v>
      </c>
      <c r="T120" s="228">
        <v>-130</v>
      </c>
      <c r="U120" s="229">
        <v>-2.29E-2</v>
      </c>
      <c r="V120" s="231">
        <v>5553</v>
      </c>
      <c r="W120" s="231">
        <v>5697.5</v>
      </c>
      <c r="X120" s="228">
        <v>-144.5</v>
      </c>
      <c r="Y120" s="229">
        <v>-2.5399999999999999E-2</v>
      </c>
      <c r="Z120" s="228">
        <v>16.5</v>
      </c>
      <c r="AA120" s="228">
        <v>-2.5</v>
      </c>
      <c r="AB120" s="228">
        <v>19</v>
      </c>
      <c r="AC120" s="229">
        <v>3.0000000000000001E-3</v>
      </c>
      <c r="AD120" s="228">
        <v>16.5</v>
      </c>
      <c r="AE120" s="228">
        <v>-2.5</v>
      </c>
      <c r="AF120" s="228">
        <v>19</v>
      </c>
      <c r="AG120" s="229">
        <v>3.0000000000000001E-3</v>
      </c>
      <c r="AH120" s="228">
        <v>25</v>
      </c>
      <c r="AI120" s="228">
        <v>8.5</v>
      </c>
      <c r="AJ120" s="228">
        <v>16.5</v>
      </c>
      <c r="AK120" s="229">
        <v>4.4999999999999997E-3</v>
      </c>
      <c r="AL120" s="228">
        <v>37.5</v>
      </c>
      <c r="AM120" s="228">
        <v>35.5</v>
      </c>
      <c r="AN120" s="228">
        <v>2</v>
      </c>
      <c r="AO120" s="229">
        <v>6.7999999999999996E-3</v>
      </c>
      <c r="AP120" s="231">
        <v>5574.18</v>
      </c>
      <c r="AQ120" s="231">
        <v>5596.32</v>
      </c>
      <c r="AR120" s="228">
        <v>0</v>
      </c>
      <c r="AS120" s="228">
        <v>368</v>
      </c>
      <c r="AT120" s="228">
        <v>261</v>
      </c>
      <c r="AU120" s="228">
        <v>107</v>
      </c>
      <c r="AV120" s="229">
        <v>0.40960000000000002</v>
      </c>
      <c r="AW120" s="228">
        <v>318</v>
      </c>
      <c r="AX120" s="228">
        <v>249</v>
      </c>
      <c r="AY120" s="228">
        <v>69</v>
      </c>
      <c r="AZ120" s="229">
        <v>0.27689999999999998</v>
      </c>
      <c r="BA120" s="228">
        <v>44</v>
      </c>
      <c r="BB120" s="228">
        <v>11</v>
      </c>
      <c r="BC120" s="228">
        <v>33</v>
      </c>
      <c r="BD120" s="229">
        <v>2.9548999999999999</v>
      </c>
      <c r="BE120" s="228">
        <v>6</v>
      </c>
      <c r="BF120" s="228">
        <v>1</v>
      </c>
      <c r="BG120" s="228">
        <v>5</v>
      </c>
      <c r="BH120" s="229">
        <v>5</v>
      </c>
      <c r="BI120" s="228">
        <v>872</v>
      </c>
      <c r="BJ120" s="228">
        <v>732</v>
      </c>
      <c r="BK120" s="228">
        <v>141</v>
      </c>
      <c r="BL120" s="229">
        <v>0.19239999999999999</v>
      </c>
      <c r="BM120" s="228">
        <v>573</v>
      </c>
      <c r="BN120" s="228">
        <v>422</v>
      </c>
      <c r="BO120" s="228">
        <v>151</v>
      </c>
      <c r="BP120" s="229">
        <v>0.3584</v>
      </c>
      <c r="BQ120" s="230">
        <v>1813</v>
      </c>
      <c r="BR120" s="230">
        <v>1414</v>
      </c>
      <c r="BS120" s="228">
        <v>399</v>
      </c>
      <c r="BT120" s="229">
        <v>0.28199999999999997</v>
      </c>
      <c r="BU120" s="230">
        <v>278295</v>
      </c>
      <c r="BV120" s="230">
        <v>314409</v>
      </c>
      <c r="BW120" s="230">
        <v>-36114</v>
      </c>
      <c r="BX120" s="229">
        <v>-0.1149</v>
      </c>
      <c r="BY120" s="230">
        <v>1188</v>
      </c>
      <c r="BZ120" s="230">
        <v>1131</v>
      </c>
      <c r="CA120" s="228">
        <v>58</v>
      </c>
      <c r="CB120" s="229">
        <v>5.0900000000000001E-2</v>
      </c>
      <c r="CC120" s="230">
        <v>1136</v>
      </c>
      <c r="CD120" s="230">
        <v>1097</v>
      </c>
      <c r="CE120" s="228">
        <v>38</v>
      </c>
      <c r="CF120" s="229">
        <v>3.5000000000000003E-2</v>
      </c>
      <c r="CG120" s="228">
        <v>46</v>
      </c>
      <c r="CH120" s="228">
        <v>30</v>
      </c>
      <c r="CI120" s="228">
        <v>17</v>
      </c>
      <c r="CJ120" s="229">
        <v>0.5615</v>
      </c>
      <c r="CK120" s="228">
        <v>6</v>
      </c>
      <c r="CL120" s="228">
        <v>4</v>
      </c>
      <c r="CM120" s="228">
        <v>2</v>
      </c>
      <c r="CN120" s="229">
        <v>0.65910000000000002</v>
      </c>
      <c r="CO120" s="228">
        <v>796</v>
      </c>
      <c r="CP120" s="228">
        <v>692</v>
      </c>
      <c r="CQ120" s="228">
        <v>104</v>
      </c>
      <c r="CR120" s="229">
        <v>0.14960000000000001</v>
      </c>
      <c r="CS120" s="228">
        <v>556</v>
      </c>
      <c r="CT120" s="228">
        <v>503</v>
      </c>
      <c r="CU120" s="228">
        <v>53</v>
      </c>
      <c r="CV120" s="229">
        <v>0.106</v>
      </c>
      <c r="CW120" s="230">
        <v>2540</v>
      </c>
      <c r="CX120" s="230">
        <v>2326</v>
      </c>
      <c r="CY120" s="228">
        <v>214</v>
      </c>
      <c r="CZ120" s="229">
        <v>9.2200000000000004E-2</v>
      </c>
      <c r="DA120" s="228">
        <v>33.72</v>
      </c>
      <c r="DB120" s="228">
        <v>30.84</v>
      </c>
      <c r="DC120" s="228">
        <v>2.88</v>
      </c>
      <c r="DD120" s="228">
        <v>2.88</v>
      </c>
      <c r="DE120" s="228">
        <v>33.32</v>
      </c>
      <c r="DF120" s="228">
        <v>33.26</v>
      </c>
      <c r="DG120" s="228">
        <v>0.4</v>
      </c>
      <c r="DH120" s="228">
        <v>0.06</v>
      </c>
      <c r="DI120" s="228">
        <v>33.409999999999997</v>
      </c>
      <c r="DJ120" s="228">
        <v>30.57</v>
      </c>
      <c r="DK120" s="228">
        <v>2.84</v>
      </c>
      <c r="DL120" s="228">
        <v>2.84</v>
      </c>
      <c r="DM120" s="228">
        <v>34.19</v>
      </c>
      <c r="DN120" s="228">
        <v>31.32</v>
      </c>
      <c r="DO120" s="228">
        <v>2.87</v>
      </c>
      <c r="DP120" s="228">
        <v>2.87</v>
      </c>
      <c r="DQ120" s="228">
        <v>0.7</v>
      </c>
      <c r="DR120" s="228">
        <v>0.73</v>
      </c>
      <c r="DS120" s="228">
        <v>-0.03</v>
      </c>
      <c r="DT120" s="229">
        <v>-4.1099999999999998E-2</v>
      </c>
      <c r="DU120" s="231">
        <v>6000</v>
      </c>
      <c r="DV120" s="231">
        <v>5000</v>
      </c>
      <c r="DW120" s="228">
        <v>0.66</v>
      </c>
      <c r="DX120" s="228">
        <v>0.57999999999999996</v>
      </c>
      <c r="DY120" s="228">
        <v>0.08</v>
      </c>
      <c r="DZ120" s="229">
        <v>0.13789999999999999</v>
      </c>
      <c r="EA120" s="229">
        <v>4.41E-2</v>
      </c>
      <c r="EB120" s="230">
        <v>60300</v>
      </c>
      <c r="EC120" s="229">
        <v>1.5E-3</v>
      </c>
      <c r="ED120" s="229">
        <v>4.41E-2</v>
      </c>
      <c r="EE120" s="228">
        <v>22.14</v>
      </c>
      <c r="EF120" s="229">
        <v>4.0000000000000001E-3</v>
      </c>
      <c r="EG120" s="230">
        <v>144157</v>
      </c>
      <c r="EH120" s="230">
        <v>184409</v>
      </c>
      <c r="EI120" s="229">
        <v>-0.21829999999999999</v>
      </c>
      <c r="EJ120" s="229">
        <v>0.51800000000000002</v>
      </c>
      <c r="EK120" s="228">
        <v>926.5</v>
      </c>
      <c r="EL120" s="228">
        <v>569.49</v>
      </c>
      <c r="EM120" s="228">
        <v>371.12</v>
      </c>
      <c r="EN120" s="228">
        <v>41.89</v>
      </c>
      <c r="EO120" s="231">
        <v>1867.11</v>
      </c>
      <c r="EP120" s="231">
        <v>1468.35</v>
      </c>
      <c r="EQ120" s="228">
        <v>398.76</v>
      </c>
      <c r="ER120" s="229">
        <v>0.27160000000000001</v>
      </c>
      <c r="ES120" s="228">
        <v>864.4</v>
      </c>
      <c r="ET120" s="228">
        <v>550.32000000000005</v>
      </c>
      <c r="EU120" s="231">
        <v>1188.3699999999999</v>
      </c>
      <c r="EV120" s="231">
        <v>9672091</v>
      </c>
      <c r="EW120" s="231">
        <v>2603.09</v>
      </c>
      <c r="EX120" s="231">
        <v>2413.98</v>
      </c>
      <c r="EY120" s="228">
        <v>189.11</v>
      </c>
      <c r="EZ120" s="229">
        <v>7.8299999999999995E-2</v>
      </c>
      <c r="FA120" s="229">
        <v>0.47470000000000001</v>
      </c>
      <c r="FB120" s="227" t="s">
        <v>567</v>
      </c>
      <c r="FC120">
        <f t="shared" si="1"/>
        <v>52</v>
      </c>
    </row>
    <row r="121" spans="1:159" ht="17.25" hidden="1" thickBot="1" x14ac:dyDescent="0.3">
      <c r="A121" s="226">
        <v>46064</v>
      </c>
      <c r="B121" s="227" t="s">
        <v>170</v>
      </c>
      <c r="C121" s="227" t="s">
        <v>250</v>
      </c>
      <c r="D121" s="228">
        <v>425</v>
      </c>
      <c r="E121" s="228">
        <v>13</v>
      </c>
      <c r="F121" s="231">
        <v>2214.4</v>
      </c>
      <c r="G121" s="231">
        <v>2211.6999999999998</v>
      </c>
      <c r="H121" s="228">
        <v>2.7</v>
      </c>
      <c r="I121" s="229">
        <v>1.1999999999999999E-3</v>
      </c>
      <c r="J121" s="231">
        <v>2209.1</v>
      </c>
      <c r="K121" s="231">
        <v>2204.1</v>
      </c>
      <c r="L121" s="228">
        <v>5</v>
      </c>
      <c r="M121" s="229">
        <v>2.3E-3</v>
      </c>
      <c r="N121" s="231">
        <v>2214.4</v>
      </c>
      <c r="O121" s="231">
        <v>2211.6999999999998</v>
      </c>
      <c r="P121" s="228">
        <v>2.7</v>
      </c>
      <c r="Q121" s="229">
        <v>1.1999999999999999E-3</v>
      </c>
      <c r="R121" s="231">
        <v>2228.4</v>
      </c>
      <c r="S121" s="231">
        <v>2225</v>
      </c>
      <c r="T121" s="228">
        <v>3.4</v>
      </c>
      <c r="U121" s="229">
        <v>1.5E-3</v>
      </c>
      <c r="V121" s="231">
        <v>2241.6999999999998</v>
      </c>
      <c r="W121" s="231">
        <v>2239.3000000000002</v>
      </c>
      <c r="X121" s="228">
        <v>2.4</v>
      </c>
      <c r="Y121" s="229">
        <v>1.1000000000000001E-3</v>
      </c>
      <c r="Z121" s="228">
        <v>5.3</v>
      </c>
      <c r="AA121" s="228">
        <v>7.6</v>
      </c>
      <c r="AB121" s="228">
        <v>-2.2999999999999998</v>
      </c>
      <c r="AC121" s="229">
        <v>2.3999999999999998E-3</v>
      </c>
      <c r="AD121" s="228">
        <v>5.3</v>
      </c>
      <c r="AE121" s="228">
        <v>7.6</v>
      </c>
      <c r="AF121" s="228">
        <v>-2.2999999999999998</v>
      </c>
      <c r="AG121" s="229">
        <v>2.3999999999999998E-3</v>
      </c>
      <c r="AH121" s="228">
        <v>19.3</v>
      </c>
      <c r="AI121" s="228">
        <v>20.9</v>
      </c>
      <c r="AJ121" s="228">
        <v>-1.6</v>
      </c>
      <c r="AK121" s="229">
        <v>8.6999999999999994E-3</v>
      </c>
      <c r="AL121" s="228">
        <v>32.6</v>
      </c>
      <c r="AM121" s="228">
        <v>35.200000000000003</v>
      </c>
      <c r="AN121" s="228">
        <v>-2.6</v>
      </c>
      <c r="AO121" s="229">
        <v>1.4800000000000001E-2</v>
      </c>
      <c r="AP121" s="231">
        <v>2222.91</v>
      </c>
      <c r="AQ121" s="231">
        <v>2238.08</v>
      </c>
      <c r="AR121" s="228">
        <v>0</v>
      </c>
      <c r="AS121" s="228">
        <v>441</v>
      </c>
      <c r="AT121" s="228">
        <v>591</v>
      </c>
      <c r="AU121" s="228">
        <v>-150</v>
      </c>
      <c r="AV121" s="229">
        <v>-0.25440000000000002</v>
      </c>
      <c r="AW121" s="228">
        <v>418</v>
      </c>
      <c r="AX121" s="228">
        <v>560</v>
      </c>
      <c r="AY121" s="228">
        <v>-142</v>
      </c>
      <c r="AZ121" s="229">
        <v>-0.25369999999999998</v>
      </c>
      <c r="BA121" s="228">
        <v>21</v>
      </c>
      <c r="BB121" s="228">
        <v>27</v>
      </c>
      <c r="BC121" s="228">
        <v>-6</v>
      </c>
      <c r="BD121" s="229">
        <v>-0.21179999999999999</v>
      </c>
      <c r="BE121" s="228">
        <v>1</v>
      </c>
      <c r="BF121" s="228">
        <v>4</v>
      </c>
      <c r="BG121" s="228">
        <v>-3</v>
      </c>
      <c r="BH121" s="229">
        <v>-0.64290000000000003</v>
      </c>
      <c r="BI121" s="230">
        <v>1581</v>
      </c>
      <c r="BJ121" s="230">
        <v>1474</v>
      </c>
      <c r="BK121" s="228">
        <v>107</v>
      </c>
      <c r="BL121" s="229">
        <v>7.2300000000000003E-2</v>
      </c>
      <c r="BM121" s="228">
        <v>518</v>
      </c>
      <c r="BN121" s="228">
        <v>574</v>
      </c>
      <c r="BO121" s="228">
        <v>-56</v>
      </c>
      <c r="BP121" s="229">
        <v>-9.7799999999999998E-2</v>
      </c>
      <c r="BQ121" s="230">
        <v>2540</v>
      </c>
      <c r="BR121" s="230">
        <v>2639</v>
      </c>
      <c r="BS121" s="228">
        <v>-100</v>
      </c>
      <c r="BT121" s="229">
        <v>-3.7900000000000003E-2</v>
      </c>
      <c r="BU121" s="230">
        <v>576528</v>
      </c>
      <c r="BV121" s="230">
        <v>720094</v>
      </c>
      <c r="BW121" s="230">
        <v>-143566</v>
      </c>
      <c r="BX121" s="229">
        <v>-0.19939999999999999</v>
      </c>
      <c r="BY121" s="230">
        <v>1833</v>
      </c>
      <c r="BZ121" s="230">
        <v>1723</v>
      </c>
      <c r="CA121" s="228">
        <v>111</v>
      </c>
      <c r="CB121" s="229">
        <v>6.4399999999999999E-2</v>
      </c>
      <c r="CC121" s="230">
        <v>1790</v>
      </c>
      <c r="CD121" s="230">
        <v>1682</v>
      </c>
      <c r="CE121" s="228">
        <v>108</v>
      </c>
      <c r="CF121" s="229">
        <v>6.4000000000000001E-2</v>
      </c>
      <c r="CG121" s="228">
        <v>38</v>
      </c>
      <c r="CH121" s="228">
        <v>34</v>
      </c>
      <c r="CI121" s="228">
        <v>4</v>
      </c>
      <c r="CJ121" s="229">
        <v>0.1053</v>
      </c>
      <c r="CK121" s="228">
        <v>6</v>
      </c>
      <c r="CL121" s="228">
        <v>6</v>
      </c>
      <c r="CM121" s="228">
        <v>0</v>
      </c>
      <c r="CN121" s="229">
        <v>-4.48E-2</v>
      </c>
      <c r="CO121" s="228">
        <v>921</v>
      </c>
      <c r="CP121" s="228">
        <v>801</v>
      </c>
      <c r="CQ121" s="228">
        <v>120</v>
      </c>
      <c r="CR121" s="229">
        <v>0.14990000000000001</v>
      </c>
      <c r="CS121" s="228">
        <v>499</v>
      </c>
      <c r="CT121" s="228">
        <v>442</v>
      </c>
      <c r="CU121" s="228">
        <v>57</v>
      </c>
      <c r="CV121" s="229">
        <v>0.12970000000000001</v>
      </c>
      <c r="CW121" s="230">
        <v>3254</v>
      </c>
      <c r="CX121" s="230">
        <v>2965</v>
      </c>
      <c r="CY121" s="228">
        <v>288</v>
      </c>
      <c r="CZ121" s="229">
        <v>9.7199999999999995E-2</v>
      </c>
      <c r="DA121" s="228">
        <v>38.46</v>
      </c>
      <c r="DB121" s="228">
        <v>36.11</v>
      </c>
      <c r="DC121" s="228">
        <v>2.35</v>
      </c>
      <c r="DD121" s="228">
        <v>2.35</v>
      </c>
      <c r="DE121" s="228">
        <v>29.13</v>
      </c>
      <c r="DF121" s="228">
        <v>29.21</v>
      </c>
      <c r="DG121" s="228">
        <v>9.33</v>
      </c>
      <c r="DH121" s="228">
        <v>-0.08</v>
      </c>
      <c r="DI121" s="228">
        <v>38.47</v>
      </c>
      <c r="DJ121" s="228">
        <v>36.14</v>
      </c>
      <c r="DK121" s="228">
        <v>2.33</v>
      </c>
      <c r="DL121" s="228">
        <v>2.33</v>
      </c>
      <c r="DM121" s="228">
        <v>38.409999999999997</v>
      </c>
      <c r="DN121" s="228">
        <v>36.03</v>
      </c>
      <c r="DO121" s="228">
        <v>2.38</v>
      </c>
      <c r="DP121" s="228">
        <v>2.38</v>
      </c>
      <c r="DQ121" s="228">
        <v>0.54</v>
      </c>
      <c r="DR121" s="228">
        <v>0.55000000000000004</v>
      </c>
      <c r="DS121" s="228">
        <v>-0.01</v>
      </c>
      <c r="DT121" s="229">
        <v>-1.8200000000000001E-2</v>
      </c>
      <c r="DU121" s="231">
        <v>2300</v>
      </c>
      <c r="DV121" s="231">
        <v>2200</v>
      </c>
      <c r="DW121" s="228">
        <v>0.33</v>
      </c>
      <c r="DX121" s="228">
        <v>0.39</v>
      </c>
      <c r="DY121" s="228">
        <v>-0.06</v>
      </c>
      <c r="DZ121" s="229">
        <v>-0.15379999999999999</v>
      </c>
      <c r="EA121" s="229">
        <v>2.3800000000000002E-2</v>
      </c>
      <c r="EB121" s="230">
        <v>181900</v>
      </c>
      <c r="EC121" s="229">
        <v>6.3E-3</v>
      </c>
      <c r="ED121" s="229">
        <v>2.3800000000000002E-2</v>
      </c>
      <c r="EE121" s="228">
        <v>15.17</v>
      </c>
      <c r="EF121" s="229">
        <v>6.7999999999999996E-3</v>
      </c>
      <c r="EG121" s="230">
        <v>301339</v>
      </c>
      <c r="EH121" s="230">
        <v>320365</v>
      </c>
      <c r="EI121" s="229">
        <v>-5.9400000000000001E-2</v>
      </c>
      <c r="EJ121" s="229">
        <v>0.52270000000000005</v>
      </c>
      <c r="EK121" s="231">
        <v>1661.31</v>
      </c>
      <c r="EL121" s="228">
        <v>513.14</v>
      </c>
      <c r="EM121" s="228">
        <v>442.39</v>
      </c>
      <c r="EN121" s="228">
        <v>44.55</v>
      </c>
      <c r="EO121" s="231">
        <v>2616.84</v>
      </c>
      <c r="EP121" s="231">
        <v>2708.85</v>
      </c>
      <c r="EQ121" s="228">
        <v>-92</v>
      </c>
      <c r="ER121" s="229">
        <v>-3.4000000000000002E-2</v>
      </c>
      <c r="ES121" s="228">
        <v>954.04</v>
      </c>
      <c r="ET121" s="228">
        <v>478.34</v>
      </c>
      <c r="EU121" s="231">
        <v>1833.8</v>
      </c>
      <c r="EV121" s="231">
        <v>36381777</v>
      </c>
      <c r="EW121" s="231">
        <v>3266.18</v>
      </c>
      <c r="EX121" s="231">
        <v>2970.78</v>
      </c>
      <c r="EY121" s="228">
        <v>295.39999999999998</v>
      </c>
      <c r="EZ121" s="229">
        <v>9.9400000000000002E-2</v>
      </c>
      <c r="FA121" s="229">
        <v>0.40389999999999998</v>
      </c>
      <c r="FB121" s="227" t="s">
        <v>555</v>
      </c>
      <c r="FC121">
        <f t="shared" si="1"/>
        <v>43</v>
      </c>
    </row>
    <row r="122" spans="1:159" ht="17.25" hidden="1" thickBot="1" x14ac:dyDescent="0.3">
      <c r="A122" s="226">
        <v>46064</v>
      </c>
      <c r="B122" s="227" t="s">
        <v>162</v>
      </c>
      <c r="C122" s="227" t="s">
        <v>251</v>
      </c>
      <c r="D122" s="228">
        <v>200</v>
      </c>
      <c r="E122" s="228">
        <v>13</v>
      </c>
      <c r="F122" s="231">
        <v>3680.7</v>
      </c>
      <c r="G122" s="231">
        <v>3680.6</v>
      </c>
      <c r="H122" s="228">
        <v>0.1</v>
      </c>
      <c r="I122" s="229">
        <v>0</v>
      </c>
      <c r="J122" s="231">
        <v>3674.9</v>
      </c>
      <c r="K122" s="231">
        <v>3675.8</v>
      </c>
      <c r="L122" s="228">
        <v>-0.9</v>
      </c>
      <c r="M122" s="229">
        <v>-2.0000000000000001E-4</v>
      </c>
      <c r="N122" s="231">
        <v>3680.7</v>
      </c>
      <c r="O122" s="231">
        <v>3680.6</v>
      </c>
      <c r="P122" s="228">
        <v>0.1</v>
      </c>
      <c r="Q122" s="229">
        <v>0</v>
      </c>
      <c r="R122" s="231">
        <v>3705.3</v>
      </c>
      <c r="S122" s="231">
        <v>3704.1</v>
      </c>
      <c r="T122" s="228">
        <v>1.2</v>
      </c>
      <c r="U122" s="229">
        <v>2.9999999999999997E-4</v>
      </c>
      <c r="V122" s="231">
        <v>3728.2</v>
      </c>
      <c r="W122" s="231">
        <v>3726.9</v>
      </c>
      <c r="X122" s="228">
        <v>1.3</v>
      </c>
      <c r="Y122" s="229">
        <v>2.9999999999999997E-4</v>
      </c>
      <c r="Z122" s="228">
        <v>5.8</v>
      </c>
      <c r="AA122" s="228">
        <v>4.8</v>
      </c>
      <c r="AB122" s="228">
        <v>1</v>
      </c>
      <c r="AC122" s="229">
        <v>1.6000000000000001E-3</v>
      </c>
      <c r="AD122" s="228">
        <v>5.8</v>
      </c>
      <c r="AE122" s="228">
        <v>4.8</v>
      </c>
      <c r="AF122" s="228">
        <v>1</v>
      </c>
      <c r="AG122" s="229">
        <v>1.6000000000000001E-3</v>
      </c>
      <c r="AH122" s="228">
        <v>30.4</v>
      </c>
      <c r="AI122" s="228">
        <v>28.3</v>
      </c>
      <c r="AJ122" s="228">
        <v>2.1</v>
      </c>
      <c r="AK122" s="229">
        <v>8.3000000000000001E-3</v>
      </c>
      <c r="AL122" s="228">
        <v>53.3</v>
      </c>
      <c r="AM122" s="228">
        <v>51.1</v>
      </c>
      <c r="AN122" s="228">
        <v>2.2000000000000002</v>
      </c>
      <c r="AO122" s="229">
        <v>1.4500000000000001E-2</v>
      </c>
      <c r="AP122" s="231">
        <v>3722.22</v>
      </c>
      <c r="AQ122" s="231">
        <v>3745.53</v>
      </c>
      <c r="AR122" s="228">
        <v>0</v>
      </c>
      <c r="AS122" s="230">
        <v>2515</v>
      </c>
      <c r="AT122" s="228">
        <v>741</v>
      </c>
      <c r="AU122" s="230">
        <v>1774</v>
      </c>
      <c r="AV122" s="229">
        <v>2.3954</v>
      </c>
      <c r="AW122" s="230">
        <v>2343</v>
      </c>
      <c r="AX122" s="228">
        <v>690</v>
      </c>
      <c r="AY122" s="230">
        <v>1653</v>
      </c>
      <c r="AZ122" s="229">
        <v>2.3957999999999999</v>
      </c>
      <c r="BA122" s="228">
        <v>146</v>
      </c>
      <c r="BB122" s="228">
        <v>41</v>
      </c>
      <c r="BC122" s="228">
        <v>105</v>
      </c>
      <c r="BD122" s="229">
        <v>2.5672999999999999</v>
      </c>
      <c r="BE122" s="228">
        <v>26</v>
      </c>
      <c r="BF122" s="228">
        <v>10</v>
      </c>
      <c r="BG122" s="228">
        <v>16</v>
      </c>
      <c r="BH122" s="229">
        <v>1.6540999999999999</v>
      </c>
      <c r="BI122" s="230">
        <v>24776</v>
      </c>
      <c r="BJ122" s="230">
        <v>5229</v>
      </c>
      <c r="BK122" s="230">
        <v>19547</v>
      </c>
      <c r="BL122" s="229">
        <v>3.7378</v>
      </c>
      <c r="BM122" s="230">
        <v>10028</v>
      </c>
      <c r="BN122" s="230">
        <v>1830</v>
      </c>
      <c r="BO122" s="230">
        <v>8198</v>
      </c>
      <c r="BP122" s="229">
        <v>4.4810999999999996</v>
      </c>
      <c r="BQ122" s="230">
        <v>37319</v>
      </c>
      <c r="BR122" s="230">
        <v>7800</v>
      </c>
      <c r="BS122" s="230">
        <v>29519</v>
      </c>
      <c r="BT122" s="229">
        <v>3.7847</v>
      </c>
      <c r="BU122" s="230">
        <v>4993646</v>
      </c>
      <c r="BV122" s="230">
        <v>2022498</v>
      </c>
      <c r="BW122" s="230">
        <v>2971148</v>
      </c>
      <c r="BX122" s="229">
        <v>1.4690000000000001</v>
      </c>
      <c r="BY122" s="230">
        <v>7128</v>
      </c>
      <c r="BZ122" s="230">
        <v>7199</v>
      </c>
      <c r="CA122" s="228">
        <v>-71</v>
      </c>
      <c r="CB122" s="229">
        <v>-9.7999999999999997E-3</v>
      </c>
      <c r="CC122" s="230">
        <v>6422</v>
      </c>
      <c r="CD122" s="230">
        <v>6531</v>
      </c>
      <c r="CE122" s="228">
        <v>-109</v>
      </c>
      <c r="CF122" s="229">
        <v>-1.66E-2</v>
      </c>
      <c r="CG122" s="228">
        <v>672</v>
      </c>
      <c r="CH122" s="228">
        <v>644</v>
      </c>
      <c r="CI122" s="228">
        <v>28</v>
      </c>
      <c r="CJ122" s="229">
        <v>4.2999999999999997E-2</v>
      </c>
      <c r="CK122" s="228">
        <v>34</v>
      </c>
      <c r="CL122" s="228">
        <v>24</v>
      </c>
      <c r="CM122" s="228">
        <v>10</v>
      </c>
      <c r="CN122" s="229">
        <v>0.42680000000000001</v>
      </c>
      <c r="CO122" s="230">
        <v>3526</v>
      </c>
      <c r="CP122" s="230">
        <v>1908</v>
      </c>
      <c r="CQ122" s="230">
        <v>1618</v>
      </c>
      <c r="CR122" s="229">
        <v>0.84789999999999999</v>
      </c>
      <c r="CS122" s="230">
        <v>1654</v>
      </c>
      <c r="CT122" s="230">
        <v>1266</v>
      </c>
      <c r="CU122" s="228">
        <v>389</v>
      </c>
      <c r="CV122" s="229">
        <v>0.307</v>
      </c>
      <c r="CW122" s="230">
        <v>12308</v>
      </c>
      <c r="CX122" s="230">
        <v>10373</v>
      </c>
      <c r="CY122" s="230">
        <v>1936</v>
      </c>
      <c r="CZ122" s="229">
        <v>0.18659999999999999</v>
      </c>
      <c r="DA122" s="228">
        <v>32.15</v>
      </c>
      <c r="DB122" s="228">
        <v>30.38</v>
      </c>
      <c r="DC122" s="228">
        <v>1.77</v>
      </c>
      <c r="DD122" s="228">
        <v>1.77</v>
      </c>
      <c r="DE122" s="228">
        <v>31.26</v>
      </c>
      <c r="DF122" s="228">
        <v>31.34</v>
      </c>
      <c r="DG122" s="228">
        <v>0.89</v>
      </c>
      <c r="DH122" s="228">
        <v>-0.08</v>
      </c>
      <c r="DI122" s="228">
        <v>32.549999999999997</v>
      </c>
      <c r="DJ122" s="228">
        <v>30</v>
      </c>
      <c r="DK122" s="228">
        <v>2.5499999999999998</v>
      </c>
      <c r="DL122" s="228">
        <v>2.5499999999999998</v>
      </c>
      <c r="DM122" s="228">
        <v>31.16</v>
      </c>
      <c r="DN122" s="228">
        <v>31.49</v>
      </c>
      <c r="DO122" s="228">
        <v>-0.33</v>
      </c>
      <c r="DP122" s="228">
        <v>-0.33</v>
      </c>
      <c r="DQ122" s="228">
        <v>0.47</v>
      </c>
      <c r="DR122" s="228">
        <v>0.66</v>
      </c>
      <c r="DS122" s="228">
        <v>-0.19</v>
      </c>
      <c r="DT122" s="229">
        <v>-0.28789999999999999</v>
      </c>
      <c r="DU122" s="231">
        <v>3800</v>
      </c>
      <c r="DV122" s="231">
        <v>3500</v>
      </c>
      <c r="DW122" s="228">
        <v>0.4</v>
      </c>
      <c r="DX122" s="228">
        <v>0.35</v>
      </c>
      <c r="DY122" s="228">
        <v>0.05</v>
      </c>
      <c r="DZ122" s="229">
        <v>0.1429</v>
      </c>
      <c r="EA122" s="229">
        <v>9.9000000000000005E-2</v>
      </c>
      <c r="EB122" s="230">
        <v>1814800</v>
      </c>
      <c r="EC122" s="229">
        <v>6.7000000000000002E-3</v>
      </c>
      <c r="ED122" s="229">
        <v>9.9000000000000005E-2</v>
      </c>
      <c r="EE122" s="228">
        <v>23.31</v>
      </c>
      <c r="EF122" s="229">
        <v>6.3E-3</v>
      </c>
      <c r="EG122" s="230">
        <v>1623084</v>
      </c>
      <c r="EH122" s="230">
        <v>1110493</v>
      </c>
      <c r="EI122" s="229">
        <v>0.46160000000000001</v>
      </c>
      <c r="EJ122" s="229">
        <v>0.32500000000000001</v>
      </c>
      <c r="EK122" s="231">
        <v>26345.34</v>
      </c>
      <c r="EL122" s="231">
        <v>9932.76</v>
      </c>
      <c r="EM122" s="231">
        <v>2544.69</v>
      </c>
      <c r="EN122" s="228">
        <v>95.31</v>
      </c>
      <c r="EO122" s="231">
        <v>38822.79</v>
      </c>
      <c r="EP122" s="231">
        <v>7939.75</v>
      </c>
      <c r="EQ122" s="231">
        <v>30883.040000000001</v>
      </c>
      <c r="ER122" s="229">
        <v>3.8896999999999999</v>
      </c>
      <c r="ES122" s="231">
        <v>3669.05</v>
      </c>
      <c r="ET122" s="231">
        <v>1554.67</v>
      </c>
      <c r="EU122" s="231">
        <v>7133.2</v>
      </c>
      <c r="EV122" s="231">
        <v>95452027</v>
      </c>
      <c r="EW122" s="231">
        <v>12356.92</v>
      </c>
      <c r="EX122" s="231">
        <v>10307.1</v>
      </c>
      <c r="EY122" s="231">
        <v>2049.8200000000002</v>
      </c>
      <c r="EZ122" s="229">
        <v>0.19889999999999999</v>
      </c>
      <c r="FA122" s="229">
        <v>0.3503</v>
      </c>
      <c r="FB122" s="227" t="s">
        <v>237</v>
      </c>
      <c r="FC122">
        <f t="shared" si="1"/>
        <v>706</v>
      </c>
    </row>
    <row r="123" spans="1:159" ht="17.25" hidden="1" thickBot="1" x14ac:dyDescent="0.3">
      <c r="A123" s="226">
        <v>46064</v>
      </c>
      <c r="B123" s="227" t="s">
        <v>175</v>
      </c>
      <c r="C123" s="227" t="s">
        <v>253</v>
      </c>
      <c r="D123" s="228">
        <v>3000</v>
      </c>
      <c r="E123" s="228">
        <v>13</v>
      </c>
      <c r="F123" s="228">
        <v>302.95</v>
      </c>
      <c r="G123" s="228">
        <v>309.2</v>
      </c>
      <c r="H123" s="228">
        <v>-6.25</v>
      </c>
      <c r="I123" s="229">
        <v>-2.0199999999999999E-2</v>
      </c>
      <c r="J123" s="228">
        <v>302.55</v>
      </c>
      <c r="K123" s="228">
        <v>308.95</v>
      </c>
      <c r="L123" s="228">
        <v>-6.4</v>
      </c>
      <c r="M123" s="229">
        <v>-2.07E-2</v>
      </c>
      <c r="N123" s="228">
        <v>302.95</v>
      </c>
      <c r="O123" s="228">
        <v>309.2</v>
      </c>
      <c r="P123" s="228">
        <v>-6.25</v>
      </c>
      <c r="Q123" s="229">
        <v>-2.0199999999999999E-2</v>
      </c>
      <c r="R123" s="228">
        <v>304.85000000000002</v>
      </c>
      <c r="S123" s="228">
        <v>310.55</v>
      </c>
      <c r="T123" s="228">
        <v>-5.7</v>
      </c>
      <c r="U123" s="229">
        <v>-1.84E-2</v>
      </c>
      <c r="V123" s="228">
        <v>305.55</v>
      </c>
      <c r="W123" s="228">
        <v>313.14999999999998</v>
      </c>
      <c r="X123" s="228">
        <v>-7.6</v>
      </c>
      <c r="Y123" s="229">
        <v>-2.4299999999999999E-2</v>
      </c>
      <c r="Z123" s="228">
        <v>0.4</v>
      </c>
      <c r="AA123" s="228">
        <v>0.25</v>
      </c>
      <c r="AB123" s="228">
        <v>0.15</v>
      </c>
      <c r="AC123" s="229">
        <v>1.2999999999999999E-3</v>
      </c>
      <c r="AD123" s="228">
        <v>0.4</v>
      </c>
      <c r="AE123" s="228">
        <v>0.25</v>
      </c>
      <c r="AF123" s="228">
        <v>0.15</v>
      </c>
      <c r="AG123" s="229">
        <v>1.2999999999999999E-3</v>
      </c>
      <c r="AH123" s="228">
        <v>2.2999999999999998</v>
      </c>
      <c r="AI123" s="228">
        <v>1.6</v>
      </c>
      <c r="AJ123" s="228">
        <v>0.7</v>
      </c>
      <c r="AK123" s="229">
        <v>7.6E-3</v>
      </c>
      <c r="AL123" s="228">
        <v>3</v>
      </c>
      <c r="AM123" s="228">
        <v>4.2</v>
      </c>
      <c r="AN123" s="228">
        <v>-1.2</v>
      </c>
      <c r="AO123" s="229">
        <v>9.9000000000000008E-3</v>
      </c>
      <c r="AP123" s="228">
        <v>307.41000000000003</v>
      </c>
      <c r="AQ123" s="228">
        <v>310.64</v>
      </c>
      <c r="AR123" s="228">
        <v>0</v>
      </c>
      <c r="AS123" s="228">
        <v>680</v>
      </c>
      <c r="AT123" s="228">
        <v>515</v>
      </c>
      <c r="AU123" s="228">
        <v>165</v>
      </c>
      <c r="AV123" s="229">
        <v>0.32090000000000002</v>
      </c>
      <c r="AW123" s="228">
        <v>630</v>
      </c>
      <c r="AX123" s="228">
        <v>490</v>
      </c>
      <c r="AY123" s="228">
        <v>140</v>
      </c>
      <c r="AZ123" s="229">
        <v>0.28589999999999999</v>
      </c>
      <c r="BA123" s="228">
        <v>48</v>
      </c>
      <c r="BB123" s="228">
        <v>22</v>
      </c>
      <c r="BC123" s="228">
        <v>26</v>
      </c>
      <c r="BD123" s="229">
        <v>1.1516</v>
      </c>
      <c r="BE123" s="228">
        <v>2</v>
      </c>
      <c r="BF123" s="228">
        <v>2</v>
      </c>
      <c r="BG123" s="228">
        <v>0</v>
      </c>
      <c r="BH123" s="229">
        <v>-0.1852</v>
      </c>
      <c r="BI123" s="230">
        <v>1071</v>
      </c>
      <c r="BJ123" s="228">
        <v>981</v>
      </c>
      <c r="BK123" s="228">
        <v>90</v>
      </c>
      <c r="BL123" s="229">
        <v>9.1999999999999998E-2</v>
      </c>
      <c r="BM123" s="228">
        <v>832</v>
      </c>
      <c r="BN123" s="228">
        <v>521</v>
      </c>
      <c r="BO123" s="228">
        <v>311</v>
      </c>
      <c r="BP123" s="229">
        <v>0.59599999999999997</v>
      </c>
      <c r="BQ123" s="230">
        <v>2583</v>
      </c>
      <c r="BR123" s="230">
        <v>2017</v>
      </c>
      <c r="BS123" s="228">
        <v>566</v>
      </c>
      <c r="BT123" s="229">
        <v>0.28070000000000001</v>
      </c>
      <c r="BU123" s="230">
        <v>6531644</v>
      </c>
      <c r="BV123" s="230">
        <v>5012420</v>
      </c>
      <c r="BW123" s="230">
        <v>1519224</v>
      </c>
      <c r="BX123" s="229">
        <v>0.30309999999999998</v>
      </c>
      <c r="BY123" s="230">
        <v>1487</v>
      </c>
      <c r="BZ123" s="230">
        <v>1499</v>
      </c>
      <c r="CA123" s="228">
        <v>-12</v>
      </c>
      <c r="CB123" s="229">
        <v>-8.0000000000000002E-3</v>
      </c>
      <c r="CC123" s="230">
        <v>1454</v>
      </c>
      <c r="CD123" s="230">
        <v>1468</v>
      </c>
      <c r="CE123" s="228">
        <v>-14</v>
      </c>
      <c r="CF123" s="229">
        <v>-9.2999999999999992E-3</v>
      </c>
      <c r="CG123" s="228">
        <v>28</v>
      </c>
      <c r="CH123" s="228">
        <v>27</v>
      </c>
      <c r="CI123" s="228">
        <v>0</v>
      </c>
      <c r="CJ123" s="229">
        <v>1.66E-2</v>
      </c>
      <c r="CK123" s="228">
        <v>5</v>
      </c>
      <c r="CL123" s="228">
        <v>4</v>
      </c>
      <c r="CM123" s="228">
        <v>1</v>
      </c>
      <c r="CN123" s="229">
        <v>0.33329999999999999</v>
      </c>
      <c r="CO123" s="228">
        <v>674</v>
      </c>
      <c r="CP123" s="228">
        <v>692</v>
      </c>
      <c r="CQ123" s="228">
        <v>-18</v>
      </c>
      <c r="CR123" s="229">
        <v>-2.5600000000000001E-2</v>
      </c>
      <c r="CS123" s="228">
        <v>647</v>
      </c>
      <c r="CT123" s="228">
        <v>548</v>
      </c>
      <c r="CU123" s="228">
        <v>99</v>
      </c>
      <c r="CV123" s="229">
        <v>0.18</v>
      </c>
      <c r="CW123" s="230">
        <v>2808</v>
      </c>
      <c r="CX123" s="230">
        <v>2739</v>
      </c>
      <c r="CY123" s="228">
        <v>69</v>
      </c>
      <c r="CZ123" s="229">
        <v>2.52E-2</v>
      </c>
      <c r="DA123" s="228">
        <v>45.8</v>
      </c>
      <c r="DB123" s="228">
        <v>44.47</v>
      </c>
      <c r="DC123" s="228">
        <v>1.33</v>
      </c>
      <c r="DD123" s="228">
        <v>1.33</v>
      </c>
      <c r="DE123" s="228">
        <v>42.97</v>
      </c>
      <c r="DF123" s="228">
        <v>42.99</v>
      </c>
      <c r="DG123" s="228">
        <v>2.83</v>
      </c>
      <c r="DH123" s="228">
        <v>-0.02</v>
      </c>
      <c r="DI123" s="228">
        <v>45.13</v>
      </c>
      <c r="DJ123" s="228">
        <v>43.73</v>
      </c>
      <c r="DK123" s="228">
        <v>1.4</v>
      </c>
      <c r="DL123" s="228">
        <v>1.4</v>
      </c>
      <c r="DM123" s="228">
        <v>46.67</v>
      </c>
      <c r="DN123" s="228">
        <v>45.86</v>
      </c>
      <c r="DO123" s="228">
        <v>0.81</v>
      </c>
      <c r="DP123" s="228">
        <v>0.81</v>
      </c>
      <c r="DQ123" s="228">
        <v>0.96</v>
      </c>
      <c r="DR123" s="228">
        <v>0.79</v>
      </c>
      <c r="DS123" s="228">
        <v>0.17</v>
      </c>
      <c r="DT123" s="229">
        <v>0.2152</v>
      </c>
      <c r="DU123" s="228">
        <v>300</v>
      </c>
      <c r="DV123" s="228">
        <v>300</v>
      </c>
      <c r="DW123" s="228">
        <v>0.78</v>
      </c>
      <c r="DX123" s="228">
        <v>0.53</v>
      </c>
      <c r="DY123" s="228">
        <v>0.25</v>
      </c>
      <c r="DZ123" s="229">
        <v>0.47170000000000001</v>
      </c>
      <c r="EA123" s="229">
        <v>2.2200000000000001E-2</v>
      </c>
      <c r="EB123" s="230">
        <v>1032000</v>
      </c>
      <c r="EC123" s="229">
        <v>6.3E-3</v>
      </c>
      <c r="ED123" s="229">
        <v>2.2200000000000001E-2</v>
      </c>
      <c r="EE123" s="228">
        <v>3.23</v>
      </c>
      <c r="EF123" s="229">
        <v>1.0500000000000001E-2</v>
      </c>
      <c r="EG123" s="230">
        <v>2249926</v>
      </c>
      <c r="EH123" s="230">
        <v>1632490</v>
      </c>
      <c r="EI123" s="229">
        <v>0.37819999999999998</v>
      </c>
      <c r="EJ123" s="229">
        <v>0.34449999999999997</v>
      </c>
      <c r="EK123" s="231">
        <v>1137.94</v>
      </c>
      <c r="EL123" s="228">
        <v>840.93</v>
      </c>
      <c r="EM123" s="228">
        <v>690.63</v>
      </c>
      <c r="EN123" s="228">
        <v>53.73</v>
      </c>
      <c r="EO123" s="231">
        <v>2669.5</v>
      </c>
      <c r="EP123" s="231">
        <v>2087.86</v>
      </c>
      <c r="EQ123" s="228">
        <v>581.64</v>
      </c>
      <c r="ER123" s="229">
        <v>0.27860000000000001</v>
      </c>
      <c r="ES123" s="228">
        <v>682.15</v>
      </c>
      <c r="ET123" s="228">
        <v>605.03</v>
      </c>
      <c r="EU123" s="231">
        <v>1487.64</v>
      </c>
      <c r="EV123" s="231">
        <v>82205057</v>
      </c>
      <c r="EW123" s="231">
        <v>2774.83</v>
      </c>
      <c r="EX123" s="231">
        <v>2734.6</v>
      </c>
      <c r="EY123" s="228">
        <v>40.229999999999997</v>
      </c>
      <c r="EZ123" s="229">
        <v>1.47E-2</v>
      </c>
      <c r="FA123" s="229">
        <v>1.1275999999999999</v>
      </c>
      <c r="FB123" s="227" t="s">
        <v>568</v>
      </c>
      <c r="FC123">
        <f t="shared" si="1"/>
        <v>33</v>
      </c>
    </row>
    <row r="124" spans="1:159" ht="17.25" hidden="1" thickBot="1" x14ac:dyDescent="0.3">
      <c r="A124" s="226">
        <v>46064</v>
      </c>
      <c r="B124" s="227" t="s">
        <v>170</v>
      </c>
      <c r="C124" s="227" t="s">
        <v>671</v>
      </c>
      <c r="D124" s="228">
        <v>225</v>
      </c>
      <c r="E124" s="228">
        <v>13</v>
      </c>
      <c r="F124" s="231">
        <v>2085.8000000000002</v>
      </c>
      <c r="G124" s="231">
        <v>2074.5</v>
      </c>
      <c r="H124" s="228">
        <v>11.3</v>
      </c>
      <c r="I124" s="229">
        <v>5.4000000000000003E-3</v>
      </c>
      <c r="J124" s="231">
        <v>2087</v>
      </c>
      <c r="K124" s="231">
        <v>2073.1</v>
      </c>
      <c r="L124" s="228">
        <v>13.9</v>
      </c>
      <c r="M124" s="229">
        <v>6.7000000000000002E-3</v>
      </c>
      <c r="N124" s="231">
        <v>2085.8000000000002</v>
      </c>
      <c r="O124" s="231">
        <v>2074.5</v>
      </c>
      <c r="P124" s="228">
        <v>11.3</v>
      </c>
      <c r="Q124" s="229">
        <v>5.4000000000000003E-3</v>
      </c>
      <c r="R124" s="231">
        <v>2086.4</v>
      </c>
      <c r="S124" s="231">
        <v>2076.1999999999998</v>
      </c>
      <c r="T124" s="228">
        <v>10.199999999999999</v>
      </c>
      <c r="U124" s="229">
        <v>4.8999999999999998E-3</v>
      </c>
      <c r="V124" s="231">
        <v>2095.6</v>
      </c>
      <c r="W124" s="231">
        <v>2086</v>
      </c>
      <c r="X124" s="228">
        <v>9.6</v>
      </c>
      <c r="Y124" s="229">
        <v>4.5999999999999999E-3</v>
      </c>
      <c r="Z124" s="228">
        <v>-1.2</v>
      </c>
      <c r="AA124" s="228">
        <v>1.4</v>
      </c>
      <c r="AB124" s="228">
        <v>-2.6</v>
      </c>
      <c r="AC124" s="229">
        <v>-5.9999999999999995E-4</v>
      </c>
      <c r="AD124" s="228">
        <v>-1.2</v>
      </c>
      <c r="AE124" s="228">
        <v>1.4</v>
      </c>
      <c r="AF124" s="228">
        <v>-2.6</v>
      </c>
      <c r="AG124" s="229">
        <v>-5.9999999999999995E-4</v>
      </c>
      <c r="AH124" s="228">
        <v>-0.6</v>
      </c>
      <c r="AI124" s="228">
        <v>3.1</v>
      </c>
      <c r="AJ124" s="228">
        <v>-3.7</v>
      </c>
      <c r="AK124" s="229">
        <v>-2.9999999999999997E-4</v>
      </c>
      <c r="AL124" s="228">
        <v>8.6</v>
      </c>
      <c r="AM124" s="228">
        <v>12.9</v>
      </c>
      <c r="AN124" s="228">
        <v>-4.3</v>
      </c>
      <c r="AO124" s="229">
        <v>4.1000000000000003E-3</v>
      </c>
      <c r="AP124" s="231">
        <v>2082.5500000000002</v>
      </c>
      <c r="AQ124" s="231">
        <v>2083.0100000000002</v>
      </c>
      <c r="AR124" s="228">
        <v>0</v>
      </c>
      <c r="AS124" s="228">
        <v>55</v>
      </c>
      <c r="AT124" s="228">
        <v>68</v>
      </c>
      <c r="AU124" s="228">
        <v>-13</v>
      </c>
      <c r="AV124" s="229">
        <v>-0.1867</v>
      </c>
      <c r="AW124" s="228">
        <v>47</v>
      </c>
      <c r="AX124" s="228">
        <v>55</v>
      </c>
      <c r="AY124" s="228">
        <v>-7</v>
      </c>
      <c r="AZ124" s="229">
        <v>-0.1323</v>
      </c>
      <c r="BA124" s="228">
        <v>7</v>
      </c>
      <c r="BB124" s="228">
        <v>10</v>
      </c>
      <c r="BC124" s="228">
        <v>-3</v>
      </c>
      <c r="BD124" s="229">
        <v>-0.33800000000000002</v>
      </c>
      <c r="BE124" s="228">
        <v>1</v>
      </c>
      <c r="BF124" s="228">
        <v>3</v>
      </c>
      <c r="BG124" s="228">
        <v>-2</v>
      </c>
      <c r="BH124" s="229">
        <v>-0.6885</v>
      </c>
      <c r="BI124" s="228">
        <v>192</v>
      </c>
      <c r="BJ124" s="228">
        <v>139</v>
      </c>
      <c r="BK124" s="228">
        <v>52</v>
      </c>
      <c r="BL124" s="229">
        <v>0.3755</v>
      </c>
      <c r="BM124" s="228">
        <v>37</v>
      </c>
      <c r="BN124" s="228">
        <v>34</v>
      </c>
      <c r="BO124" s="228">
        <v>3</v>
      </c>
      <c r="BP124" s="229">
        <v>0.1022</v>
      </c>
      <c r="BQ124" s="228">
        <v>284</v>
      </c>
      <c r="BR124" s="228">
        <v>241</v>
      </c>
      <c r="BS124" s="228">
        <v>43</v>
      </c>
      <c r="BT124" s="229">
        <v>0.1792</v>
      </c>
      <c r="BU124" s="230">
        <v>194760</v>
      </c>
      <c r="BV124" s="230">
        <v>276668</v>
      </c>
      <c r="BW124" s="230">
        <v>-81908</v>
      </c>
      <c r="BX124" s="229">
        <v>-0.29609999999999997</v>
      </c>
      <c r="BY124" s="228">
        <v>572</v>
      </c>
      <c r="BZ124" s="228">
        <v>569</v>
      </c>
      <c r="CA124" s="228">
        <v>4</v>
      </c>
      <c r="CB124" s="229">
        <v>6.8999999999999999E-3</v>
      </c>
      <c r="CC124" s="228">
        <v>528</v>
      </c>
      <c r="CD124" s="228">
        <v>525</v>
      </c>
      <c r="CE124" s="228">
        <v>2</v>
      </c>
      <c r="CF124" s="229">
        <v>4.0000000000000001E-3</v>
      </c>
      <c r="CG124" s="228">
        <v>30</v>
      </c>
      <c r="CH124" s="228">
        <v>29</v>
      </c>
      <c r="CI124" s="228">
        <v>1</v>
      </c>
      <c r="CJ124" s="229">
        <v>4.8800000000000003E-2</v>
      </c>
      <c r="CK124" s="228">
        <v>15</v>
      </c>
      <c r="CL124" s="228">
        <v>14</v>
      </c>
      <c r="CM124" s="228">
        <v>0</v>
      </c>
      <c r="CN124" s="229">
        <v>2.64E-2</v>
      </c>
      <c r="CO124" s="228">
        <v>361</v>
      </c>
      <c r="CP124" s="228">
        <v>369</v>
      </c>
      <c r="CQ124" s="228">
        <v>-7</v>
      </c>
      <c r="CR124" s="229">
        <v>-1.9599999999999999E-2</v>
      </c>
      <c r="CS124" s="228">
        <v>137</v>
      </c>
      <c r="CT124" s="228">
        <v>138</v>
      </c>
      <c r="CU124" s="228">
        <v>-1</v>
      </c>
      <c r="CV124" s="229">
        <v>-5.4000000000000003E-3</v>
      </c>
      <c r="CW124" s="230">
        <v>1071</v>
      </c>
      <c r="CX124" s="230">
        <v>1075</v>
      </c>
      <c r="CY124" s="228">
        <v>-4</v>
      </c>
      <c r="CZ124" s="229">
        <v>-3.8E-3</v>
      </c>
      <c r="DA124" s="228">
        <v>27.9</v>
      </c>
      <c r="DB124" s="228">
        <v>29.15</v>
      </c>
      <c r="DC124" s="228">
        <v>-1.25</v>
      </c>
      <c r="DD124" s="228">
        <v>-1.25</v>
      </c>
      <c r="DE124" s="228">
        <v>32.65</v>
      </c>
      <c r="DF124" s="228">
        <v>32.72</v>
      </c>
      <c r="DG124" s="228">
        <v>-4.75</v>
      </c>
      <c r="DH124" s="228">
        <v>-7.0000000000000007E-2</v>
      </c>
      <c r="DI124" s="228">
        <v>28.15</v>
      </c>
      <c r="DJ124" s="228">
        <v>29.61</v>
      </c>
      <c r="DK124" s="228">
        <v>-1.46</v>
      </c>
      <c r="DL124" s="228">
        <v>-1.46</v>
      </c>
      <c r="DM124" s="228">
        <v>26.63</v>
      </c>
      <c r="DN124" s="228">
        <v>27.26</v>
      </c>
      <c r="DO124" s="228">
        <v>-0.63</v>
      </c>
      <c r="DP124" s="228">
        <v>-0.63</v>
      </c>
      <c r="DQ124" s="228">
        <v>0.38</v>
      </c>
      <c r="DR124" s="228">
        <v>0.37</v>
      </c>
      <c r="DS124" s="228">
        <v>0.01</v>
      </c>
      <c r="DT124" s="229">
        <v>2.7E-2</v>
      </c>
      <c r="DU124" s="231">
        <v>2200</v>
      </c>
      <c r="DV124" s="231">
        <v>2100</v>
      </c>
      <c r="DW124" s="228">
        <v>0.2</v>
      </c>
      <c r="DX124" s="228">
        <v>0.24</v>
      </c>
      <c r="DY124" s="228">
        <v>-0.04</v>
      </c>
      <c r="DZ124" s="229">
        <v>-0.16669999999999999</v>
      </c>
      <c r="EA124" s="229">
        <v>7.8399999999999997E-2</v>
      </c>
      <c r="EB124" s="230">
        <v>206550</v>
      </c>
      <c r="EC124" s="229">
        <v>2.9999999999999997E-4</v>
      </c>
      <c r="ED124" s="229">
        <v>7.8399999999999997E-2</v>
      </c>
      <c r="EE124" s="228">
        <v>0.46</v>
      </c>
      <c r="EF124" s="229">
        <v>2.0000000000000001E-4</v>
      </c>
      <c r="EG124" s="230">
        <v>112207</v>
      </c>
      <c r="EH124" s="230">
        <v>159338</v>
      </c>
      <c r="EI124" s="229">
        <v>-0.29580000000000001</v>
      </c>
      <c r="EJ124" s="229">
        <v>0.57609999999999995</v>
      </c>
      <c r="EK124" s="228">
        <v>202.46</v>
      </c>
      <c r="EL124" s="228">
        <v>36.19</v>
      </c>
      <c r="EM124" s="228">
        <v>54.92</v>
      </c>
      <c r="EN124" s="228">
        <v>25.54</v>
      </c>
      <c r="EO124" s="228">
        <v>293.57</v>
      </c>
      <c r="EP124" s="228">
        <v>248.62</v>
      </c>
      <c r="EQ124" s="228">
        <v>44.94</v>
      </c>
      <c r="ER124" s="229">
        <v>0.18079999999999999</v>
      </c>
      <c r="ES124" s="228">
        <v>384.1</v>
      </c>
      <c r="ET124" s="228">
        <v>134.53</v>
      </c>
      <c r="EU124" s="228">
        <v>572.49</v>
      </c>
      <c r="EV124" s="231">
        <v>16919681</v>
      </c>
      <c r="EW124" s="231">
        <v>1091.1099999999999</v>
      </c>
      <c r="EX124" s="231">
        <v>1093</v>
      </c>
      <c r="EY124" s="228">
        <v>-1.89</v>
      </c>
      <c r="EZ124" s="229">
        <v>-1.6999999999999999E-3</v>
      </c>
      <c r="FA124" s="229">
        <v>0.30349999999999999</v>
      </c>
      <c r="FB124" s="227" t="s">
        <v>555</v>
      </c>
      <c r="FC124">
        <f t="shared" si="1"/>
        <v>44</v>
      </c>
    </row>
    <row r="125" spans="1:159" ht="17.25" hidden="1" thickBot="1" x14ac:dyDescent="0.3">
      <c r="A125" s="226">
        <v>46064</v>
      </c>
      <c r="B125" s="227" t="s">
        <v>168</v>
      </c>
      <c r="C125" s="227" t="s">
        <v>254</v>
      </c>
      <c r="D125" s="228">
        <v>1200</v>
      </c>
      <c r="E125" s="228">
        <v>13</v>
      </c>
      <c r="F125" s="228">
        <v>770.9</v>
      </c>
      <c r="G125" s="228">
        <v>765.25</v>
      </c>
      <c r="H125" s="228">
        <v>5.65</v>
      </c>
      <c r="I125" s="229">
        <v>7.4000000000000003E-3</v>
      </c>
      <c r="J125" s="228">
        <v>770.4</v>
      </c>
      <c r="K125" s="228">
        <v>764.85</v>
      </c>
      <c r="L125" s="228">
        <v>5.55</v>
      </c>
      <c r="M125" s="229">
        <v>7.3000000000000001E-3</v>
      </c>
      <c r="N125" s="228">
        <v>770.9</v>
      </c>
      <c r="O125" s="228">
        <v>765.25</v>
      </c>
      <c r="P125" s="228">
        <v>5.65</v>
      </c>
      <c r="Q125" s="229">
        <v>7.4000000000000003E-3</v>
      </c>
      <c r="R125" s="228">
        <v>770.5</v>
      </c>
      <c r="S125" s="228">
        <v>765.1</v>
      </c>
      <c r="T125" s="228">
        <v>5.4</v>
      </c>
      <c r="U125" s="229">
        <v>7.1000000000000004E-3</v>
      </c>
      <c r="V125" s="228">
        <v>769.4</v>
      </c>
      <c r="W125" s="228">
        <v>762.75</v>
      </c>
      <c r="X125" s="228">
        <v>6.65</v>
      </c>
      <c r="Y125" s="229">
        <v>8.6999999999999994E-3</v>
      </c>
      <c r="Z125" s="228">
        <v>0.5</v>
      </c>
      <c r="AA125" s="228">
        <v>0.4</v>
      </c>
      <c r="AB125" s="228">
        <v>0.1</v>
      </c>
      <c r="AC125" s="229">
        <v>5.9999999999999995E-4</v>
      </c>
      <c r="AD125" s="228">
        <v>0.5</v>
      </c>
      <c r="AE125" s="228">
        <v>0.4</v>
      </c>
      <c r="AF125" s="228">
        <v>0.1</v>
      </c>
      <c r="AG125" s="229">
        <v>5.9999999999999995E-4</v>
      </c>
      <c r="AH125" s="228">
        <v>0.1</v>
      </c>
      <c r="AI125" s="228">
        <v>0.25</v>
      </c>
      <c r="AJ125" s="228">
        <v>-0.15</v>
      </c>
      <c r="AK125" s="229">
        <v>1E-4</v>
      </c>
      <c r="AL125" s="228">
        <v>-1</v>
      </c>
      <c r="AM125" s="228">
        <v>-2.1</v>
      </c>
      <c r="AN125" s="228">
        <v>1.1000000000000001</v>
      </c>
      <c r="AO125" s="229">
        <v>-1.2999999999999999E-3</v>
      </c>
      <c r="AP125" s="228">
        <v>769.64</v>
      </c>
      <c r="AQ125" s="228">
        <v>769.29</v>
      </c>
      <c r="AR125" s="228">
        <v>0</v>
      </c>
      <c r="AS125" s="228">
        <v>129</v>
      </c>
      <c r="AT125" s="228">
        <v>144</v>
      </c>
      <c r="AU125" s="228">
        <v>-15</v>
      </c>
      <c r="AV125" s="229">
        <v>-0.10440000000000001</v>
      </c>
      <c r="AW125" s="228">
        <v>123</v>
      </c>
      <c r="AX125" s="228">
        <v>136</v>
      </c>
      <c r="AY125" s="228">
        <v>-13</v>
      </c>
      <c r="AZ125" s="229">
        <v>-9.8000000000000004E-2</v>
      </c>
      <c r="BA125" s="228">
        <v>6</v>
      </c>
      <c r="BB125" s="228">
        <v>7</v>
      </c>
      <c r="BC125" s="228">
        <v>-1</v>
      </c>
      <c r="BD125" s="229">
        <v>-0.20250000000000001</v>
      </c>
      <c r="BE125" s="228">
        <v>0</v>
      </c>
      <c r="BF125" s="228">
        <v>0</v>
      </c>
      <c r="BG125" s="228">
        <v>0</v>
      </c>
      <c r="BH125" s="229">
        <v>-0.5</v>
      </c>
      <c r="BI125" s="228">
        <v>812</v>
      </c>
      <c r="BJ125" s="228">
        <v>658</v>
      </c>
      <c r="BK125" s="228">
        <v>153</v>
      </c>
      <c r="BL125" s="229">
        <v>0.23280000000000001</v>
      </c>
      <c r="BM125" s="228">
        <v>357</v>
      </c>
      <c r="BN125" s="228">
        <v>286</v>
      </c>
      <c r="BO125" s="228">
        <v>71</v>
      </c>
      <c r="BP125" s="229">
        <v>0.2477</v>
      </c>
      <c r="BQ125" s="230">
        <v>1297</v>
      </c>
      <c r="BR125" s="230">
        <v>1088</v>
      </c>
      <c r="BS125" s="228">
        <v>209</v>
      </c>
      <c r="BT125" s="229">
        <v>0.19220000000000001</v>
      </c>
      <c r="BU125" s="230">
        <v>1117118</v>
      </c>
      <c r="BV125" s="230">
        <v>1546221</v>
      </c>
      <c r="BW125" s="230">
        <v>-429103</v>
      </c>
      <c r="BX125" s="229">
        <v>-0.27750000000000002</v>
      </c>
      <c r="BY125" s="230">
        <v>2201</v>
      </c>
      <c r="BZ125" s="230">
        <v>2206</v>
      </c>
      <c r="CA125" s="228">
        <v>-5</v>
      </c>
      <c r="CB125" s="229">
        <v>-2.2000000000000001E-3</v>
      </c>
      <c r="CC125" s="230">
        <v>2187</v>
      </c>
      <c r="CD125" s="230">
        <v>2192</v>
      </c>
      <c r="CE125" s="228">
        <v>-6</v>
      </c>
      <c r="CF125" s="229">
        <v>-2.5999999999999999E-3</v>
      </c>
      <c r="CG125" s="228">
        <v>13</v>
      </c>
      <c r="CH125" s="228">
        <v>13</v>
      </c>
      <c r="CI125" s="228">
        <v>1</v>
      </c>
      <c r="CJ125" s="229">
        <v>5.8400000000000001E-2</v>
      </c>
      <c r="CK125" s="228">
        <v>1</v>
      </c>
      <c r="CL125" s="228">
        <v>1</v>
      </c>
      <c r="CM125" s="228">
        <v>0</v>
      </c>
      <c r="CN125" s="229">
        <v>9.0899999999999995E-2</v>
      </c>
      <c r="CO125" s="228">
        <v>398</v>
      </c>
      <c r="CP125" s="228">
        <v>404</v>
      </c>
      <c r="CQ125" s="228">
        <v>-7</v>
      </c>
      <c r="CR125" s="229">
        <v>-1.6500000000000001E-2</v>
      </c>
      <c r="CS125" s="228">
        <v>333</v>
      </c>
      <c r="CT125" s="228">
        <v>310</v>
      </c>
      <c r="CU125" s="228">
        <v>23</v>
      </c>
      <c r="CV125" s="229">
        <v>7.3099999999999998E-2</v>
      </c>
      <c r="CW125" s="230">
        <v>2931</v>
      </c>
      <c r="CX125" s="230">
        <v>2920</v>
      </c>
      <c r="CY125" s="228">
        <v>11</v>
      </c>
      <c r="CZ125" s="229">
        <v>3.8E-3</v>
      </c>
      <c r="DA125" s="228">
        <v>19.350000000000001</v>
      </c>
      <c r="DB125" s="228">
        <v>19.38</v>
      </c>
      <c r="DC125" s="228">
        <v>-0.03</v>
      </c>
      <c r="DD125" s="228">
        <v>-0.03</v>
      </c>
      <c r="DE125" s="228">
        <v>24.02</v>
      </c>
      <c r="DF125" s="228">
        <v>24.06</v>
      </c>
      <c r="DG125" s="228">
        <v>-4.67</v>
      </c>
      <c r="DH125" s="228">
        <v>-0.04</v>
      </c>
      <c r="DI125" s="228">
        <v>18.600000000000001</v>
      </c>
      <c r="DJ125" s="228">
        <v>18.989999999999998</v>
      </c>
      <c r="DK125" s="228">
        <v>-0.39</v>
      </c>
      <c r="DL125" s="228">
        <v>-0.39</v>
      </c>
      <c r="DM125" s="228">
        <v>21.07</v>
      </c>
      <c r="DN125" s="228">
        <v>20.260000000000002</v>
      </c>
      <c r="DO125" s="228">
        <v>0.81</v>
      </c>
      <c r="DP125" s="228">
        <v>0.81</v>
      </c>
      <c r="DQ125" s="228">
        <v>0.84</v>
      </c>
      <c r="DR125" s="228">
        <v>0.77</v>
      </c>
      <c r="DS125" s="228">
        <v>7.0000000000000007E-2</v>
      </c>
      <c r="DT125" s="229">
        <v>9.0899999999999995E-2</v>
      </c>
      <c r="DU125" s="228">
        <v>800</v>
      </c>
      <c r="DV125" s="228">
        <v>735</v>
      </c>
      <c r="DW125" s="228">
        <v>0.44</v>
      </c>
      <c r="DX125" s="228">
        <v>0.43</v>
      </c>
      <c r="DY125" s="228">
        <v>0.01</v>
      </c>
      <c r="DZ125" s="229">
        <v>2.3300000000000001E-2</v>
      </c>
      <c r="EA125" s="229">
        <v>6.6E-3</v>
      </c>
      <c r="EB125" s="230">
        <v>177600</v>
      </c>
      <c r="EC125" s="229">
        <v>-5.0000000000000001E-4</v>
      </c>
      <c r="ED125" s="229">
        <v>6.6E-3</v>
      </c>
      <c r="EE125" s="228">
        <v>-0.35</v>
      </c>
      <c r="EF125" s="229">
        <v>-5.0000000000000001E-4</v>
      </c>
      <c r="EG125" s="230">
        <v>675529</v>
      </c>
      <c r="EH125" s="230">
        <v>978529</v>
      </c>
      <c r="EI125" s="229">
        <v>-0.30959999999999999</v>
      </c>
      <c r="EJ125" s="229">
        <v>0.60470000000000002</v>
      </c>
      <c r="EK125" s="228">
        <v>830.87</v>
      </c>
      <c r="EL125" s="228">
        <v>340.65</v>
      </c>
      <c r="EM125" s="228">
        <v>128.37</v>
      </c>
      <c r="EN125" s="228">
        <v>19.28</v>
      </c>
      <c r="EO125" s="231">
        <v>1299.8900000000001</v>
      </c>
      <c r="EP125" s="231">
        <v>1085.74</v>
      </c>
      <c r="EQ125" s="228">
        <v>214.16</v>
      </c>
      <c r="ER125" s="229">
        <v>0.19719999999999999</v>
      </c>
      <c r="ES125" s="228">
        <v>405.24</v>
      </c>
      <c r="ET125" s="228">
        <v>312.64</v>
      </c>
      <c r="EU125" s="231">
        <v>2201.31</v>
      </c>
      <c r="EV125" s="231">
        <v>79442217</v>
      </c>
      <c r="EW125" s="231">
        <v>2919.19</v>
      </c>
      <c r="EX125" s="231">
        <v>2889.16</v>
      </c>
      <c r="EY125" s="228">
        <v>30.03</v>
      </c>
      <c r="EZ125" s="229">
        <v>1.04E-2</v>
      </c>
      <c r="FA125" s="229">
        <v>0.47870000000000001</v>
      </c>
      <c r="FB125" s="227" t="s">
        <v>556</v>
      </c>
      <c r="FC125">
        <f t="shared" si="1"/>
        <v>14</v>
      </c>
    </row>
    <row r="126" spans="1:159" ht="17.25" hidden="1" thickBot="1" x14ac:dyDescent="0.3">
      <c r="A126" s="226">
        <v>46064</v>
      </c>
      <c r="B126" s="227" t="s">
        <v>162</v>
      </c>
      <c r="C126" s="227" t="s">
        <v>255</v>
      </c>
      <c r="D126" s="228">
        <v>50</v>
      </c>
      <c r="E126" s="228">
        <v>13</v>
      </c>
      <c r="F126" s="231">
        <v>15418</v>
      </c>
      <c r="G126" s="231">
        <v>15197</v>
      </c>
      <c r="H126" s="228">
        <v>221</v>
      </c>
      <c r="I126" s="229">
        <v>1.4500000000000001E-2</v>
      </c>
      <c r="J126" s="231">
        <v>15412</v>
      </c>
      <c r="K126" s="231">
        <v>15146</v>
      </c>
      <c r="L126" s="228">
        <v>266</v>
      </c>
      <c r="M126" s="229">
        <v>1.7600000000000001E-2</v>
      </c>
      <c r="N126" s="231">
        <v>15418</v>
      </c>
      <c r="O126" s="231">
        <v>15197</v>
      </c>
      <c r="P126" s="228">
        <v>221</v>
      </c>
      <c r="Q126" s="229">
        <v>1.4500000000000001E-2</v>
      </c>
      <c r="R126" s="231">
        <v>15515</v>
      </c>
      <c r="S126" s="231">
        <v>15285</v>
      </c>
      <c r="T126" s="228">
        <v>230</v>
      </c>
      <c r="U126" s="229">
        <v>1.4999999999999999E-2</v>
      </c>
      <c r="V126" s="231">
        <v>15608</v>
      </c>
      <c r="W126" s="231">
        <v>15386</v>
      </c>
      <c r="X126" s="228">
        <v>222</v>
      </c>
      <c r="Y126" s="229">
        <v>1.44E-2</v>
      </c>
      <c r="Z126" s="228">
        <v>6</v>
      </c>
      <c r="AA126" s="228">
        <v>51</v>
      </c>
      <c r="AB126" s="228">
        <v>-45</v>
      </c>
      <c r="AC126" s="229">
        <v>4.0000000000000002E-4</v>
      </c>
      <c r="AD126" s="228">
        <v>6</v>
      </c>
      <c r="AE126" s="228">
        <v>51</v>
      </c>
      <c r="AF126" s="228">
        <v>-45</v>
      </c>
      <c r="AG126" s="229">
        <v>4.0000000000000002E-4</v>
      </c>
      <c r="AH126" s="228">
        <v>103</v>
      </c>
      <c r="AI126" s="228">
        <v>139</v>
      </c>
      <c r="AJ126" s="228">
        <v>-36</v>
      </c>
      <c r="AK126" s="229">
        <v>6.7000000000000002E-3</v>
      </c>
      <c r="AL126" s="228">
        <v>196</v>
      </c>
      <c r="AM126" s="228">
        <v>240</v>
      </c>
      <c r="AN126" s="228">
        <v>-44</v>
      </c>
      <c r="AO126" s="229">
        <v>1.2699999999999999E-2</v>
      </c>
      <c r="AP126" s="231">
        <v>15378.23</v>
      </c>
      <c r="AQ126" s="231">
        <v>15470.28</v>
      </c>
      <c r="AR126" s="228">
        <v>0</v>
      </c>
      <c r="AS126" s="228">
        <v>898</v>
      </c>
      <c r="AT126" s="228">
        <v>861</v>
      </c>
      <c r="AU126" s="228">
        <v>37</v>
      </c>
      <c r="AV126" s="229">
        <v>4.2599999999999999E-2</v>
      </c>
      <c r="AW126" s="228">
        <v>831</v>
      </c>
      <c r="AX126" s="228">
        <v>786</v>
      </c>
      <c r="AY126" s="228">
        <v>45</v>
      </c>
      <c r="AZ126" s="229">
        <v>5.7599999999999998E-2</v>
      </c>
      <c r="BA126" s="228">
        <v>63</v>
      </c>
      <c r="BB126" s="228">
        <v>70</v>
      </c>
      <c r="BC126" s="228">
        <v>-7</v>
      </c>
      <c r="BD126" s="229">
        <v>-9.7199999999999995E-2</v>
      </c>
      <c r="BE126" s="228">
        <v>4</v>
      </c>
      <c r="BF126" s="228">
        <v>5</v>
      </c>
      <c r="BG126" s="228">
        <v>-2</v>
      </c>
      <c r="BH126" s="229">
        <v>-0.33329999999999999</v>
      </c>
      <c r="BI126" s="230">
        <v>11598</v>
      </c>
      <c r="BJ126" s="230">
        <v>13160</v>
      </c>
      <c r="BK126" s="230">
        <v>-1562</v>
      </c>
      <c r="BL126" s="229">
        <v>-0.1187</v>
      </c>
      <c r="BM126" s="230">
        <v>5022</v>
      </c>
      <c r="BN126" s="230">
        <v>5462</v>
      </c>
      <c r="BO126" s="228">
        <v>-440</v>
      </c>
      <c r="BP126" s="229">
        <v>-8.0500000000000002E-2</v>
      </c>
      <c r="BQ126" s="230">
        <v>17518</v>
      </c>
      <c r="BR126" s="230">
        <v>19482</v>
      </c>
      <c r="BS126" s="230">
        <v>-1964</v>
      </c>
      <c r="BT126" s="229">
        <v>-0.1008</v>
      </c>
      <c r="BU126" s="230">
        <v>374793</v>
      </c>
      <c r="BV126" s="230">
        <v>371688</v>
      </c>
      <c r="BW126" s="230">
        <v>3105</v>
      </c>
      <c r="BX126" s="229">
        <v>8.3999999999999995E-3</v>
      </c>
      <c r="BY126" s="230">
        <v>4957</v>
      </c>
      <c r="BZ126" s="230">
        <v>4917</v>
      </c>
      <c r="CA126" s="228">
        <v>40</v>
      </c>
      <c r="CB126" s="229">
        <v>8.0999999999999996E-3</v>
      </c>
      <c r="CC126" s="230">
        <v>4602</v>
      </c>
      <c r="CD126" s="230">
        <v>4577</v>
      </c>
      <c r="CE126" s="228">
        <v>25</v>
      </c>
      <c r="CF126" s="229">
        <v>5.4999999999999997E-3</v>
      </c>
      <c r="CG126" s="228">
        <v>332</v>
      </c>
      <c r="CH126" s="228">
        <v>318</v>
      </c>
      <c r="CI126" s="228">
        <v>13</v>
      </c>
      <c r="CJ126" s="229">
        <v>4.2099999999999999E-2</v>
      </c>
      <c r="CK126" s="228">
        <v>23</v>
      </c>
      <c r="CL126" s="228">
        <v>22</v>
      </c>
      <c r="CM126" s="228">
        <v>1</v>
      </c>
      <c r="CN126" s="229">
        <v>4.2299999999999997E-2</v>
      </c>
      <c r="CO126" s="230">
        <v>4377</v>
      </c>
      <c r="CP126" s="230">
        <v>4631</v>
      </c>
      <c r="CQ126" s="228">
        <v>-253</v>
      </c>
      <c r="CR126" s="229">
        <v>-5.4699999999999999E-2</v>
      </c>
      <c r="CS126" s="230">
        <v>2553</v>
      </c>
      <c r="CT126" s="230">
        <v>2264</v>
      </c>
      <c r="CU126" s="228">
        <v>289</v>
      </c>
      <c r="CV126" s="229">
        <v>0.1275</v>
      </c>
      <c r="CW126" s="230">
        <v>11887</v>
      </c>
      <c r="CX126" s="230">
        <v>11812</v>
      </c>
      <c r="CY126" s="228">
        <v>75</v>
      </c>
      <c r="CZ126" s="229">
        <v>6.4000000000000003E-3</v>
      </c>
      <c r="DA126" s="228">
        <v>20.58</v>
      </c>
      <c r="DB126" s="228">
        <v>21.6</v>
      </c>
      <c r="DC126" s="228">
        <v>-1.02</v>
      </c>
      <c r="DD126" s="228">
        <v>-1.02</v>
      </c>
      <c r="DE126" s="228">
        <v>25.12</v>
      </c>
      <c r="DF126" s="228">
        <v>25.07</v>
      </c>
      <c r="DG126" s="228">
        <v>-4.54</v>
      </c>
      <c r="DH126" s="228">
        <v>0.05</v>
      </c>
      <c r="DI126" s="228">
        <v>20.05</v>
      </c>
      <c r="DJ126" s="228">
        <v>21.56</v>
      </c>
      <c r="DK126" s="228">
        <v>-1.51</v>
      </c>
      <c r="DL126" s="228">
        <v>-1.51</v>
      </c>
      <c r="DM126" s="228">
        <v>21.8</v>
      </c>
      <c r="DN126" s="228">
        <v>21.69</v>
      </c>
      <c r="DO126" s="228">
        <v>0.11</v>
      </c>
      <c r="DP126" s="228">
        <v>0.11</v>
      </c>
      <c r="DQ126" s="228">
        <v>0.57999999999999996</v>
      </c>
      <c r="DR126" s="228">
        <v>0.49</v>
      </c>
      <c r="DS126" s="228">
        <v>0.09</v>
      </c>
      <c r="DT126" s="229">
        <v>0.1837</v>
      </c>
      <c r="DU126" s="231">
        <v>16000</v>
      </c>
      <c r="DV126" s="231">
        <v>15000</v>
      </c>
      <c r="DW126" s="228">
        <v>0.43</v>
      </c>
      <c r="DX126" s="228">
        <v>0.42</v>
      </c>
      <c r="DY126" s="228">
        <v>0.01</v>
      </c>
      <c r="DZ126" s="229">
        <v>2.3800000000000002E-2</v>
      </c>
      <c r="EA126" s="229">
        <v>7.1599999999999997E-2</v>
      </c>
      <c r="EB126" s="230">
        <v>220750</v>
      </c>
      <c r="EC126" s="229">
        <v>6.3E-3</v>
      </c>
      <c r="ED126" s="229">
        <v>7.1599999999999997E-2</v>
      </c>
      <c r="EE126" s="228">
        <v>92.05</v>
      </c>
      <c r="EF126" s="229">
        <v>6.0000000000000001E-3</v>
      </c>
      <c r="EG126" s="230">
        <v>189815</v>
      </c>
      <c r="EH126" s="230">
        <v>144907</v>
      </c>
      <c r="EI126" s="229">
        <v>0.30990000000000001</v>
      </c>
      <c r="EJ126" s="229">
        <v>0.50649999999999995</v>
      </c>
      <c r="EK126" s="231">
        <v>11909.3</v>
      </c>
      <c r="EL126" s="231">
        <v>4886.3900000000003</v>
      </c>
      <c r="EM126" s="228">
        <v>895.82</v>
      </c>
      <c r="EN126" s="228">
        <v>87.75</v>
      </c>
      <c r="EO126" s="231">
        <v>17691.509999999998</v>
      </c>
      <c r="EP126" s="231">
        <v>19575.189999999999</v>
      </c>
      <c r="EQ126" s="231">
        <v>-1883.68</v>
      </c>
      <c r="ER126" s="229">
        <v>-9.6199999999999994E-2</v>
      </c>
      <c r="ES126" s="231">
        <v>4469.16</v>
      </c>
      <c r="ET126" s="231">
        <v>2405.3000000000002</v>
      </c>
      <c r="EU126" s="231">
        <v>4959.1000000000004</v>
      </c>
      <c r="EV126" s="231">
        <v>17687048</v>
      </c>
      <c r="EW126" s="231">
        <v>11833.56</v>
      </c>
      <c r="EX126" s="231">
        <v>11688.92</v>
      </c>
      <c r="EY126" s="228">
        <v>144.63999999999999</v>
      </c>
      <c r="EZ126" s="229">
        <v>1.24E-2</v>
      </c>
      <c r="FA126" s="229">
        <v>0.43590000000000001</v>
      </c>
      <c r="FB126" s="227" t="s">
        <v>555</v>
      </c>
      <c r="FC126">
        <f t="shared" si="1"/>
        <v>355</v>
      </c>
    </row>
    <row r="127" spans="1:159" ht="17.25" hidden="1" thickBot="1" x14ac:dyDescent="0.3">
      <c r="A127" s="226">
        <v>46064</v>
      </c>
      <c r="B127" s="227" t="s">
        <v>170</v>
      </c>
      <c r="C127" s="227" t="s">
        <v>603</v>
      </c>
      <c r="D127" s="228">
        <v>525</v>
      </c>
      <c r="E127" s="228">
        <v>13</v>
      </c>
      <c r="F127" s="231">
        <v>1055.7</v>
      </c>
      <c r="G127" s="231">
        <v>1025.0999999999999</v>
      </c>
      <c r="H127" s="228">
        <v>30.6</v>
      </c>
      <c r="I127" s="229">
        <v>2.9899999999999999E-2</v>
      </c>
      <c r="J127" s="231">
        <v>1055.1500000000001</v>
      </c>
      <c r="K127" s="231">
        <v>1021.5</v>
      </c>
      <c r="L127" s="228">
        <v>33.65</v>
      </c>
      <c r="M127" s="229">
        <v>3.2899999999999999E-2</v>
      </c>
      <c r="N127" s="231">
        <v>1055.7</v>
      </c>
      <c r="O127" s="231">
        <v>1025.0999999999999</v>
      </c>
      <c r="P127" s="228">
        <v>30.6</v>
      </c>
      <c r="Q127" s="229">
        <v>2.9899999999999999E-2</v>
      </c>
      <c r="R127" s="231">
        <v>1062.1500000000001</v>
      </c>
      <c r="S127" s="231">
        <v>1031.3499999999999</v>
      </c>
      <c r="T127" s="228">
        <v>30.8</v>
      </c>
      <c r="U127" s="229">
        <v>2.9899999999999999E-2</v>
      </c>
      <c r="V127" s="231">
        <v>1069.1500000000001</v>
      </c>
      <c r="W127" s="231">
        <v>1038.5999999999999</v>
      </c>
      <c r="X127" s="228">
        <v>30.55</v>
      </c>
      <c r="Y127" s="229">
        <v>2.9399999999999999E-2</v>
      </c>
      <c r="Z127" s="228">
        <v>0.55000000000000004</v>
      </c>
      <c r="AA127" s="228">
        <v>3.6</v>
      </c>
      <c r="AB127" s="228">
        <v>-3.05</v>
      </c>
      <c r="AC127" s="229">
        <v>5.0000000000000001E-4</v>
      </c>
      <c r="AD127" s="228">
        <v>0.55000000000000004</v>
      </c>
      <c r="AE127" s="228">
        <v>3.6</v>
      </c>
      <c r="AF127" s="228">
        <v>-3.05</v>
      </c>
      <c r="AG127" s="229">
        <v>5.0000000000000001E-4</v>
      </c>
      <c r="AH127" s="228">
        <v>7</v>
      </c>
      <c r="AI127" s="228">
        <v>9.85</v>
      </c>
      <c r="AJ127" s="228">
        <v>-2.85</v>
      </c>
      <c r="AK127" s="229">
        <v>6.6E-3</v>
      </c>
      <c r="AL127" s="228">
        <v>14</v>
      </c>
      <c r="AM127" s="228">
        <v>17.100000000000001</v>
      </c>
      <c r="AN127" s="228">
        <v>-3.1</v>
      </c>
      <c r="AO127" s="229">
        <v>1.3299999999999999E-2</v>
      </c>
      <c r="AP127" s="231">
        <v>1048.8399999999999</v>
      </c>
      <c r="AQ127" s="231">
        <v>1054.54</v>
      </c>
      <c r="AR127" s="228">
        <v>0</v>
      </c>
      <c r="AS127" s="228">
        <v>474</v>
      </c>
      <c r="AT127" s="228">
        <v>253</v>
      </c>
      <c r="AU127" s="228">
        <v>221</v>
      </c>
      <c r="AV127" s="229">
        <v>0.87450000000000006</v>
      </c>
      <c r="AW127" s="228">
        <v>441</v>
      </c>
      <c r="AX127" s="228">
        <v>233</v>
      </c>
      <c r="AY127" s="228">
        <v>208</v>
      </c>
      <c r="AZ127" s="229">
        <v>0.89170000000000005</v>
      </c>
      <c r="BA127" s="228">
        <v>28</v>
      </c>
      <c r="BB127" s="228">
        <v>19</v>
      </c>
      <c r="BC127" s="228">
        <v>10</v>
      </c>
      <c r="BD127" s="229">
        <v>0.52980000000000005</v>
      </c>
      <c r="BE127" s="228">
        <v>4</v>
      </c>
      <c r="BF127" s="228">
        <v>1</v>
      </c>
      <c r="BG127" s="228">
        <v>3</v>
      </c>
      <c r="BH127" s="229">
        <v>4.5</v>
      </c>
      <c r="BI127" s="230">
        <v>2514</v>
      </c>
      <c r="BJ127" s="228">
        <v>432</v>
      </c>
      <c r="BK127" s="230">
        <v>2082</v>
      </c>
      <c r="BL127" s="229">
        <v>4.8178000000000001</v>
      </c>
      <c r="BM127" s="228">
        <v>680</v>
      </c>
      <c r="BN127" s="228">
        <v>202</v>
      </c>
      <c r="BO127" s="228">
        <v>478</v>
      </c>
      <c r="BP127" s="229">
        <v>2.3614000000000002</v>
      </c>
      <c r="BQ127" s="230">
        <v>3668</v>
      </c>
      <c r="BR127" s="228">
        <v>887</v>
      </c>
      <c r="BS127" s="230">
        <v>2781</v>
      </c>
      <c r="BT127" s="229">
        <v>3.1345999999999998</v>
      </c>
      <c r="BU127" s="230">
        <v>4244138</v>
      </c>
      <c r="BV127" s="230">
        <v>4686935</v>
      </c>
      <c r="BW127" s="230">
        <v>-442797</v>
      </c>
      <c r="BX127" s="229">
        <v>-9.4500000000000001E-2</v>
      </c>
      <c r="BY127" s="230">
        <v>1664</v>
      </c>
      <c r="BZ127" s="230">
        <v>1677</v>
      </c>
      <c r="CA127" s="228">
        <v>-14</v>
      </c>
      <c r="CB127" s="229">
        <v>-8.2000000000000007E-3</v>
      </c>
      <c r="CC127" s="230">
        <v>1580</v>
      </c>
      <c r="CD127" s="230">
        <v>1592</v>
      </c>
      <c r="CE127" s="228">
        <v>-12</v>
      </c>
      <c r="CF127" s="229">
        <v>-7.4999999999999997E-3</v>
      </c>
      <c r="CG127" s="228">
        <v>79</v>
      </c>
      <c r="CH127" s="228">
        <v>81</v>
      </c>
      <c r="CI127" s="228">
        <v>-2</v>
      </c>
      <c r="CJ127" s="229">
        <v>-2.1899999999999999E-2</v>
      </c>
      <c r="CK127" s="228">
        <v>5</v>
      </c>
      <c r="CL127" s="228">
        <v>4</v>
      </c>
      <c r="CM127" s="228">
        <v>0</v>
      </c>
      <c r="CN127" s="229">
        <v>1.23E-2</v>
      </c>
      <c r="CO127" s="228">
        <v>452</v>
      </c>
      <c r="CP127" s="228">
        <v>336</v>
      </c>
      <c r="CQ127" s="228">
        <v>116</v>
      </c>
      <c r="CR127" s="229">
        <v>0.3463</v>
      </c>
      <c r="CS127" s="228">
        <v>359</v>
      </c>
      <c r="CT127" s="228">
        <v>320</v>
      </c>
      <c r="CU127" s="228">
        <v>39</v>
      </c>
      <c r="CV127" s="229">
        <v>0.1212</v>
      </c>
      <c r="CW127" s="230">
        <v>2474</v>
      </c>
      <c r="CX127" s="230">
        <v>2333</v>
      </c>
      <c r="CY127" s="228">
        <v>141</v>
      </c>
      <c r="CZ127" s="229">
        <v>6.0600000000000001E-2</v>
      </c>
      <c r="DA127" s="228">
        <v>33.47</v>
      </c>
      <c r="DB127" s="228">
        <v>29.9</v>
      </c>
      <c r="DC127" s="228">
        <v>3.57</v>
      </c>
      <c r="DD127" s="228">
        <v>3.57</v>
      </c>
      <c r="DE127" s="228">
        <v>38.08</v>
      </c>
      <c r="DF127" s="228">
        <v>37.92</v>
      </c>
      <c r="DG127" s="228">
        <v>-4.6100000000000003</v>
      </c>
      <c r="DH127" s="228">
        <v>0.16</v>
      </c>
      <c r="DI127" s="228">
        <v>33.33</v>
      </c>
      <c r="DJ127" s="228">
        <v>29.55</v>
      </c>
      <c r="DK127" s="228">
        <v>3.78</v>
      </c>
      <c r="DL127" s="228">
        <v>3.78</v>
      </c>
      <c r="DM127" s="228">
        <v>33.99</v>
      </c>
      <c r="DN127" s="228">
        <v>30.65</v>
      </c>
      <c r="DO127" s="228">
        <v>3.34</v>
      </c>
      <c r="DP127" s="228">
        <v>3.34</v>
      </c>
      <c r="DQ127" s="228">
        <v>0.79</v>
      </c>
      <c r="DR127" s="228">
        <v>0.95</v>
      </c>
      <c r="DS127" s="228">
        <v>-0.16</v>
      </c>
      <c r="DT127" s="229">
        <v>-0.16839999999999999</v>
      </c>
      <c r="DU127" s="231">
        <v>1050</v>
      </c>
      <c r="DV127" s="231">
        <v>1000</v>
      </c>
      <c r="DW127" s="228">
        <v>0.27</v>
      </c>
      <c r="DX127" s="228">
        <v>0.47</v>
      </c>
      <c r="DY127" s="228">
        <v>-0.2</v>
      </c>
      <c r="DZ127" s="229">
        <v>-0.42549999999999999</v>
      </c>
      <c r="EA127" s="229">
        <v>5.0299999999999997E-2</v>
      </c>
      <c r="EB127" s="230">
        <v>809550</v>
      </c>
      <c r="EC127" s="229">
        <v>6.1000000000000004E-3</v>
      </c>
      <c r="ED127" s="229">
        <v>5.0299999999999997E-2</v>
      </c>
      <c r="EE127" s="228">
        <v>5.7</v>
      </c>
      <c r="EF127" s="229">
        <v>5.4000000000000003E-3</v>
      </c>
      <c r="EG127" s="230">
        <v>2367219</v>
      </c>
      <c r="EH127" s="230">
        <v>3351364</v>
      </c>
      <c r="EI127" s="229">
        <v>-0.29370000000000002</v>
      </c>
      <c r="EJ127" s="229">
        <v>0.55779999999999996</v>
      </c>
      <c r="EK127" s="231">
        <v>2580.5500000000002</v>
      </c>
      <c r="EL127" s="228">
        <v>664.88</v>
      </c>
      <c r="EM127" s="228">
        <v>470.66</v>
      </c>
      <c r="EN127" s="228">
        <v>66.819999999999993</v>
      </c>
      <c r="EO127" s="231">
        <v>3716.09</v>
      </c>
      <c r="EP127" s="228">
        <v>871.93</v>
      </c>
      <c r="EQ127" s="231">
        <v>2844.16</v>
      </c>
      <c r="ER127" s="229">
        <v>3.2618999999999998</v>
      </c>
      <c r="ES127" s="228">
        <v>455.61</v>
      </c>
      <c r="ET127" s="228">
        <v>337.82</v>
      </c>
      <c r="EU127" s="231">
        <v>1664.16</v>
      </c>
      <c r="EV127" s="231">
        <v>111218809</v>
      </c>
      <c r="EW127" s="231">
        <v>2457.59</v>
      </c>
      <c r="EX127" s="231">
        <v>2264.4</v>
      </c>
      <c r="EY127" s="228">
        <v>193.19</v>
      </c>
      <c r="EZ127" s="229">
        <v>8.5300000000000001E-2</v>
      </c>
      <c r="FA127" s="229">
        <v>0.2107</v>
      </c>
      <c r="FB127" s="227" t="s">
        <v>556</v>
      </c>
      <c r="FC127">
        <f t="shared" si="1"/>
        <v>84</v>
      </c>
    </row>
    <row r="128" spans="1:159" ht="17.25" hidden="1" thickBot="1" x14ac:dyDescent="0.3">
      <c r="A128" s="226">
        <v>46064</v>
      </c>
      <c r="B128" s="227" t="s">
        <v>215</v>
      </c>
      <c r="C128" s="227" t="s">
        <v>672</v>
      </c>
      <c r="D128" s="228">
        <v>200</v>
      </c>
      <c r="E128" s="228">
        <v>13</v>
      </c>
      <c r="F128" s="231">
        <v>2431.9</v>
      </c>
      <c r="G128" s="231">
        <v>2433.1</v>
      </c>
      <c r="H128" s="228">
        <v>-1.2</v>
      </c>
      <c r="I128" s="229">
        <v>-5.0000000000000001E-4</v>
      </c>
      <c r="J128" s="231">
        <v>2430.6</v>
      </c>
      <c r="K128" s="231">
        <v>2439.1</v>
      </c>
      <c r="L128" s="228">
        <v>-8.5</v>
      </c>
      <c r="M128" s="229">
        <v>-3.5000000000000001E-3</v>
      </c>
      <c r="N128" s="231">
        <v>2431.9</v>
      </c>
      <c r="O128" s="231">
        <v>2433.1</v>
      </c>
      <c r="P128" s="228">
        <v>-1.2</v>
      </c>
      <c r="Q128" s="229">
        <v>-5.0000000000000001E-4</v>
      </c>
      <c r="R128" s="231">
        <v>2443.4</v>
      </c>
      <c r="S128" s="231">
        <v>2441.8000000000002</v>
      </c>
      <c r="T128" s="228">
        <v>1.6</v>
      </c>
      <c r="U128" s="229">
        <v>6.9999999999999999E-4</v>
      </c>
      <c r="V128" s="231">
        <v>2454.6</v>
      </c>
      <c r="W128" s="231">
        <v>2437.9</v>
      </c>
      <c r="X128" s="228">
        <v>16.7</v>
      </c>
      <c r="Y128" s="229">
        <v>6.8999999999999999E-3</v>
      </c>
      <c r="Z128" s="228">
        <v>1.3</v>
      </c>
      <c r="AA128" s="228">
        <v>-6</v>
      </c>
      <c r="AB128" s="228">
        <v>7.3</v>
      </c>
      <c r="AC128" s="229">
        <v>5.0000000000000001E-4</v>
      </c>
      <c r="AD128" s="228">
        <v>1.3</v>
      </c>
      <c r="AE128" s="228">
        <v>-6</v>
      </c>
      <c r="AF128" s="228">
        <v>7.3</v>
      </c>
      <c r="AG128" s="229">
        <v>5.0000000000000001E-4</v>
      </c>
      <c r="AH128" s="228">
        <v>12.8</v>
      </c>
      <c r="AI128" s="228">
        <v>2.7</v>
      </c>
      <c r="AJ128" s="228">
        <v>10.1</v>
      </c>
      <c r="AK128" s="229">
        <v>5.3E-3</v>
      </c>
      <c r="AL128" s="228">
        <v>24</v>
      </c>
      <c r="AM128" s="228">
        <v>-1.2</v>
      </c>
      <c r="AN128" s="228">
        <v>25.2</v>
      </c>
      <c r="AO128" s="229">
        <v>9.9000000000000008E-3</v>
      </c>
      <c r="AP128" s="231">
        <v>2413.84</v>
      </c>
      <c r="AQ128" s="231">
        <v>2424.52</v>
      </c>
      <c r="AR128" s="228">
        <v>0</v>
      </c>
      <c r="AS128" s="228">
        <v>165</v>
      </c>
      <c r="AT128" s="228">
        <v>192</v>
      </c>
      <c r="AU128" s="228">
        <v>-27</v>
      </c>
      <c r="AV128" s="229">
        <v>-0.1394</v>
      </c>
      <c r="AW128" s="228">
        <v>143</v>
      </c>
      <c r="AX128" s="228">
        <v>142</v>
      </c>
      <c r="AY128" s="228">
        <v>1</v>
      </c>
      <c r="AZ128" s="229">
        <v>1.03E-2</v>
      </c>
      <c r="BA128" s="228">
        <v>18</v>
      </c>
      <c r="BB128" s="228">
        <v>42</v>
      </c>
      <c r="BC128" s="228">
        <v>-24</v>
      </c>
      <c r="BD128" s="229">
        <v>-0.56530000000000002</v>
      </c>
      <c r="BE128" s="228">
        <v>4</v>
      </c>
      <c r="BF128" s="228">
        <v>8</v>
      </c>
      <c r="BG128" s="228">
        <v>-5</v>
      </c>
      <c r="BH128" s="229">
        <v>-0.55620000000000003</v>
      </c>
      <c r="BI128" s="228">
        <v>585</v>
      </c>
      <c r="BJ128" s="228">
        <v>711</v>
      </c>
      <c r="BK128" s="228">
        <v>-126</v>
      </c>
      <c r="BL128" s="229">
        <v>-0.17680000000000001</v>
      </c>
      <c r="BM128" s="228">
        <v>160</v>
      </c>
      <c r="BN128" s="228">
        <v>171</v>
      </c>
      <c r="BO128" s="228">
        <v>-11</v>
      </c>
      <c r="BP128" s="229">
        <v>-6.3E-2</v>
      </c>
      <c r="BQ128" s="228">
        <v>910</v>
      </c>
      <c r="BR128" s="230">
        <v>1073</v>
      </c>
      <c r="BS128" s="228">
        <v>-163</v>
      </c>
      <c r="BT128" s="229">
        <v>-0.152</v>
      </c>
      <c r="BU128" s="230">
        <v>788518</v>
      </c>
      <c r="BV128" s="230">
        <v>987965</v>
      </c>
      <c r="BW128" s="230">
        <v>-199447</v>
      </c>
      <c r="BX128" s="229">
        <v>-0.2019</v>
      </c>
      <c r="BY128" s="230">
        <v>1178</v>
      </c>
      <c r="BZ128" s="230">
        <v>1163</v>
      </c>
      <c r="CA128" s="228">
        <v>15</v>
      </c>
      <c r="CB128" s="229">
        <v>1.29E-2</v>
      </c>
      <c r="CC128" s="230">
        <v>1070</v>
      </c>
      <c r="CD128" s="230">
        <v>1060</v>
      </c>
      <c r="CE128" s="228">
        <v>10</v>
      </c>
      <c r="CF128" s="229">
        <v>9.1000000000000004E-3</v>
      </c>
      <c r="CG128" s="228">
        <v>96</v>
      </c>
      <c r="CH128" s="228">
        <v>91</v>
      </c>
      <c r="CI128" s="228">
        <v>5</v>
      </c>
      <c r="CJ128" s="229">
        <v>5.4300000000000001E-2</v>
      </c>
      <c r="CK128" s="228">
        <v>11</v>
      </c>
      <c r="CL128" s="228">
        <v>11</v>
      </c>
      <c r="CM128" s="228">
        <v>0</v>
      </c>
      <c r="CN128" s="229">
        <v>3.5099999999999999E-2</v>
      </c>
      <c r="CO128" s="230">
        <v>1057</v>
      </c>
      <c r="CP128" s="230">
        <v>1051</v>
      </c>
      <c r="CQ128" s="228">
        <v>5</v>
      </c>
      <c r="CR128" s="229">
        <v>5.0000000000000001E-3</v>
      </c>
      <c r="CS128" s="228">
        <v>441</v>
      </c>
      <c r="CT128" s="228">
        <v>441</v>
      </c>
      <c r="CU128" s="228">
        <v>0</v>
      </c>
      <c r="CV128" s="229">
        <v>-6.9999999999999999E-4</v>
      </c>
      <c r="CW128" s="230">
        <v>2675</v>
      </c>
      <c r="CX128" s="230">
        <v>2656</v>
      </c>
      <c r="CY128" s="228">
        <v>20</v>
      </c>
      <c r="CZ128" s="229">
        <v>7.4999999999999997E-3</v>
      </c>
      <c r="DA128" s="228">
        <v>39.909999999999997</v>
      </c>
      <c r="DB128" s="228">
        <v>39.909999999999997</v>
      </c>
      <c r="DC128" s="228">
        <v>0</v>
      </c>
      <c r="DD128" s="228">
        <v>0</v>
      </c>
      <c r="DE128" s="228">
        <v>53.87</v>
      </c>
      <c r="DF128" s="228">
        <v>54</v>
      </c>
      <c r="DG128" s="228">
        <v>-13.96</v>
      </c>
      <c r="DH128" s="228">
        <v>-0.13</v>
      </c>
      <c r="DI128" s="228">
        <v>40.630000000000003</v>
      </c>
      <c r="DJ128" s="228">
        <v>40.49</v>
      </c>
      <c r="DK128" s="228">
        <v>0.14000000000000001</v>
      </c>
      <c r="DL128" s="228">
        <v>0.14000000000000001</v>
      </c>
      <c r="DM128" s="228">
        <v>37.29</v>
      </c>
      <c r="DN128" s="228">
        <v>37.49</v>
      </c>
      <c r="DO128" s="228">
        <v>-0.2</v>
      </c>
      <c r="DP128" s="228">
        <v>-0.2</v>
      </c>
      <c r="DQ128" s="228">
        <v>0.42</v>
      </c>
      <c r="DR128" s="228">
        <v>0.42</v>
      </c>
      <c r="DS128" s="228">
        <v>0</v>
      </c>
      <c r="DT128" s="229">
        <v>0</v>
      </c>
      <c r="DU128" s="231">
        <v>2600</v>
      </c>
      <c r="DV128" s="231">
        <v>2300</v>
      </c>
      <c r="DW128" s="228">
        <v>0.27</v>
      </c>
      <c r="DX128" s="228">
        <v>0.24</v>
      </c>
      <c r="DY128" s="228">
        <v>0.03</v>
      </c>
      <c r="DZ128" s="229">
        <v>0.125</v>
      </c>
      <c r="EA128" s="229">
        <v>9.1499999999999998E-2</v>
      </c>
      <c r="EB128" s="230">
        <v>421200</v>
      </c>
      <c r="EC128" s="229">
        <v>4.7000000000000002E-3</v>
      </c>
      <c r="ED128" s="229">
        <v>9.1499999999999998E-2</v>
      </c>
      <c r="EE128" s="228">
        <v>10.68</v>
      </c>
      <c r="EF128" s="229">
        <v>4.4000000000000003E-3</v>
      </c>
      <c r="EG128" s="230">
        <v>198934</v>
      </c>
      <c r="EH128" s="230">
        <v>316590</v>
      </c>
      <c r="EI128" s="229">
        <v>-0.37159999999999999</v>
      </c>
      <c r="EJ128" s="229">
        <v>0.25230000000000002</v>
      </c>
      <c r="EK128" s="228">
        <v>627.74</v>
      </c>
      <c r="EL128" s="228">
        <v>157.30000000000001</v>
      </c>
      <c r="EM128" s="228">
        <v>163.77000000000001</v>
      </c>
      <c r="EN128" s="228">
        <v>54.72</v>
      </c>
      <c r="EO128" s="228">
        <v>948.8</v>
      </c>
      <c r="EP128" s="231">
        <v>1130.71</v>
      </c>
      <c r="EQ128" s="228">
        <v>-181.91</v>
      </c>
      <c r="ER128" s="229">
        <v>-0.16089999999999999</v>
      </c>
      <c r="ES128" s="231">
        <v>1144.1600000000001</v>
      </c>
      <c r="ET128" s="228">
        <v>433.41</v>
      </c>
      <c r="EU128" s="231">
        <v>1178.28</v>
      </c>
      <c r="EV128" s="231">
        <v>11364224</v>
      </c>
      <c r="EW128" s="231">
        <v>2755.86</v>
      </c>
      <c r="EX128" s="231">
        <v>2737.39</v>
      </c>
      <c r="EY128" s="228">
        <v>18.47</v>
      </c>
      <c r="EZ128" s="229">
        <v>6.7000000000000002E-3</v>
      </c>
      <c r="FA128" s="229">
        <v>0.96809999999999996</v>
      </c>
      <c r="FB128" s="227" t="s">
        <v>567</v>
      </c>
      <c r="FC128">
        <f t="shared" si="1"/>
        <v>108</v>
      </c>
    </row>
    <row r="129" spans="1:159" ht="17.25" hidden="1" thickBot="1" x14ac:dyDescent="0.3">
      <c r="A129" s="226">
        <v>46064</v>
      </c>
      <c r="B129" s="227" t="s">
        <v>175</v>
      </c>
      <c r="C129" s="227" t="s">
        <v>517</v>
      </c>
      <c r="D129" s="228">
        <v>625</v>
      </c>
      <c r="E129" s="228">
        <v>13</v>
      </c>
      <c r="F129" s="231">
        <v>2372</v>
      </c>
      <c r="G129" s="231">
        <v>2472.1999999999998</v>
      </c>
      <c r="H129" s="228">
        <v>-100.2</v>
      </c>
      <c r="I129" s="229">
        <v>-4.0500000000000001E-2</v>
      </c>
      <c r="J129" s="231">
        <v>2372.8000000000002</v>
      </c>
      <c r="K129" s="231">
        <v>2470.6999999999998</v>
      </c>
      <c r="L129" s="228">
        <v>-97.9</v>
      </c>
      <c r="M129" s="229">
        <v>-3.9600000000000003E-2</v>
      </c>
      <c r="N129" s="231">
        <v>2372</v>
      </c>
      <c r="O129" s="231">
        <v>2472.1999999999998</v>
      </c>
      <c r="P129" s="228">
        <v>-100.2</v>
      </c>
      <c r="Q129" s="229">
        <v>-4.0500000000000001E-2</v>
      </c>
      <c r="R129" s="231">
        <v>2386</v>
      </c>
      <c r="S129" s="231">
        <v>2486.1999999999998</v>
      </c>
      <c r="T129" s="228">
        <v>-100.2</v>
      </c>
      <c r="U129" s="229">
        <v>-4.0300000000000002E-2</v>
      </c>
      <c r="V129" s="231">
        <v>2400</v>
      </c>
      <c r="W129" s="231">
        <v>2504.4</v>
      </c>
      <c r="X129" s="228">
        <v>-104.4</v>
      </c>
      <c r="Y129" s="229">
        <v>-4.1700000000000001E-2</v>
      </c>
      <c r="Z129" s="228">
        <v>-0.8</v>
      </c>
      <c r="AA129" s="228">
        <v>1.5</v>
      </c>
      <c r="AB129" s="228">
        <v>-2.2999999999999998</v>
      </c>
      <c r="AC129" s="229">
        <v>-2.9999999999999997E-4</v>
      </c>
      <c r="AD129" s="228">
        <v>-0.8</v>
      </c>
      <c r="AE129" s="228">
        <v>1.5</v>
      </c>
      <c r="AF129" s="228">
        <v>-2.2999999999999998</v>
      </c>
      <c r="AG129" s="229">
        <v>-2.9999999999999997E-4</v>
      </c>
      <c r="AH129" s="228">
        <v>13.2</v>
      </c>
      <c r="AI129" s="228">
        <v>15.5</v>
      </c>
      <c r="AJ129" s="228">
        <v>-2.2999999999999998</v>
      </c>
      <c r="AK129" s="229">
        <v>5.5999999999999999E-3</v>
      </c>
      <c r="AL129" s="228">
        <v>27.2</v>
      </c>
      <c r="AM129" s="228">
        <v>33.700000000000003</v>
      </c>
      <c r="AN129" s="228">
        <v>-6.5</v>
      </c>
      <c r="AO129" s="229">
        <v>1.15E-2</v>
      </c>
      <c r="AP129" s="231">
        <v>2386.23</v>
      </c>
      <c r="AQ129" s="231">
        <v>2400.08</v>
      </c>
      <c r="AR129" s="228">
        <v>0</v>
      </c>
      <c r="AS129" s="230">
        <v>2254</v>
      </c>
      <c r="AT129" s="230">
        <v>1127</v>
      </c>
      <c r="AU129" s="230">
        <v>1127</v>
      </c>
      <c r="AV129" s="229">
        <v>0.99960000000000004</v>
      </c>
      <c r="AW129" s="230">
        <v>2055</v>
      </c>
      <c r="AX129" s="230">
        <v>1020</v>
      </c>
      <c r="AY129" s="230">
        <v>1035</v>
      </c>
      <c r="AZ129" s="229">
        <v>1.0153000000000001</v>
      </c>
      <c r="BA129" s="228">
        <v>177</v>
      </c>
      <c r="BB129" s="228">
        <v>96</v>
      </c>
      <c r="BC129" s="228">
        <v>81</v>
      </c>
      <c r="BD129" s="229">
        <v>0.84</v>
      </c>
      <c r="BE129" s="228">
        <v>21</v>
      </c>
      <c r="BF129" s="228">
        <v>11</v>
      </c>
      <c r="BG129" s="228">
        <v>10</v>
      </c>
      <c r="BH129" s="229">
        <v>0.94589999999999996</v>
      </c>
      <c r="BI129" s="230">
        <v>6916</v>
      </c>
      <c r="BJ129" s="230">
        <v>4589</v>
      </c>
      <c r="BK129" s="230">
        <v>2327</v>
      </c>
      <c r="BL129" s="229">
        <v>0.50719999999999998</v>
      </c>
      <c r="BM129" s="230">
        <v>3705</v>
      </c>
      <c r="BN129" s="230">
        <v>2166</v>
      </c>
      <c r="BO129" s="230">
        <v>1539</v>
      </c>
      <c r="BP129" s="229">
        <v>0.71050000000000002</v>
      </c>
      <c r="BQ129" s="230">
        <v>12874</v>
      </c>
      <c r="BR129" s="230">
        <v>7882</v>
      </c>
      <c r="BS129" s="230">
        <v>4993</v>
      </c>
      <c r="BT129" s="229">
        <v>0.63349999999999995</v>
      </c>
      <c r="BU129" s="230">
        <v>6742711</v>
      </c>
      <c r="BV129" s="230">
        <v>3270398</v>
      </c>
      <c r="BW129" s="230">
        <v>3472313</v>
      </c>
      <c r="BX129" s="229">
        <v>1.0617000000000001</v>
      </c>
      <c r="BY129" s="230">
        <v>3490</v>
      </c>
      <c r="BZ129" s="230">
        <v>3487</v>
      </c>
      <c r="CA129" s="228">
        <v>3</v>
      </c>
      <c r="CB129" s="229">
        <v>8.0000000000000004E-4</v>
      </c>
      <c r="CC129" s="230">
        <v>3255</v>
      </c>
      <c r="CD129" s="230">
        <v>3319</v>
      </c>
      <c r="CE129" s="228">
        <v>-64</v>
      </c>
      <c r="CF129" s="229">
        <v>-1.9300000000000001E-2</v>
      </c>
      <c r="CG129" s="228">
        <v>186</v>
      </c>
      <c r="CH129" s="228">
        <v>127</v>
      </c>
      <c r="CI129" s="228">
        <v>58</v>
      </c>
      <c r="CJ129" s="229">
        <v>0.4587</v>
      </c>
      <c r="CK129" s="228">
        <v>49</v>
      </c>
      <c r="CL129" s="228">
        <v>41</v>
      </c>
      <c r="CM129" s="228">
        <v>8</v>
      </c>
      <c r="CN129" s="229">
        <v>0.1993</v>
      </c>
      <c r="CO129" s="230">
        <v>4083</v>
      </c>
      <c r="CP129" s="230">
        <v>3513</v>
      </c>
      <c r="CQ129" s="228">
        <v>570</v>
      </c>
      <c r="CR129" s="229">
        <v>0.16239999999999999</v>
      </c>
      <c r="CS129" s="230">
        <v>2724</v>
      </c>
      <c r="CT129" s="230">
        <v>2598</v>
      </c>
      <c r="CU129" s="228">
        <v>126</v>
      </c>
      <c r="CV129" s="229">
        <v>4.8399999999999999E-2</v>
      </c>
      <c r="CW129" s="230">
        <v>10297</v>
      </c>
      <c r="CX129" s="230">
        <v>9598</v>
      </c>
      <c r="CY129" s="228">
        <v>699</v>
      </c>
      <c r="CZ129" s="229">
        <v>7.2800000000000004E-2</v>
      </c>
      <c r="DA129" s="228">
        <v>57.74</v>
      </c>
      <c r="DB129" s="228">
        <v>52.04</v>
      </c>
      <c r="DC129" s="228">
        <v>5.7</v>
      </c>
      <c r="DD129" s="228">
        <v>5.7</v>
      </c>
      <c r="DE129" s="228">
        <v>50.77</v>
      </c>
      <c r="DF129" s="228">
        <v>50.6</v>
      </c>
      <c r="DG129" s="228">
        <v>6.97</v>
      </c>
      <c r="DH129" s="228">
        <v>0.17</v>
      </c>
      <c r="DI129" s="228">
        <v>57.35</v>
      </c>
      <c r="DJ129" s="228">
        <v>50.64</v>
      </c>
      <c r="DK129" s="228">
        <v>6.71</v>
      </c>
      <c r="DL129" s="228">
        <v>6.71</v>
      </c>
      <c r="DM129" s="228">
        <v>58.47</v>
      </c>
      <c r="DN129" s="228">
        <v>54.99</v>
      </c>
      <c r="DO129" s="228">
        <v>3.48</v>
      </c>
      <c r="DP129" s="228">
        <v>3.48</v>
      </c>
      <c r="DQ129" s="228">
        <v>0.67</v>
      </c>
      <c r="DR129" s="228">
        <v>0.74</v>
      </c>
      <c r="DS129" s="228">
        <v>-7.0000000000000007E-2</v>
      </c>
      <c r="DT129" s="229">
        <v>-9.4600000000000004E-2</v>
      </c>
      <c r="DU129" s="231">
        <v>2500</v>
      </c>
      <c r="DV129" s="231">
        <v>2200</v>
      </c>
      <c r="DW129" s="228">
        <v>0.54</v>
      </c>
      <c r="DX129" s="228">
        <v>0.47</v>
      </c>
      <c r="DY129" s="228">
        <v>7.0000000000000007E-2</v>
      </c>
      <c r="DZ129" s="229">
        <v>0.1489</v>
      </c>
      <c r="EA129" s="229">
        <v>6.7299999999999999E-2</v>
      </c>
      <c r="EB129" s="230">
        <v>709375</v>
      </c>
      <c r="EC129" s="229">
        <v>5.8999999999999999E-3</v>
      </c>
      <c r="ED129" s="229">
        <v>6.7299999999999999E-2</v>
      </c>
      <c r="EE129" s="228">
        <v>13.85</v>
      </c>
      <c r="EF129" s="229">
        <v>5.7999999999999996E-3</v>
      </c>
      <c r="EG129" s="230">
        <v>3181588</v>
      </c>
      <c r="EH129" s="230">
        <v>1369218</v>
      </c>
      <c r="EI129" s="229">
        <v>1.3237000000000001</v>
      </c>
      <c r="EJ129" s="229">
        <v>0.47189999999999999</v>
      </c>
      <c r="EK129" s="231">
        <v>7543.53</v>
      </c>
      <c r="EL129" s="231">
        <v>3690.04</v>
      </c>
      <c r="EM129" s="231">
        <v>2268.64</v>
      </c>
      <c r="EN129" s="228">
        <v>96.38</v>
      </c>
      <c r="EO129" s="231">
        <v>13502.22</v>
      </c>
      <c r="EP129" s="231">
        <v>8415.6200000000008</v>
      </c>
      <c r="EQ129" s="231">
        <v>5086.59</v>
      </c>
      <c r="ER129" s="229">
        <v>0.60440000000000005</v>
      </c>
      <c r="ES129" s="231">
        <v>4414.0200000000004</v>
      </c>
      <c r="ET129" s="231">
        <v>2591.41</v>
      </c>
      <c r="EU129" s="231">
        <v>3491.63</v>
      </c>
      <c r="EV129" s="231">
        <v>38177110</v>
      </c>
      <c r="EW129" s="231">
        <v>10497.05</v>
      </c>
      <c r="EX129" s="231">
        <v>9926.42</v>
      </c>
      <c r="EY129" s="228">
        <v>570.63</v>
      </c>
      <c r="EZ129" s="229">
        <v>5.7500000000000002E-2</v>
      </c>
      <c r="FA129" s="229">
        <v>1.1371</v>
      </c>
      <c r="FB129" s="227" t="s">
        <v>567</v>
      </c>
      <c r="FC129">
        <f t="shared" si="1"/>
        <v>235</v>
      </c>
    </row>
    <row r="130" spans="1:159" ht="17.25" hidden="1" thickBot="1" x14ac:dyDescent="0.3">
      <c r="A130" s="226">
        <v>46064</v>
      </c>
      <c r="B130" s="227" t="s">
        <v>175</v>
      </c>
      <c r="C130" s="227" t="s">
        <v>257</v>
      </c>
      <c r="D130" s="228">
        <v>400</v>
      </c>
      <c r="E130" s="228">
        <v>13</v>
      </c>
      <c r="F130" s="231">
        <v>1738.4</v>
      </c>
      <c r="G130" s="231">
        <v>1752.6</v>
      </c>
      <c r="H130" s="228">
        <v>-14.2</v>
      </c>
      <c r="I130" s="229">
        <v>-8.0999999999999996E-3</v>
      </c>
      <c r="J130" s="231">
        <v>1734.1</v>
      </c>
      <c r="K130" s="231">
        <v>1747.2</v>
      </c>
      <c r="L130" s="228">
        <v>-13.1</v>
      </c>
      <c r="M130" s="229">
        <v>-7.4999999999999997E-3</v>
      </c>
      <c r="N130" s="231">
        <v>1738.4</v>
      </c>
      <c r="O130" s="231">
        <v>1752.6</v>
      </c>
      <c r="P130" s="228">
        <v>-14.2</v>
      </c>
      <c r="Q130" s="229">
        <v>-8.0999999999999996E-3</v>
      </c>
      <c r="R130" s="231">
        <v>1742.8</v>
      </c>
      <c r="S130" s="231">
        <v>1757.8</v>
      </c>
      <c r="T130" s="228">
        <v>-15</v>
      </c>
      <c r="U130" s="229">
        <v>-8.5000000000000006E-3</v>
      </c>
      <c r="V130" s="231">
        <v>1764.5</v>
      </c>
      <c r="W130" s="231">
        <v>1752.7</v>
      </c>
      <c r="X130" s="228">
        <v>11.8</v>
      </c>
      <c r="Y130" s="229">
        <v>6.7000000000000002E-3</v>
      </c>
      <c r="Z130" s="228">
        <v>4.3</v>
      </c>
      <c r="AA130" s="228">
        <v>5.4</v>
      </c>
      <c r="AB130" s="228">
        <v>-1.1000000000000001</v>
      </c>
      <c r="AC130" s="229">
        <v>2.5000000000000001E-3</v>
      </c>
      <c r="AD130" s="228">
        <v>4.3</v>
      </c>
      <c r="AE130" s="228">
        <v>5.4</v>
      </c>
      <c r="AF130" s="228">
        <v>-1.1000000000000001</v>
      </c>
      <c r="AG130" s="229">
        <v>2.5000000000000001E-3</v>
      </c>
      <c r="AH130" s="228">
        <v>8.6999999999999993</v>
      </c>
      <c r="AI130" s="228">
        <v>10.6</v>
      </c>
      <c r="AJ130" s="228">
        <v>-1.9</v>
      </c>
      <c r="AK130" s="229">
        <v>5.0000000000000001E-3</v>
      </c>
      <c r="AL130" s="228">
        <v>30.4</v>
      </c>
      <c r="AM130" s="228">
        <v>5.5</v>
      </c>
      <c r="AN130" s="228">
        <v>24.9</v>
      </c>
      <c r="AO130" s="229">
        <v>1.7500000000000002E-2</v>
      </c>
      <c r="AP130" s="231">
        <v>1746.34</v>
      </c>
      <c r="AQ130" s="231">
        <v>1755.08</v>
      </c>
      <c r="AR130" s="228">
        <v>0</v>
      </c>
      <c r="AS130" s="228">
        <v>266</v>
      </c>
      <c r="AT130" s="228">
        <v>213</v>
      </c>
      <c r="AU130" s="228">
        <v>52</v>
      </c>
      <c r="AV130" s="229">
        <v>0.24560000000000001</v>
      </c>
      <c r="AW130" s="228">
        <v>261</v>
      </c>
      <c r="AX130" s="228">
        <v>207</v>
      </c>
      <c r="AY130" s="228">
        <v>54</v>
      </c>
      <c r="AZ130" s="229">
        <v>0.2611</v>
      </c>
      <c r="BA130" s="228">
        <v>4</v>
      </c>
      <c r="BB130" s="228">
        <v>6</v>
      </c>
      <c r="BC130" s="228">
        <v>-1</v>
      </c>
      <c r="BD130" s="229">
        <v>-0.23810000000000001</v>
      </c>
      <c r="BE130" s="228">
        <v>0</v>
      </c>
      <c r="BF130" s="228">
        <v>0</v>
      </c>
      <c r="BG130" s="228">
        <v>0</v>
      </c>
      <c r="BH130" s="229">
        <v>-0.66669999999999996</v>
      </c>
      <c r="BI130" s="228">
        <v>981</v>
      </c>
      <c r="BJ130" s="228">
        <v>413</v>
      </c>
      <c r="BK130" s="228">
        <v>568</v>
      </c>
      <c r="BL130" s="229">
        <v>1.3729</v>
      </c>
      <c r="BM130" s="228">
        <v>508</v>
      </c>
      <c r="BN130" s="228">
        <v>174</v>
      </c>
      <c r="BO130" s="228">
        <v>335</v>
      </c>
      <c r="BP130" s="229">
        <v>1.9278999999999999</v>
      </c>
      <c r="BQ130" s="230">
        <v>1755</v>
      </c>
      <c r="BR130" s="228">
        <v>801</v>
      </c>
      <c r="BS130" s="228">
        <v>955</v>
      </c>
      <c r="BT130" s="229">
        <v>1.1927000000000001</v>
      </c>
      <c r="BU130" s="230">
        <v>996960</v>
      </c>
      <c r="BV130" s="230">
        <v>1480053</v>
      </c>
      <c r="BW130" s="230">
        <v>-483093</v>
      </c>
      <c r="BX130" s="229">
        <v>-0.32640000000000002</v>
      </c>
      <c r="BY130" s="230">
        <v>1617</v>
      </c>
      <c r="BZ130" s="230">
        <v>1620</v>
      </c>
      <c r="CA130" s="228">
        <v>-4</v>
      </c>
      <c r="CB130" s="229">
        <v>-2.2000000000000001E-3</v>
      </c>
      <c r="CC130" s="230">
        <v>1606</v>
      </c>
      <c r="CD130" s="230">
        <v>1609</v>
      </c>
      <c r="CE130" s="228">
        <v>-3</v>
      </c>
      <c r="CF130" s="229">
        <v>-1.9E-3</v>
      </c>
      <c r="CG130" s="228">
        <v>10</v>
      </c>
      <c r="CH130" s="228">
        <v>11</v>
      </c>
      <c r="CI130" s="228">
        <v>-1</v>
      </c>
      <c r="CJ130" s="229">
        <v>-6.3700000000000007E-2</v>
      </c>
      <c r="CK130" s="228">
        <v>1</v>
      </c>
      <c r="CL130" s="228">
        <v>1</v>
      </c>
      <c r="CM130" s="228">
        <v>0</v>
      </c>
      <c r="CN130" s="229">
        <v>9.0899999999999995E-2</v>
      </c>
      <c r="CO130" s="228">
        <v>479</v>
      </c>
      <c r="CP130" s="228">
        <v>342</v>
      </c>
      <c r="CQ130" s="228">
        <v>136</v>
      </c>
      <c r="CR130" s="229">
        <v>0.39879999999999999</v>
      </c>
      <c r="CS130" s="228">
        <v>279</v>
      </c>
      <c r="CT130" s="228">
        <v>213</v>
      </c>
      <c r="CU130" s="228">
        <v>66</v>
      </c>
      <c r="CV130" s="229">
        <v>0.308</v>
      </c>
      <c r="CW130" s="230">
        <v>2374</v>
      </c>
      <c r="CX130" s="230">
        <v>2176</v>
      </c>
      <c r="CY130" s="228">
        <v>199</v>
      </c>
      <c r="CZ130" s="229">
        <v>9.1200000000000003E-2</v>
      </c>
      <c r="DA130" s="228">
        <v>38.630000000000003</v>
      </c>
      <c r="DB130" s="228">
        <v>36.36</v>
      </c>
      <c r="DC130" s="228">
        <v>2.27</v>
      </c>
      <c r="DD130" s="228">
        <v>2.27</v>
      </c>
      <c r="DE130" s="228">
        <v>29.28</v>
      </c>
      <c r="DF130" s="228">
        <v>29.33</v>
      </c>
      <c r="DG130" s="228">
        <v>9.35</v>
      </c>
      <c r="DH130" s="228">
        <v>-0.05</v>
      </c>
      <c r="DI130" s="228">
        <v>38.840000000000003</v>
      </c>
      <c r="DJ130" s="228">
        <v>36.03</v>
      </c>
      <c r="DK130" s="228">
        <v>2.81</v>
      </c>
      <c r="DL130" s="228">
        <v>2.81</v>
      </c>
      <c r="DM130" s="228">
        <v>38.22</v>
      </c>
      <c r="DN130" s="228">
        <v>37.17</v>
      </c>
      <c r="DO130" s="228">
        <v>1.05</v>
      </c>
      <c r="DP130" s="228">
        <v>1.05</v>
      </c>
      <c r="DQ130" s="228">
        <v>0.57999999999999996</v>
      </c>
      <c r="DR130" s="228">
        <v>0.62</v>
      </c>
      <c r="DS130" s="228">
        <v>-0.04</v>
      </c>
      <c r="DT130" s="229">
        <v>-6.4500000000000002E-2</v>
      </c>
      <c r="DU130" s="231">
        <v>1800</v>
      </c>
      <c r="DV130" s="231">
        <v>1700</v>
      </c>
      <c r="DW130" s="228">
        <v>0.52</v>
      </c>
      <c r="DX130" s="228">
        <v>0.42</v>
      </c>
      <c r="DY130" s="228">
        <v>0.1</v>
      </c>
      <c r="DZ130" s="229">
        <v>0.23810000000000001</v>
      </c>
      <c r="EA130" s="229">
        <v>6.7999999999999996E-3</v>
      </c>
      <c r="EB130" s="230">
        <v>67200</v>
      </c>
      <c r="EC130" s="229">
        <v>2.5000000000000001E-3</v>
      </c>
      <c r="ED130" s="229">
        <v>6.7999999999999996E-3</v>
      </c>
      <c r="EE130" s="228">
        <v>8.74</v>
      </c>
      <c r="EF130" s="229">
        <v>5.0000000000000001E-3</v>
      </c>
      <c r="EG130" s="230">
        <v>574945</v>
      </c>
      <c r="EH130" s="230">
        <v>1119391</v>
      </c>
      <c r="EI130" s="229">
        <v>-0.4864</v>
      </c>
      <c r="EJ130" s="229">
        <v>0.57669999999999999</v>
      </c>
      <c r="EK130" s="231">
        <v>1040.0999999999999</v>
      </c>
      <c r="EL130" s="228">
        <v>495.98</v>
      </c>
      <c r="EM130" s="228">
        <v>267.14</v>
      </c>
      <c r="EN130" s="228">
        <v>28.06</v>
      </c>
      <c r="EO130" s="231">
        <v>1803.23</v>
      </c>
      <c r="EP130" s="228">
        <v>819.81</v>
      </c>
      <c r="EQ130" s="228">
        <v>983.42</v>
      </c>
      <c r="ER130" s="229">
        <v>1.1996</v>
      </c>
      <c r="ES130" s="228">
        <v>494.12</v>
      </c>
      <c r="ET130" s="228">
        <v>260.49</v>
      </c>
      <c r="EU130" s="231">
        <v>1616.75</v>
      </c>
      <c r="EV130" s="231">
        <v>33919851</v>
      </c>
      <c r="EW130" s="231">
        <v>2371.36</v>
      </c>
      <c r="EX130" s="231">
        <v>2181.4</v>
      </c>
      <c r="EY130" s="228">
        <v>189.96</v>
      </c>
      <c r="EZ130" s="229">
        <v>8.7099999999999997E-2</v>
      </c>
      <c r="FA130" s="229">
        <v>0.40260000000000001</v>
      </c>
      <c r="FB130" s="227" t="s">
        <v>568</v>
      </c>
      <c r="FC130">
        <f t="shared" si="1"/>
        <v>11</v>
      </c>
    </row>
    <row r="131" spans="1:159" ht="17.25" hidden="1" thickBot="1" x14ac:dyDescent="0.3">
      <c r="A131" s="226">
        <v>46064</v>
      </c>
      <c r="B131" s="227" t="s">
        <v>181</v>
      </c>
      <c r="C131" s="227" t="s">
        <v>563</v>
      </c>
      <c r="D131" s="228">
        <v>120</v>
      </c>
      <c r="E131" s="228">
        <v>13</v>
      </c>
      <c r="F131" s="231">
        <v>13950.2</v>
      </c>
      <c r="G131" s="231">
        <v>13944.6</v>
      </c>
      <c r="H131" s="228">
        <v>5.6</v>
      </c>
      <c r="I131" s="229">
        <v>4.0000000000000002E-4</v>
      </c>
      <c r="J131" s="231">
        <v>13952.8</v>
      </c>
      <c r="K131" s="231">
        <v>13953.1</v>
      </c>
      <c r="L131" s="228">
        <v>-0.3</v>
      </c>
      <c r="M131" s="229">
        <v>0</v>
      </c>
      <c r="N131" s="231">
        <v>13950.2</v>
      </c>
      <c r="O131" s="231">
        <v>13944.6</v>
      </c>
      <c r="P131" s="228">
        <v>5.6</v>
      </c>
      <c r="Q131" s="229">
        <v>4.0000000000000002E-4</v>
      </c>
      <c r="R131" s="231">
        <v>14018.35</v>
      </c>
      <c r="S131" s="231">
        <v>14008.9</v>
      </c>
      <c r="T131" s="228">
        <v>9.4499999999999993</v>
      </c>
      <c r="U131" s="229">
        <v>6.9999999999999999E-4</v>
      </c>
      <c r="V131" s="231">
        <v>14060.9</v>
      </c>
      <c r="W131" s="231">
        <v>14077.65</v>
      </c>
      <c r="X131" s="228">
        <v>-16.75</v>
      </c>
      <c r="Y131" s="229">
        <v>-1.1999999999999999E-3</v>
      </c>
      <c r="Z131" s="228">
        <v>-2.6</v>
      </c>
      <c r="AA131" s="228">
        <v>-8.5</v>
      </c>
      <c r="AB131" s="228">
        <v>5.9</v>
      </c>
      <c r="AC131" s="229">
        <v>-2.0000000000000001E-4</v>
      </c>
      <c r="AD131" s="228">
        <v>-2.6</v>
      </c>
      <c r="AE131" s="228">
        <v>-8.5</v>
      </c>
      <c r="AF131" s="228">
        <v>5.9</v>
      </c>
      <c r="AG131" s="229">
        <v>-2.0000000000000001E-4</v>
      </c>
      <c r="AH131" s="228">
        <v>65.55</v>
      </c>
      <c r="AI131" s="228">
        <v>55.8</v>
      </c>
      <c r="AJ131" s="228">
        <v>9.75</v>
      </c>
      <c r="AK131" s="229">
        <v>4.7000000000000002E-3</v>
      </c>
      <c r="AL131" s="228">
        <v>108.1</v>
      </c>
      <c r="AM131" s="228">
        <v>124.55</v>
      </c>
      <c r="AN131" s="228">
        <v>-16.45</v>
      </c>
      <c r="AO131" s="229">
        <v>7.7000000000000002E-3</v>
      </c>
      <c r="AP131" s="231">
        <v>13940.14</v>
      </c>
      <c r="AQ131" s="231">
        <v>14011.65</v>
      </c>
      <c r="AR131" s="228">
        <v>0</v>
      </c>
      <c r="AS131" s="228">
        <v>721</v>
      </c>
      <c r="AT131" s="228">
        <v>613</v>
      </c>
      <c r="AU131" s="228">
        <v>108</v>
      </c>
      <c r="AV131" s="229">
        <v>0.1759</v>
      </c>
      <c r="AW131" s="228">
        <v>674</v>
      </c>
      <c r="AX131" s="228">
        <v>555</v>
      </c>
      <c r="AY131" s="228">
        <v>119</v>
      </c>
      <c r="AZ131" s="229">
        <v>0.2145</v>
      </c>
      <c r="BA131" s="228">
        <v>36</v>
      </c>
      <c r="BB131" s="228">
        <v>46</v>
      </c>
      <c r="BC131" s="228">
        <v>-10</v>
      </c>
      <c r="BD131" s="229">
        <v>-0.2117</v>
      </c>
      <c r="BE131" s="228">
        <v>11</v>
      </c>
      <c r="BF131" s="228">
        <v>12</v>
      </c>
      <c r="BG131" s="228">
        <v>-2</v>
      </c>
      <c r="BH131" s="229">
        <v>-0.12330000000000001</v>
      </c>
      <c r="BI131" s="230">
        <v>17471</v>
      </c>
      <c r="BJ131" s="230">
        <v>19363</v>
      </c>
      <c r="BK131" s="230">
        <v>-1892</v>
      </c>
      <c r="BL131" s="229">
        <v>-9.7699999999999995E-2</v>
      </c>
      <c r="BM131" s="230">
        <v>17188</v>
      </c>
      <c r="BN131" s="230">
        <v>17842</v>
      </c>
      <c r="BO131" s="228">
        <v>-654</v>
      </c>
      <c r="BP131" s="229">
        <v>-3.6700000000000003E-2</v>
      </c>
      <c r="BQ131" s="230">
        <v>35380</v>
      </c>
      <c r="BR131" s="230">
        <v>37818</v>
      </c>
      <c r="BS131" s="230">
        <v>-2439</v>
      </c>
      <c r="BT131" s="229">
        <v>-6.4500000000000002E-2</v>
      </c>
      <c r="BU131" s="228">
        <v>0</v>
      </c>
      <c r="BV131" s="228">
        <v>0</v>
      </c>
      <c r="BW131" s="228">
        <v>0</v>
      </c>
      <c r="BX131" s="229">
        <v>0</v>
      </c>
      <c r="BY131" s="230">
        <v>2972</v>
      </c>
      <c r="BZ131" s="230">
        <v>2993</v>
      </c>
      <c r="CA131" s="228">
        <v>-22</v>
      </c>
      <c r="CB131" s="229">
        <v>-7.3000000000000001E-3</v>
      </c>
      <c r="CC131" s="230">
        <v>2833</v>
      </c>
      <c r="CD131" s="230">
        <v>2866</v>
      </c>
      <c r="CE131" s="228">
        <v>-33</v>
      </c>
      <c r="CF131" s="229">
        <v>-1.15E-2</v>
      </c>
      <c r="CG131" s="228">
        <v>104</v>
      </c>
      <c r="CH131" s="228">
        <v>96</v>
      </c>
      <c r="CI131" s="228">
        <v>8</v>
      </c>
      <c r="CJ131" s="229">
        <v>8.5500000000000007E-2</v>
      </c>
      <c r="CK131" s="228">
        <v>35</v>
      </c>
      <c r="CL131" s="228">
        <v>32</v>
      </c>
      <c r="CM131" s="228">
        <v>3</v>
      </c>
      <c r="CN131" s="229">
        <v>9.4200000000000006E-2</v>
      </c>
      <c r="CO131" s="230">
        <v>9624</v>
      </c>
      <c r="CP131" s="230">
        <v>9168</v>
      </c>
      <c r="CQ131" s="228">
        <v>455</v>
      </c>
      <c r="CR131" s="229">
        <v>4.9700000000000001E-2</v>
      </c>
      <c r="CS131" s="230">
        <v>11387</v>
      </c>
      <c r="CT131" s="230">
        <v>11144</v>
      </c>
      <c r="CU131" s="228">
        <v>243</v>
      </c>
      <c r="CV131" s="229">
        <v>2.18E-2</v>
      </c>
      <c r="CW131" s="230">
        <v>23983</v>
      </c>
      <c r="CX131" s="230">
        <v>23306</v>
      </c>
      <c r="CY131" s="228">
        <v>677</v>
      </c>
      <c r="CZ131" s="229">
        <v>2.9000000000000001E-2</v>
      </c>
      <c r="DA131" s="228">
        <v>16.559999999999999</v>
      </c>
      <c r="DB131" s="228">
        <v>17.350000000000001</v>
      </c>
      <c r="DC131" s="228">
        <v>-0.79</v>
      </c>
      <c r="DD131" s="228">
        <v>-0.79</v>
      </c>
      <c r="DE131" s="228">
        <v>22.14</v>
      </c>
      <c r="DF131" s="228">
        <v>22.2</v>
      </c>
      <c r="DG131" s="228">
        <v>-5.58</v>
      </c>
      <c r="DH131" s="228">
        <v>-0.06</v>
      </c>
      <c r="DI131" s="228">
        <v>15.44</v>
      </c>
      <c r="DJ131" s="228">
        <v>15.88</v>
      </c>
      <c r="DK131" s="228">
        <v>-0.44</v>
      </c>
      <c r="DL131" s="228">
        <v>-0.44</v>
      </c>
      <c r="DM131" s="228">
        <v>17.71</v>
      </c>
      <c r="DN131" s="228">
        <v>18.95</v>
      </c>
      <c r="DO131" s="228">
        <v>-1.24</v>
      </c>
      <c r="DP131" s="228">
        <v>-1.24</v>
      </c>
      <c r="DQ131" s="228">
        <v>1.18</v>
      </c>
      <c r="DR131" s="228">
        <v>1.22</v>
      </c>
      <c r="DS131" s="228">
        <v>-0.04</v>
      </c>
      <c r="DT131" s="229">
        <v>-3.2800000000000003E-2</v>
      </c>
      <c r="DU131" s="231">
        <v>14500</v>
      </c>
      <c r="DV131" s="231">
        <v>13000</v>
      </c>
      <c r="DW131" s="228">
        <v>0.98</v>
      </c>
      <c r="DX131" s="228">
        <v>0.92</v>
      </c>
      <c r="DY131" s="228">
        <v>0.06</v>
      </c>
      <c r="DZ131" s="229">
        <v>6.5199999999999994E-2</v>
      </c>
      <c r="EA131" s="229">
        <v>4.6800000000000001E-2</v>
      </c>
      <c r="EB131" s="230">
        <v>91680</v>
      </c>
      <c r="EC131" s="229">
        <v>4.8999999999999998E-3</v>
      </c>
      <c r="ED131" s="229">
        <v>4.6800000000000001E-2</v>
      </c>
      <c r="EE131" s="228">
        <v>71.510000000000005</v>
      </c>
      <c r="EF131" s="229">
        <v>5.1000000000000004E-3</v>
      </c>
      <c r="EG131" s="228">
        <v>0</v>
      </c>
      <c r="EH131" s="228">
        <v>0</v>
      </c>
      <c r="EI131" s="229">
        <v>0</v>
      </c>
      <c r="EJ131" s="229">
        <v>0</v>
      </c>
      <c r="EK131" s="231">
        <v>17833.41</v>
      </c>
      <c r="EL131" s="231">
        <v>16890.330000000002</v>
      </c>
      <c r="EM131" s="228">
        <v>720.44</v>
      </c>
      <c r="EN131" s="228">
        <v>0</v>
      </c>
      <c r="EO131" s="231">
        <v>35444.17</v>
      </c>
      <c r="EP131" s="231">
        <v>37737.620000000003</v>
      </c>
      <c r="EQ131" s="231">
        <v>-2293.4499999999998</v>
      </c>
      <c r="ER131" s="229">
        <v>-6.08E-2</v>
      </c>
      <c r="ES131" s="231">
        <v>9737.1200000000008</v>
      </c>
      <c r="ET131" s="231">
        <v>10714.97</v>
      </c>
      <c r="EU131" s="231">
        <v>2972.51</v>
      </c>
      <c r="EV131" s="228">
        <v>0</v>
      </c>
      <c r="EW131" s="231">
        <v>23424.6</v>
      </c>
      <c r="EX131" s="231">
        <v>22736.11</v>
      </c>
      <c r="EY131" s="228">
        <v>688.49</v>
      </c>
      <c r="EZ131" s="229">
        <v>3.0300000000000001E-2</v>
      </c>
      <c r="FA131" s="229">
        <v>0</v>
      </c>
      <c r="FB131" s="227" t="s">
        <v>556</v>
      </c>
      <c r="FC131">
        <f t="shared" ref="FC131:FC147" si="2">BY131-CC131</f>
        <v>139</v>
      </c>
    </row>
    <row r="132" spans="1:159" ht="17.25" hidden="1" thickBot="1" x14ac:dyDescent="0.3">
      <c r="A132" s="226">
        <v>46064</v>
      </c>
      <c r="B132" s="227" t="s">
        <v>162</v>
      </c>
      <c r="C132" s="227" t="s">
        <v>559</v>
      </c>
      <c r="D132" s="228">
        <v>6150</v>
      </c>
      <c r="E132" s="228">
        <v>13</v>
      </c>
      <c r="F132" s="228">
        <v>130.34</v>
      </c>
      <c r="G132" s="228">
        <v>129.93</v>
      </c>
      <c r="H132" s="228">
        <v>0.41</v>
      </c>
      <c r="I132" s="229">
        <v>3.2000000000000002E-3</v>
      </c>
      <c r="J132" s="228">
        <v>130.16999999999999</v>
      </c>
      <c r="K132" s="228">
        <v>129.43</v>
      </c>
      <c r="L132" s="228">
        <v>0.74</v>
      </c>
      <c r="M132" s="229">
        <v>5.7000000000000002E-3</v>
      </c>
      <c r="N132" s="228">
        <v>130.34</v>
      </c>
      <c r="O132" s="228">
        <v>129.93</v>
      </c>
      <c r="P132" s="228">
        <v>0.41</v>
      </c>
      <c r="Q132" s="229">
        <v>3.2000000000000002E-3</v>
      </c>
      <c r="R132" s="228">
        <v>131.12</v>
      </c>
      <c r="S132" s="228">
        <v>130.56</v>
      </c>
      <c r="T132" s="228">
        <v>0.56000000000000005</v>
      </c>
      <c r="U132" s="229">
        <v>4.3E-3</v>
      </c>
      <c r="V132" s="228">
        <v>131.87</v>
      </c>
      <c r="W132" s="228">
        <v>131.36000000000001</v>
      </c>
      <c r="X132" s="228">
        <v>0.51</v>
      </c>
      <c r="Y132" s="229">
        <v>3.8999999999999998E-3</v>
      </c>
      <c r="Z132" s="228">
        <v>0.17</v>
      </c>
      <c r="AA132" s="228">
        <v>0.5</v>
      </c>
      <c r="AB132" s="228">
        <v>-0.33</v>
      </c>
      <c r="AC132" s="229">
        <v>1.2999999999999999E-3</v>
      </c>
      <c r="AD132" s="228">
        <v>0.17</v>
      </c>
      <c r="AE132" s="228">
        <v>0.5</v>
      </c>
      <c r="AF132" s="228">
        <v>-0.33</v>
      </c>
      <c r="AG132" s="229">
        <v>1.2999999999999999E-3</v>
      </c>
      <c r="AH132" s="228">
        <v>0.95</v>
      </c>
      <c r="AI132" s="228">
        <v>1.1299999999999999</v>
      </c>
      <c r="AJ132" s="228">
        <v>-0.18</v>
      </c>
      <c r="AK132" s="229">
        <v>7.3000000000000001E-3</v>
      </c>
      <c r="AL132" s="228">
        <v>1.7</v>
      </c>
      <c r="AM132" s="228">
        <v>1.93</v>
      </c>
      <c r="AN132" s="228">
        <v>-0.23</v>
      </c>
      <c r="AO132" s="229">
        <v>1.3100000000000001E-2</v>
      </c>
      <c r="AP132" s="228">
        <v>133.77000000000001</v>
      </c>
      <c r="AQ132" s="228">
        <v>134.44</v>
      </c>
      <c r="AR132" s="228">
        <v>0</v>
      </c>
      <c r="AS132" s="230">
        <v>1311</v>
      </c>
      <c r="AT132" s="230">
        <v>1437</v>
      </c>
      <c r="AU132" s="228">
        <v>-126</v>
      </c>
      <c r="AV132" s="229">
        <v>-8.7499999999999994E-2</v>
      </c>
      <c r="AW132" s="230">
        <v>1212</v>
      </c>
      <c r="AX132" s="230">
        <v>1326</v>
      </c>
      <c r="AY132" s="228">
        <v>-114</v>
      </c>
      <c r="AZ132" s="229">
        <v>-8.6199999999999999E-2</v>
      </c>
      <c r="BA132" s="228">
        <v>85</v>
      </c>
      <c r="BB132" s="228">
        <v>98</v>
      </c>
      <c r="BC132" s="228">
        <v>-12</v>
      </c>
      <c r="BD132" s="229">
        <v>-0.12559999999999999</v>
      </c>
      <c r="BE132" s="228">
        <v>14</v>
      </c>
      <c r="BF132" s="228">
        <v>13</v>
      </c>
      <c r="BG132" s="228">
        <v>1</v>
      </c>
      <c r="BH132" s="229">
        <v>5.9499999999999997E-2</v>
      </c>
      <c r="BI132" s="230">
        <v>4178</v>
      </c>
      <c r="BJ132" s="230">
        <v>5343</v>
      </c>
      <c r="BK132" s="230">
        <v>-1165</v>
      </c>
      <c r="BL132" s="229">
        <v>-0.21809999999999999</v>
      </c>
      <c r="BM132" s="230">
        <v>2241</v>
      </c>
      <c r="BN132" s="230">
        <v>1788</v>
      </c>
      <c r="BO132" s="228">
        <v>454</v>
      </c>
      <c r="BP132" s="229">
        <v>0.25380000000000003</v>
      </c>
      <c r="BQ132" s="230">
        <v>7731</v>
      </c>
      <c r="BR132" s="230">
        <v>8568</v>
      </c>
      <c r="BS132" s="228">
        <v>-837</v>
      </c>
      <c r="BT132" s="229">
        <v>-9.7699999999999995E-2</v>
      </c>
      <c r="BU132" s="230">
        <v>62496608</v>
      </c>
      <c r="BV132" s="230">
        <v>58151988</v>
      </c>
      <c r="BW132" s="230">
        <v>4344620</v>
      </c>
      <c r="BX132" s="229">
        <v>7.4700000000000003E-2</v>
      </c>
      <c r="BY132" s="230">
        <v>2186</v>
      </c>
      <c r="BZ132" s="230">
        <v>2133</v>
      </c>
      <c r="CA132" s="228">
        <v>54</v>
      </c>
      <c r="CB132" s="229">
        <v>2.5100000000000001E-2</v>
      </c>
      <c r="CC132" s="230">
        <v>2131</v>
      </c>
      <c r="CD132" s="230">
        <v>2081</v>
      </c>
      <c r="CE132" s="228">
        <v>49</v>
      </c>
      <c r="CF132" s="229">
        <v>2.3599999999999999E-2</v>
      </c>
      <c r="CG132" s="228">
        <v>48</v>
      </c>
      <c r="CH132" s="228">
        <v>43</v>
      </c>
      <c r="CI132" s="228">
        <v>5</v>
      </c>
      <c r="CJ132" s="229">
        <v>0.1119</v>
      </c>
      <c r="CK132" s="228">
        <v>8</v>
      </c>
      <c r="CL132" s="228">
        <v>8</v>
      </c>
      <c r="CM132" s="228">
        <v>0</v>
      </c>
      <c r="CN132" s="229">
        <v>-4.7600000000000003E-2</v>
      </c>
      <c r="CO132" s="228">
        <v>955</v>
      </c>
      <c r="CP132" s="228">
        <v>892</v>
      </c>
      <c r="CQ132" s="228">
        <v>63</v>
      </c>
      <c r="CR132" s="229">
        <v>7.0599999999999996E-2</v>
      </c>
      <c r="CS132" s="228">
        <v>823</v>
      </c>
      <c r="CT132" s="228">
        <v>738</v>
      </c>
      <c r="CU132" s="228">
        <v>86</v>
      </c>
      <c r="CV132" s="229">
        <v>0.11609999999999999</v>
      </c>
      <c r="CW132" s="230">
        <v>3965</v>
      </c>
      <c r="CX132" s="230">
        <v>3763</v>
      </c>
      <c r="CY132" s="228">
        <v>202</v>
      </c>
      <c r="CZ132" s="229">
        <v>5.3800000000000001E-2</v>
      </c>
      <c r="DA132" s="228">
        <v>37.22</v>
      </c>
      <c r="DB132" s="228">
        <v>40.51</v>
      </c>
      <c r="DC132" s="228">
        <v>-3.29</v>
      </c>
      <c r="DD132" s="228">
        <v>-3.29</v>
      </c>
      <c r="DE132" s="228">
        <v>39.46</v>
      </c>
      <c r="DF132" s="228">
        <v>39.549999999999997</v>
      </c>
      <c r="DG132" s="228">
        <v>-2.2400000000000002</v>
      </c>
      <c r="DH132" s="228">
        <v>-0.09</v>
      </c>
      <c r="DI132" s="228">
        <v>37.68</v>
      </c>
      <c r="DJ132" s="228">
        <v>40.090000000000003</v>
      </c>
      <c r="DK132" s="228">
        <v>-2.41</v>
      </c>
      <c r="DL132" s="228">
        <v>-2.41</v>
      </c>
      <c r="DM132" s="228">
        <v>36.369999999999997</v>
      </c>
      <c r="DN132" s="228">
        <v>41.75</v>
      </c>
      <c r="DO132" s="228">
        <v>-5.38</v>
      </c>
      <c r="DP132" s="228">
        <v>-5.38</v>
      </c>
      <c r="DQ132" s="228">
        <v>0.86</v>
      </c>
      <c r="DR132" s="228">
        <v>0.83</v>
      </c>
      <c r="DS132" s="228">
        <v>0.03</v>
      </c>
      <c r="DT132" s="229">
        <v>3.61E-2</v>
      </c>
      <c r="DU132" s="228">
        <v>135</v>
      </c>
      <c r="DV132" s="228">
        <v>120</v>
      </c>
      <c r="DW132" s="228">
        <v>0.54</v>
      </c>
      <c r="DX132" s="228">
        <v>0.33</v>
      </c>
      <c r="DY132" s="228">
        <v>0.21</v>
      </c>
      <c r="DZ132" s="229">
        <v>0.63639999999999997</v>
      </c>
      <c r="EA132" s="229">
        <v>2.5499999999999998E-2</v>
      </c>
      <c r="EB132" s="230">
        <v>3942150</v>
      </c>
      <c r="EC132" s="229">
        <v>6.0000000000000001E-3</v>
      </c>
      <c r="ED132" s="229">
        <v>2.5499999999999998E-2</v>
      </c>
      <c r="EE132" s="228">
        <v>0.67</v>
      </c>
      <c r="EF132" s="229">
        <v>5.0000000000000001E-3</v>
      </c>
      <c r="EG132" s="230">
        <v>15577204</v>
      </c>
      <c r="EH132" s="230">
        <v>14560045</v>
      </c>
      <c r="EI132" s="229">
        <v>6.9900000000000004E-2</v>
      </c>
      <c r="EJ132" s="229">
        <v>0.2492</v>
      </c>
      <c r="EK132" s="231">
        <v>4472.4399999999996</v>
      </c>
      <c r="EL132" s="231">
        <v>2222.29</v>
      </c>
      <c r="EM132" s="231">
        <v>1346.32</v>
      </c>
      <c r="EN132" s="228">
        <v>81.19</v>
      </c>
      <c r="EO132" s="231">
        <v>8041.05</v>
      </c>
      <c r="EP132" s="231">
        <v>8662.1299999999992</v>
      </c>
      <c r="EQ132" s="228">
        <v>-621.08000000000004</v>
      </c>
      <c r="ER132" s="229">
        <v>-7.17E-2</v>
      </c>
      <c r="ES132" s="228">
        <v>968.51</v>
      </c>
      <c r="ET132" s="228">
        <v>749.22</v>
      </c>
      <c r="EU132" s="231">
        <v>2186.7199999999998</v>
      </c>
      <c r="EV132" s="231">
        <v>606151620</v>
      </c>
      <c r="EW132" s="231">
        <v>3904.46</v>
      </c>
      <c r="EX132" s="231">
        <v>3670.14</v>
      </c>
      <c r="EY132" s="228">
        <v>234.32</v>
      </c>
      <c r="EZ132" s="229">
        <v>6.3799999999999996E-2</v>
      </c>
      <c r="FA132" s="229">
        <v>0.50180000000000002</v>
      </c>
      <c r="FB132" s="227" t="s">
        <v>555</v>
      </c>
      <c r="FC132">
        <f t="shared" si="2"/>
        <v>55</v>
      </c>
    </row>
    <row r="133" spans="1:159" ht="17.25" hidden="1" thickBot="1" x14ac:dyDescent="0.3">
      <c r="A133" s="226">
        <v>46064</v>
      </c>
      <c r="B133" s="227" t="s">
        <v>221</v>
      </c>
      <c r="C133" s="227" t="s">
        <v>487</v>
      </c>
      <c r="D133" s="228">
        <v>275</v>
      </c>
      <c r="E133" s="228">
        <v>13</v>
      </c>
      <c r="F133" s="231">
        <v>2593.8000000000002</v>
      </c>
      <c r="G133" s="231">
        <v>2622.2</v>
      </c>
      <c r="H133" s="228">
        <v>-28.4</v>
      </c>
      <c r="I133" s="229">
        <v>-1.0800000000000001E-2</v>
      </c>
      <c r="J133" s="231">
        <v>2588.1999999999998</v>
      </c>
      <c r="K133" s="231">
        <v>2614.1</v>
      </c>
      <c r="L133" s="228">
        <v>-25.9</v>
      </c>
      <c r="M133" s="229">
        <v>-9.9000000000000008E-3</v>
      </c>
      <c r="N133" s="231">
        <v>2593.8000000000002</v>
      </c>
      <c r="O133" s="231">
        <v>2622.2</v>
      </c>
      <c r="P133" s="228">
        <v>-28.4</v>
      </c>
      <c r="Q133" s="229">
        <v>-1.0800000000000001E-2</v>
      </c>
      <c r="R133" s="231">
        <v>2608.8000000000002</v>
      </c>
      <c r="S133" s="231">
        <v>2636.5</v>
      </c>
      <c r="T133" s="228">
        <v>-27.7</v>
      </c>
      <c r="U133" s="229">
        <v>-1.0500000000000001E-2</v>
      </c>
      <c r="V133" s="231">
        <v>2633.8</v>
      </c>
      <c r="W133" s="231">
        <v>2652.3</v>
      </c>
      <c r="X133" s="228">
        <v>-18.5</v>
      </c>
      <c r="Y133" s="229">
        <v>-7.0000000000000001E-3</v>
      </c>
      <c r="Z133" s="228">
        <v>5.6</v>
      </c>
      <c r="AA133" s="228">
        <v>8.1</v>
      </c>
      <c r="AB133" s="228">
        <v>-2.5</v>
      </c>
      <c r="AC133" s="229">
        <v>2.2000000000000001E-3</v>
      </c>
      <c r="AD133" s="228">
        <v>5.6</v>
      </c>
      <c r="AE133" s="228">
        <v>8.1</v>
      </c>
      <c r="AF133" s="228">
        <v>-2.5</v>
      </c>
      <c r="AG133" s="229">
        <v>2.2000000000000001E-3</v>
      </c>
      <c r="AH133" s="228">
        <v>20.6</v>
      </c>
      <c r="AI133" s="228">
        <v>22.4</v>
      </c>
      <c r="AJ133" s="228">
        <v>-1.8</v>
      </c>
      <c r="AK133" s="229">
        <v>8.0000000000000002E-3</v>
      </c>
      <c r="AL133" s="228">
        <v>45.6</v>
      </c>
      <c r="AM133" s="228">
        <v>38.200000000000003</v>
      </c>
      <c r="AN133" s="228">
        <v>7.4</v>
      </c>
      <c r="AO133" s="229">
        <v>1.7600000000000001E-2</v>
      </c>
      <c r="AP133" s="231">
        <v>2584.0100000000002</v>
      </c>
      <c r="AQ133" s="231">
        <v>2596.0700000000002</v>
      </c>
      <c r="AR133" s="228">
        <v>0</v>
      </c>
      <c r="AS133" s="228">
        <v>205</v>
      </c>
      <c r="AT133" s="228">
        <v>192</v>
      </c>
      <c r="AU133" s="228">
        <v>13</v>
      </c>
      <c r="AV133" s="229">
        <v>6.6000000000000003E-2</v>
      </c>
      <c r="AW133" s="228">
        <v>182</v>
      </c>
      <c r="AX133" s="228">
        <v>176</v>
      </c>
      <c r="AY133" s="228">
        <v>6</v>
      </c>
      <c r="AZ133" s="229">
        <v>3.6900000000000002E-2</v>
      </c>
      <c r="BA133" s="228">
        <v>20</v>
      </c>
      <c r="BB133" s="228">
        <v>15</v>
      </c>
      <c r="BC133" s="228">
        <v>5</v>
      </c>
      <c r="BD133" s="229">
        <v>0.30330000000000001</v>
      </c>
      <c r="BE133" s="228">
        <v>3</v>
      </c>
      <c r="BF133" s="228">
        <v>2</v>
      </c>
      <c r="BG133" s="228">
        <v>2</v>
      </c>
      <c r="BH133" s="229">
        <v>0.95830000000000004</v>
      </c>
      <c r="BI133" s="228">
        <v>468</v>
      </c>
      <c r="BJ133" s="228">
        <v>354</v>
      </c>
      <c r="BK133" s="228">
        <v>113</v>
      </c>
      <c r="BL133" s="229">
        <v>0.32029999999999997</v>
      </c>
      <c r="BM133" s="228">
        <v>344</v>
      </c>
      <c r="BN133" s="228">
        <v>116</v>
      </c>
      <c r="BO133" s="228">
        <v>228</v>
      </c>
      <c r="BP133" s="229">
        <v>1.9698</v>
      </c>
      <c r="BQ133" s="230">
        <v>1017</v>
      </c>
      <c r="BR133" s="228">
        <v>663</v>
      </c>
      <c r="BS133" s="228">
        <v>354</v>
      </c>
      <c r="BT133" s="229">
        <v>0.53469999999999995</v>
      </c>
      <c r="BU133" s="230">
        <v>527579</v>
      </c>
      <c r="BV133" s="230">
        <v>446883</v>
      </c>
      <c r="BW133" s="230">
        <v>80696</v>
      </c>
      <c r="BX133" s="229">
        <v>0.18060000000000001</v>
      </c>
      <c r="BY133" s="230">
        <v>1343</v>
      </c>
      <c r="BZ133" s="230">
        <v>1321</v>
      </c>
      <c r="CA133" s="228">
        <v>22</v>
      </c>
      <c r="CB133" s="229">
        <v>1.67E-2</v>
      </c>
      <c r="CC133" s="230">
        <v>1305</v>
      </c>
      <c r="CD133" s="230">
        <v>1288</v>
      </c>
      <c r="CE133" s="228">
        <v>17</v>
      </c>
      <c r="CF133" s="229">
        <v>1.32E-2</v>
      </c>
      <c r="CG133" s="228">
        <v>33</v>
      </c>
      <c r="CH133" s="228">
        <v>30</v>
      </c>
      <c r="CI133" s="228">
        <v>3</v>
      </c>
      <c r="CJ133" s="229">
        <v>0.1111</v>
      </c>
      <c r="CK133" s="228">
        <v>6</v>
      </c>
      <c r="CL133" s="228">
        <v>4</v>
      </c>
      <c r="CM133" s="228">
        <v>2</v>
      </c>
      <c r="CN133" s="229">
        <v>0.46300000000000002</v>
      </c>
      <c r="CO133" s="228">
        <v>405</v>
      </c>
      <c r="CP133" s="228">
        <v>382</v>
      </c>
      <c r="CQ133" s="228">
        <v>23</v>
      </c>
      <c r="CR133" s="229">
        <v>6.13E-2</v>
      </c>
      <c r="CS133" s="228">
        <v>220</v>
      </c>
      <c r="CT133" s="228">
        <v>198</v>
      </c>
      <c r="CU133" s="228">
        <v>22</v>
      </c>
      <c r="CV133" s="229">
        <v>0.1096</v>
      </c>
      <c r="CW133" s="230">
        <v>1968</v>
      </c>
      <c r="CX133" s="230">
        <v>1901</v>
      </c>
      <c r="CY133" s="228">
        <v>67</v>
      </c>
      <c r="CZ133" s="229">
        <v>3.5299999999999998E-2</v>
      </c>
      <c r="DA133" s="228">
        <v>34.729999999999997</v>
      </c>
      <c r="DB133" s="228">
        <v>31.79</v>
      </c>
      <c r="DC133" s="228">
        <v>2.94</v>
      </c>
      <c r="DD133" s="228">
        <v>2.94</v>
      </c>
      <c r="DE133" s="228">
        <v>35.18</v>
      </c>
      <c r="DF133" s="228">
        <v>35.24</v>
      </c>
      <c r="DG133" s="228">
        <v>-0.45</v>
      </c>
      <c r="DH133" s="228">
        <v>-0.06</v>
      </c>
      <c r="DI133" s="228">
        <v>34.68</v>
      </c>
      <c r="DJ133" s="228">
        <v>31.76</v>
      </c>
      <c r="DK133" s="228">
        <v>2.92</v>
      </c>
      <c r="DL133" s="228">
        <v>2.92</v>
      </c>
      <c r="DM133" s="228">
        <v>34.81</v>
      </c>
      <c r="DN133" s="228">
        <v>31.9</v>
      </c>
      <c r="DO133" s="228">
        <v>2.91</v>
      </c>
      <c r="DP133" s="228">
        <v>2.91</v>
      </c>
      <c r="DQ133" s="228">
        <v>0.54</v>
      </c>
      <c r="DR133" s="228">
        <v>0.52</v>
      </c>
      <c r="DS133" s="228">
        <v>0.02</v>
      </c>
      <c r="DT133" s="229">
        <v>3.85E-2</v>
      </c>
      <c r="DU133" s="231">
        <v>2800</v>
      </c>
      <c r="DV133" s="231">
        <v>2500</v>
      </c>
      <c r="DW133" s="228">
        <v>0.73</v>
      </c>
      <c r="DX133" s="228">
        <v>0.33</v>
      </c>
      <c r="DY133" s="228">
        <v>0.4</v>
      </c>
      <c r="DZ133" s="229">
        <v>1.2121</v>
      </c>
      <c r="EA133" s="229">
        <v>2.86E-2</v>
      </c>
      <c r="EB133" s="230">
        <v>128700</v>
      </c>
      <c r="EC133" s="229">
        <v>5.7999999999999996E-3</v>
      </c>
      <c r="ED133" s="229">
        <v>2.86E-2</v>
      </c>
      <c r="EE133" s="228">
        <v>12.06</v>
      </c>
      <c r="EF133" s="229">
        <v>4.7000000000000002E-3</v>
      </c>
      <c r="EG133" s="230">
        <v>280700</v>
      </c>
      <c r="EH133" s="230">
        <v>256684</v>
      </c>
      <c r="EI133" s="229">
        <v>9.3600000000000003E-2</v>
      </c>
      <c r="EJ133" s="229">
        <v>0.53210000000000002</v>
      </c>
      <c r="EK133" s="228">
        <v>495.04</v>
      </c>
      <c r="EL133" s="228">
        <v>340.52</v>
      </c>
      <c r="EM133" s="228">
        <v>204.49</v>
      </c>
      <c r="EN133" s="228">
        <v>32.39</v>
      </c>
      <c r="EO133" s="231">
        <v>1040.05</v>
      </c>
      <c r="EP133" s="228">
        <v>689.79</v>
      </c>
      <c r="EQ133" s="228">
        <v>350.26</v>
      </c>
      <c r="ER133" s="229">
        <v>0.50780000000000003</v>
      </c>
      <c r="ES133" s="228">
        <v>442.49</v>
      </c>
      <c r="ET133" s="228">
        <v>218.36</v>
      </c>
      <c r="EU133" s="231">
        <v>1343.27</v>
      </c>
      <c r="EV133" s="231">
        <v>17093933</v>
      </c>
      <c r="EW133" s="231">
        <v>2004.12</v>
      </c>
      <c r="EX133" s="231">
        <v>1953.93</v>
      </c>
      <c r="EY133" s="228">
        <v>50.19</v>
      </c>
      <c r="EZ133" s="229">
        <v>2.5700000000000001E-2</v>
      </c>
      <c r="FA133" s="229">
        <v>0.44379999999999997</v>
      </c>
      <c r="FB133" s="227" t="s">
        <v>567</v>
      </c>
      <c r="FC133">
        <f t="shared" si="2"/>
        <v>38</v>
      </c>
    </row>
    <row r="134" spans="1:159" ht="17.25" hidden="1" thickBot="1" x14ac:dyDescent="0.3">
      <c r="A134" s="226">
        <v>46064</v>
      </c>
      <c r="B134" s="227" t="s">
        <v>175</v>
      </c>
      <c r="C134" s="227" t="s">
        <v>262</v>
      </c>
      <c r="D134" s="228">
        <v>275</v>
      </c>
      <c r="E134" s="228">
        <v>13</v>
      </c>
      <c r="F134" s="231">
        <v>3936</v>
      </c>
      <c r="G134" s="231">
        <v>3889.1</v>
      </c>
      <c r="H134" s="228">
        <v>46.9</v>
      </c>
      <c r="I134" s="229">
        <v>1.21E-2</v>
      </c>
      <c r="J134" s="231">
        <v>3933.2</v>
      </c>
      <c r="K134" s="231">
        <v>3882</v>
      </c>
      <c r="L134" s="228">
        <v>51.2</v>
      </c>
      <c r="M134" s="229">
        <v>1.32E-2</v>
      </c>
      <c r="N134" s="231">
        <v>3936</v>
      </c>
      <c r="O134" s="231">
        <v>3889.1</v>
      </c>
      <c r="P134" s="228">
        <v>46.9</v>
      </c>
      <c r="Q134" s="229">
        <v>1.21E-2</v>
      </c>
      <c r="R134" s="231">
        <v>3962.6</v>
      </c>
      <c r="S134" s="231">
        <v>3913.2</v>
      </c>
      <c r="T134" s="228">
        <v>49.4</v>
      </c>
      <c r="U134" s="229">
        <v>1.26E-2</v>
      </c>
      <c r="V134" s="231">
        <v>3963.6</v>
      </c>
      <c r="W134" s="231">
        <v>3906.8</v>
      </c>
      <c r="X134" s="228">
        <v>56.8</v>
      </c>
      <c r="Y134" s="229">
        <v>1.4500000000000001E-2</v>
      </c>
      <c r="Z134" s="228">
        <v>2.8</v>
      </c>
      <c r="AA134" s="228">
        <v>7.1</v>
      </c>
      <c r="AB134" s="228">
        <v>-4.3</v>
      </c>
      <c r="AC134" s="229">
        <v>6.9999999999999999E-4</v>
      </c>
      <c r="AD134" s="228">
        <v>2.8</v>
      </c>
      <c r="AE134" s="228">
        <v>7.1</v>
      </c>
      <c r="AF134" s="228">
        <v>-4.3</v>
      </c>
      <c r="AG134" s="229">
        <v>6.9999999999999999E-4</v>
      </c>
      <c r="AH134" s="228">
        <v>29.4</v>
      </c>
      <c r="AI134" s="228">
        <v>31.2</v>
      </c>
      <c r="AJ134" s="228">
        <v>-1.8</v>
      </c>
      <c r="AK134" s="229">
        <v>7.4999999999999997E-3</v>
      </c>
      <c r="AL134" s="228">
        <v>30.4</v>
      </c>
      <c r="AM134" s="228">
        <v>24.8</v>
      </c>
      <c r="AN134" s="228">
        <v>5.6</v>
      </c>
      <c r="AO134" s="229">
        <v>7.7000000000000002E-3</v>
      </c>
      <c r="AP134" s="231">
        <v>3930.94</v>
      </c>
      <c r="AQ134" s="231">
        <v>3956.36</v>
      </c>
      <c r="AR134" s="228">
        <v>0</v>
      </c>
      <c r="AS134" s="228">
        <v>509</v>
      </c>
      <c r="AT134" s="228">
        <v>590</v>
      </c>
      <c r="AU134" s="228">
        <v>-81</v>
      </c>
      <c r="AV134" s="229">
        <v>-0.1376</v>
      </c>
      <c r="AW134" s="228">
        <v>473</v>
      </c>
      <c r="AX134" s="228">
        <v>542</v>
      </c>
      <c r="AY134" s="228">
        <v>-69</v>
      </c>
      <c r="AZ134" s="229">
        <v>-0.12690000000000001</v>
      </c>
      <c r="BA134" s="228">
        <v>32</v>
      </c>
      <c r="BB134" s="228">
        <v>44</v>
      </c>
      <c r="BC134" s="228">
        <v>-11</v>
      </c>
      <c r="BD134" s="229">
        <v>-0.26240000000000002</v>
      </c>
      <c r="BE134" s="228">
        <v>3</v>
      </c>
      <c r="BF134" s="228">
        <v>4</v>
      </c>
      <c r="BG134" s="228">
        <v>-1</v>
      </c>
      <c r="BH134" s="229">
        <v>-0.22220000000000001</v>
      </c>
      <c r="BI134" s="230">
        <v>2996</v>
      </c>
      <c r="BJ134" s="230">
        <v>3039</v>
      </c>
      <c r="BK134" s="228">
        <v>-43</v>
      </c>
      <c r="BL134" s="229">
        <v>-1.4200000000000001E-2</v>
      </c>
      <c r="BM134" s="228">
        <v>644</v>
      </c>
      <c r="BN134" s="228">
        <v>824</v>
      </c>
      <c r="BO134" s="228">
        <v>-180</v>
      </c>
      <c r="BP134" s="229">
        <v>-0.218</v>
      </c>
      <c r="BQ134" s="230">
        <v>4149</v>
      </c>
      <c r="BR134" s="230">
        <v>4453</v>
      </c>
      <c r="BS134" s="228">
        <v>-304</v>
      </c>
      <c r="BT134" s="229">
        <v>-6.83E-2</v>
      </c>
      <c r="BU134" s="230">
        <v>603710</v>
      </c>
      <c r="BV134" s="230">
        <v>567027</v>
      </c>
      <c r="BW134" s="230">
        <v>36683</v>
      </c>
      <c r="BX134" s="229">
        <v>6.4699999999999994E-2</v>
      </c>
      <c r="BY134" s="230">
        <v>1854</v>
      </c>
      <c r="BZ134" s="230">
        <v>1796</v>
      </c>
      <c r="CA134" s="228">
        <v>58</v>
      </c>
      <c r="CB134" s="229">
        <v>3.2199999999999999E-2</v>
      </c>
      <c r="CC134" s="230">
        <v>1782</v>
      </c>
      <c r="CD134" s="230">
        <v>1734</v>
      </c>
      <c r="CE134" s="228">
        <v>48</v>
      </c>
      <c r="CF134" s="229">
        <v>2.7799999999999998E-2</v>
      </c>
      <c r="CG134" s="228">
        <v>63</v>
      </c>
      <c r="CH134" s="228">
        <v>54</v>
      </c>
      <c r="CI134" s="228">
        <v>9</v>
      </c>
      <c r="CJ134" s="229">
        <v>0.17169999999999999</v>
      </c>
      <c r="CK134" s="228">
        <v>9</v>
      </c>
      <c r="CL134" s="228">
        <v>8</v>
      </c>
      <c r="CM134" s="228">
        <v>0</v>
      </c>
      <c r="CN134" s="229">
        <v>5.1900000000000002E-2</v>
      </c>
      <c r="CO134" s="230">
        <v>1680</v>
      </c>
      <c r="CP134" s="230">
        <v>1330</v>
      </c>
      <c r="CQ134" s="228">
        <v>350</v>
      </c>
      <c r="CR134" s="229">
        <v>0.26300000000000001</v>
      </c>
      <c r="CS134" s="228">
        <v>788</v>
      </c>
      <c r="CT134" s="228">
        <v>718</v>
      </c>
      <c r="CU134" s="228">
        <v>70</v>
      </c>
      <c r="CV134" s="229">
        <v>9.8100000000000007E-2</v>
      </c>
      <c r="CW134" s="230">
        <v>4322</v>
      </c>
      <c r="CX134" s="230">
        <v>3844</v>
      </c>
      <c r="CY134" s="228">
        <v>478</v>
      </c>
      <c r="CZ134" s="229">
        <v>0.1244</v>
      </c>
      <c r="DA134" s="228">
        <v>59.43</v>
      </c>
      <c r="DB134" s="228">
        <v>54.03</v>
      </c>
      <c r="DC134" s="228">
        <v>5.4</v>
      </c>
      <c r="DD134" s="228">
        <v>5.4</v>
      </c>
      <c r="DE134" s="228">
        <v>38.71</v>
      </c>
      <c r="DF134" s="228">
        <v>38.770000000000003</v>
      </c>
      <c r="DG134" s="228">
        <v>20.72</v>
      </c>
      <c r="DH134" s="228">
        <v>-0.06</v>
      </c>
      <c r="DI134" s="228">
        <v>59.86</v>
      </c>
      <c r="DJ134" s="228">
        <v>53.81</v>
      </c>
      <c r="DK134" s="228">
        <v>6.05</v>
      </c>
      <c r="DL134" s="228">
        <v>6.05</v>
      </c>
      <c r="DM134" s="228">
        <v>57.45</v>
      </c>
      <c r="DN134" s="228">
        <v>54.84</v>
      </c>
      <c r="DO134" s="228">
        <v>2.61</v>
      </c>
      <c r="DP134" s="228">
        <v>2.61</v>
      </c>
      <c r="DQ134" s="228">
        <v>0.47</v>
      </c>
      <c r="DR134" s="228">
        <v>0.54</v>
      </c>
      <c r="DS134" s="228">
        <v>-7.0000000000000007E-2</v>
      </c>
      <c r="DT134" s="229">
        <v>-0.12959999999999999</v>
      </c>
      <c r="DU134" s="231">
        <v>4000</v>
      </c>
      <c r="DV134" s="231">
        <v>3800</v>
      </c>
      <c r="DW134" s="228">
        <v>0.22</v>
      </c>
      <c r="DX134" s="228">
        <v>0.27</v>
      </c>
      <c r="DY134" s="228">
        <v>-0.05</v>
      </c>
      <c r="DZ134" s="229">
        <v>-0.1852</v>
      </c>
      <c r="EA134" s="229">
        <v>3.8600000000000002E-2</v>
      </c>
      <c r="EB134" s="230">
        <v>157300</v>
      </c>
      <c r="EC134" s="229">
        <v>6.7999999999999996E-3</v>
      </c>
      <c r="ED134" s="229">
        <v>3.8600000000000002E-2</v>
      </c>
      <c r="EE134" s="228">
        <v>25.42</v>
      </c>
      <c r="EF134" s="229">
        <v>6.4999999999999997E-3</v>
      </c>
      <c r="EG134" s="230">
        <v>280996</v>
      </c>
      <c r="EH134" s="230">
        <v>185355</v>
      </c>
      <c r="EI134" s="229">
        <v>0.51600000000000001</v>
      </c>
      <c r="EJ134" s="229">
        <v>0.46539999999999998</v>
      </c>
      <c r="EK134" s="231">
        <v>3266.88</v>
      </c>
      <c r="EL134" s="228">
        <v>620.44000000000005</v>
      </c>
      <c r="EM134" s="228">
        <v>508.3</v>
      </c>
      <c r="EN134" s="228">
        <v>62.91</v>
      </c>
      <c r="EO134" s="231">
        <v>4395.62</v>
      </c>
      <c r="EP134" s="231">
        <v>4556.8</v>
      </c>
      <c r="EQ134" s="228">
        <v>-161.16999999999999</v>
      </c>
      <c r="ER134" s="229">
        <v>-3.5400000000000001E-2</v>
      </c>
      <c r="ES134" s="231">
        <v>1753.57</v>
      </c>
      <c r="ET134" s="228">
        <v>727.38</v>
      </c>
      <c r="EU134" s="231">
        <v>1854.1</v>
      </c>
      <c r="EV134" s="231">
        <v>14790848</v>
      </c>
      <c r="EW134" s="231">
        <v>4335.04</v>
      </c>
      <c r="EX134" s="231">
        <v>3799.18</v>
      </c>
      <c r="EY134" s="228">
        <v>535.86</v>
      </c>
      <c r="EZ134" s="229">
        <v>0.14099999999999999</v>
      </c>
      <c r="FA134" s="229">
        <v>0.74239999999999995</v>
      </c>
      <c r="FB134" s="227" t="s">
        <v>555</v>
      </c>
      <c r="FC134">
        <f t="shared" si="2"/>
        <v>72</v>
      </c>
    </row>
    <row r="135" spans="1:159" ht="17.25" hidden="1" thickBot="1" x14ac:dyDescent="0.3">
      <c r="A135" s="226">
        <v>46064</v>
      </c>
      <c r="B135" s="227" t="s">
        <v>227</v>
      </c>
      <c r="C135" s="227" t="s">
        <v>263</v>
      </c>
      <c r="D135" s="228">
        <v>3750</v>
      </c>
      <c r="E135" s="228">
        <v>13</v>
      </c>
      <c r="F135" s="228">
        <v>369.15</v>
      </c>
      <c r="G135" s="228">
        <v>369.55</v>
      </c>
      <c r="H135" s="228">
        <v>-0.4</v>
      </c>
      <c r="I135" s="229">
        <v>-1.1000000000000001E-3</v>
      </c>
      <c r="J135" s="228">
        <v>367.7</v>
      </c>
      <c r="K135" s="228">
        <v>368.65</v>
      </c>
      <c r="L135" s="228">
        <v>-0.95</v>
      </c>
      <c r="M135" s="229">
        <v>-2.5999999999999999E-3</v>
      </c>
      <c r="N135" s="228">
        <v>369.15</v>
      </c>
      <c r="O135" s="228">
        <v>369.55</v>
      </c>
      <c r="P135" s="228">
        <v>-0.4</v>
      </c>
      <c r="Q135" s="229">
        <v>-1.1000000000000001E-3</v>
      </c>
      <c r="R135" s="228">
        <v>371.15</v>
      </c>
      <c r="S135" s="228">
        <v>371.15</v>
      </c>
      <c r="T135" s="228">
        <v>0</v>
      </c>
      <c r="U135" s="229">
        <v>0</v>
      </c>
      <c r="V135" s="228">
        <v>372.85</v>
      </c>
      <c r="W135" s="228">
        <v>372.9</v>
      </c>
      <c r="X135" s="228">
        <v>-0.05</v>
      </c>
      <c r="Y135" s="229">
        <v>-1E-4</v>
      </c>
      <c r="Z135" s="228">
        <v>1.45</v>
      </c>
      <c r="AA135" s="228">
        <v>0.9</v>
      </c>
      <c r="AB135" s="228">
        <v>0.55000000000000004</v>
      </c>
      <c r="AC135" s="229">
        <v>3.8999999999999998E-3</v>
      </c>
      <c r="AD135" s="228">
        <v>1.45</v>
      </c>
      <c r="AE135" s="228">
        <v>0.9</v>
      </c>
      <c r="AF135" s="228">
        <v>0.55000000000000004</v>
      </c>
      <c r="AG135" s="229">
        <v>3.8999999999999998E-3</v>
      </c>
      <c r="AH135" s="228">
        <v>3.45</v>
      </c>
      <c r="AI135" s="228">
        <v>2.5</v>
      </c>
      <c r="AJ135" s="228">
        <v>0.95</v>
      </c>
      <c r="AK135" s="229">
        <v>9.4000000000000004E-3</v>
      </c>
      <c r="AL135" s="228">
        <v>5.15</v>
      </c>
      <c r="AM135" s="228">
        <v>4.25</v>
      </c>
      <c r="AN135" s="228">
        <v>0.9</v>
      </c>
      <c r="AO135" s="229">
        <v>1.4E-2</v>
      </c>
      <c r="AP135" s="228">
        <v>370.02</v>
      </c>
      <c r="AQ135" s="228">
        <v>372.07</v>
      </c>
      <c r="AR135" s="228">
        <v>0</v>
      </c>
      <c r="AS135" s="228">
        <v>605</v>
      </c>
      <c r="AT135" s="228">
        <v>496</v>
      </c>
      <c r="AU135" s="228">
        <v>109</v>
      </c>
      <c r="AV135" s="229">
        <v>0.21929999999999999</v>
      </c>
      <c r="AW135" s="228">
        <v>533</v>
      </c>
      <c r="AX135" s="228">
        <v>446</v>
      </c>
      <c r="AY135" s="228">
        <v>87</v>
      </c>
      <c r="AZ135" s="229">
        <v>0.1958</v>
      </c>
      <c r="BA135" s="228">
        <v>67</v>
      </c>
      <c r="BB135" s="228">
        <v>45</v>
      </c>
      <c r="BC135" s="228">
        <v>22</v>
      </c>
      <c r="BD135" s="229">
        <v>0.48</v>
      </c>
      <c r="BE135" s="228">
        <v>5</v>
      </c>
      <c r="BF135" s="228">
        <v>5</v>
      </c>
      <c r="BG135" s="228">
        <v>0</v>
      </c>
      <c r="BH135" s="229">
        <v>-2.7E-2</v>
      </c>
      <c r="BI135" s="230">
        <v>1588</v>
      </c>
      <c r="BJ135" s="230">
        <v>1368</v>
      </c>
      <c r="BK135" s="228">
        <v>220</v>
      </c>
      <c r="BL135" s="229">
        <v>0.16059999999999999</v>
      </c>
      <c r="BM135" s="228">
        <v>968</v>
      </c>
      <c r="BN135" s="228">
        <v>796</v>
      </c>
      <c r="BO135" s="228">
        <v>172</v>
      </c>
      <c r="BP135" s="229">
        <v>0.21590000000000001</v>
      </c>
      <c r="BQ135" s="230">
        <v>3161</v>
      </c>
      <c r="BR135" s="230">
        <v>2661</v>
      </c>
      <c r="BS135" s="228">
        <v>501</v>
      </c>
      <c r="BT135" s="229">
        <v>0.18809999999999999</v>
      </c>
      <c r="BU135" s="230">
        <v>9686361</v>
      </c>
      <c r="BV135" s="230">
        <v>8917217</v>
      </c>
      <c r="BW135" s="230">
        <v>769144</v>
      </c>
      <c r="BX135" s="229">
        <v>8.6300000000000002E-2</v>
      </c>
      <c r="BY135" s="230">
        <v>2152</v>
      </c>
      <c r="BZ135" s="230">
        <v>2129</v>
      </c>
      <c r="CA135" s="228">
        <v>22</v>
      </c>
      <c r="CB135" s="229">
        <v>1.0500000000000001E-2</v>
      </c>
      <c r="CC135" s="230">
        <v>2035</v>
      </c>
      <c r="CD135" s="230">
        <v>2017</v>
      </c>
      <c r="CE135" s="228">
        <v>18</v>
      </c>
      <c r="CF135" s="229">
        <v>8.8000000000000005E-3</v>
      </c>
      <c r="CG135" s="228">
        <v>90</v>
      </c>
      <c r="CH135" s="228">
        <v>86</v>
      </c>
      <c r="CI135" s="228">
        <v>4</v>
      </c>
      <c r="CJ135" s="229">
        <v>5.1700000000000003E-2</v>
      </c>
      <c r="CK135" s="228">
        <v>27</v>
      </c>
      <c r="CL135" s="228">
        <v>27</v>
      </c>
      <c r="CM135" s="228">
        <v>0</v>
      </c>
      <c r="CN135" s="229">
        <v>1.04E-2</v>
      </c>
      <c r="CO135" s="230">
        <v>2035</v>
      </c>
      <c r="CP135" s="230">
        <v>2093</v>
      </c>
      <c r="CQ135" s="228">
        <v>-57</v>
      </c>
      <c r="CR135" s="229">
        <v>-2.75E-2</v>
      </c>
      <c r="CS135" s="230">
        <v>1364</v>
      </c>
      <c r="CT135" s="230">
        <v>1392</v>
      </c>
      <c r="CU135" s="228">
        <v>-29</v>
      </c>
      <c r="CV135" s="229">
        <v>-2.07E-2</v>
      </c>
      <c r="CW135" s="230">
        <v>5551</v>
      </c>
      <c r="CX135" s="230">
        <v>5614</v>
      </c>
      <c r="CY135" s="228">
        <v>-64</v>
      </c>
      <c r="CZ135" s="229">
        <v>-1.14E-2</v>
      </c>
      <c r="DA135" s="228">
        <v>42.27</v>
      </c>
      <c r="DB135" s="228">
        <v>43.27</v>
      </c>
      <c r="DC135" s="228">
        <v>-1</v>
      </c>
      <c r="DD135" s="228">
        <v>-1</v>
      </c>
      <c r="DE135" s="228">
        <v>51.25</v>
      </c>
      <c r="DF135" s="228">
        <v>51.37</v>
      </c>
      <c r="DG135" s="228">
        <v>-8.98</v>
      </c>
      <c r="DH135" s="228">
        <v>-0.12</v>
      </c>
      <c r="DI135" s="228">
        <v>42.56</v>
      </c>
      <c r="DJ135" s="228">
        <v>43.59</v>
      </c>
      <c r="DK135" s="228">
        <v>-1.03</v>
      </c>
      <c r="DL135" s="228">
        <v>-1.03</v>
      </c>
      <c r="DM135" s="228">
        <v>41.81</v>
      </c>
      <c r="DN135" s="228">
        <v>42.72</v>
      </c>
      <c r="DO135" s="228">
        <v>-0.91</v>
      </c>
      <c r="DP135" s="228">
        <v>-0.91</v>
      </c>
      <c r="DQ135" s="228">
        <v>0.67</v>
      </c>
      <c r="DR135" s="228">
        <v>0.67</v>
      </c>
      <c r="DS135" s="228">
        <v>0</v>
      </c>
      <c r="DT135" s="229">
        <v>0</v>
      </c>
      <c r="DU135" s="228">
        <v>400</v>
      </c>
      <c r="DV135" s="228">
        <v>350</v>
      </c>
      <c r="DW135" s="228">
        <v>0.61</v>
      </c>
      <c r="DX135" s="228">
        <v>0.57999999999999996</v>
      </c>
      <c r="DY135" s="228">
        <v>0.03</v>
      </c>
      <c r="DZ135" s="229">
        <v>5.1700000000000003E-2</v>
      </c>
      <c r="EA135" s="229">
        <v>5.4399999999999997E-2</v>
      </c>
      <c r="EB135" s="230">
        <v>3045000</v>
      </c>
      <c r="EC135" s="229">
        <v>5.4000000000000003E-3</v>
      </c>
      <c r="ED135" s="229">
        <v>5.4399999999999997E-2</v>
      </c>
      <c r="EE135" s="228">
        <v>2.0499999999999998</v>
      </c>
      <c r="EF135" s="229">
        <v>5.4999999999999997E-3</v>
      </c>
      <c r="EG135" s="230">
        <v>4604477</v>
      </c>
      <c r="EH135" s="230">
        <v>3708333</v>
      </c>
      <c r="EI135" s="229">
        <v>0.2417</v>
      </c>
      <c r="EJ135" s="229">
        <v>0.47539999999999999</v>
      </c>
      <c r="EK135" s="231">
        <v>1684.72</v>
      </c>
      <c r="EL135" s="228">
        <v>965.94</v>
      </c>
      <c r="EM135" s="228">
        <v>606.78</v>
      </c>
      <c r="EN135" s="228">
        <v>46.84</v>
      </c>
      <c r="EO135" s="231">
        <v>3257.44</v>
      </c>
      <c r="EP135" s="231">
        <v>2744.03</v>
      </c>
      <c r="EQ135" s="228">
        <v>513.41</v>
      </c>
      <c r="ER135" s="229">
        <v>0.18709999999999999</v>
      </c>
      <c r="ES135" s="231">
        <v>2222</v>
      </c>
      <c r="ET135" s="231">
        <v>1318.71</v>
      </c>
      <c r="EU135" s="231">
        <v>2152.5300000000002</v>
      </c>
      <c r="EV135" s="231">
        <v>134225816</v>
      </c>
      <c r="EW135" s="231">
        <v>5693.24</v>
      </c>
      <c r="EX135" s="231">
        <v>5767.04</v>
      </c>
      <c r="EY135" s="228">
        <v>-73.8</v>
      </c>
      <c r="EZ135" s="229">
        <v>-1.2800000000000001E-2</v>
      </c>
      <c r="FA135" s="229">
        <v>1.1202000000000001</v>
      </c>
      <c r="FB135" s="227" t="s">
        <v>567</v>
      </c>
      <c r="FC135">
        <f t="shared" si="2"/>
        <v>117</v>
      </c>
    </row>
    <row r="136" spans="1:159" ht="17.25" hidden="1" thickBot="1" x14ac:dyDescent="0.3">
      <c r="A136" s="226">
        <v>46064</v>
      </c>
      <c r="B136" s="227" t="s">
        <v>615</v>
      </c>
      <c r="C136" s="227" t="s">
        <v>264</v>
      </c>
      <c r="D136" s="228">
        <v>375</v>
      </c>
      <c r="E136" s="228">
        <v>13</v>
      </c>
      <c r="F136" s="231">
        <v>1172.4000000000001</v>
      </c>
      <c r="G136" s="231">
        <v>1194.3</v>
      </c>
      <c r="H136" s="228">
        <v>-21.9</v>
      </c>
      <c r="I136" s="229">
        <v>-1.83E-2</v>
      </c>
      <c r="J136" s="231">
        <v>1171.7</v>
      </c>
      <c r="K136" s="231">
        <v>1194.3</v>
      </c>
      <c r="L136" s="228">
        <v>-22.6</v>
      </c>
      <c r="M136" s="229">
        <v>-1.89E-2</v>
      </c>
      <c r="N136" s="231">
        <v>1172.4000000000001</v>
      </c>
      <c r="O136" s="231">
        <v>1194.3</v>
      </c>
      <c r="P136" s="228">
        <v>-21.9</v>
      </c>
      <c r="Q136" s="229">
        <v>-1.83E-2</v>
      </c>
      <c r="R136" s="231">
        <v>1173.3</v>
      </c>
      <c r="S136" s="231">
        <v>1194.0999999999999</v>
      </c>
      <c r="T136" s="228">
        <v>-20.8</v>
      </c>
      <c r="U136" s="229">
        <v>-1.7399999999999999E-2</v>
      </c>
      <c r="V136" s="231">
        <v>1177.4000000000001</v>
      </c>
      <c r="W136" s="231">
        <v>1195</v>
      </c>
      <c r="X136" s="228">
        <v>-17.600000000000001</v>
      </c>
      <c r="Y136" s="229">
        <v>-1.47E-2</v>
      </c>
      <c r="Z136" s="228">
        <v>0.7</v>
      </c>
      <c r="AA136" s="228">
        <v>0</v>
      </c>
      <c r="AB136" s="228">
        <v>0.7</v>
      </c>
      <c r="AC136" s="229">
        <v>5.9999999999999995E-4</v>
      </c>
      <c r="AD136" s="228">
        <v>0.7</v>
      </c>
      <c r="AE136" s="228">
        <v>0</v>
      </c>
      <c r="AF136" s="228">
        <v>0.7</v>
      </c>
      <c r="AG136" s="229">
        <v>5.9999999999999995E-4</v>
      </c>
      <c r="AH136" s="228">
        <v>1.6</v>
      </c>
      <c r="AI136" s="228">
        <v>-0.2</v>
      </c>
      <c r="AJ136" s="228">
        <v>1.8</v>
      </c>
      <c r="AK136" s="229">
        <v>1.4E-3</v>
      </c>
      <c r="AL136" s="228">
        <v>5.7</v>
      </c>
      <c r="AM136" s="228">
        <v>0.7</v>
      </c>
      <c r="AN136" s="228">
        <v>5</v>
      </c>
      <c r="AO136" s="229">
        <v>4.8999999999999998E-3</v>
      </c>
      <c r="AP136" s="231">
        <v>1184.29</v>
      </c>
      <c r="AQ136" s="231">
        <v>1186.28</v>
      </c>
      <c r="AR136" s="228">
        <v>0</v>
      </c>
      <c r="AS136" s="228">
        <v>334</v>
      </c>
      <c r="AT136" s="228">
        <v>238</v>
      </c>
      <c r="AU136" s="228">
        <v>95</v>
      </c>
      <c r="AV136" s="229">
        <v>0.40039999999999998</v>
      </c>
      <c r="AW136" s="228">
        <v>259</v>
      </c>
      <c r="AX136" s="228">
        <v>226</v>
      </c>
      <c r="AY136" s="228">
        <v>34</v>
      </c>
      <c r="AZ136" s="229">
        <v>0.1489</v>
      </c>
      <c r="BA136" s="228">
        <v>74</v>
      </c>
      <c r="BB136" s="228">
        <v>12</v>
      </c>
      <c r="BC136" s="228">
        <v>62</v>
      </c>
      <c r="BD136" s="229">
        <v>5.3333000000000004</v>
      </c>
      <c r="BE136" s="228">
        <v>1</v>
      </c>
      <c r="BF136" s="228">
        <v>1</v>
      </c>
      <c r="BG136" s="228">
        <v>0</v>
      </c>
      <c r="BH136" s="229">
        <v>-8.3299999999999999E-2</v>
      </c>
      <c r="BI136" s="228">
        <v>779</v>
      </c>
      <c r="BJ136" s="228">
        <v>657</v>
      </c>
      <c r="BK136" s="228">
        <v>122</v>
      </c>
      <c r="BL136" s="229">
        <v>0.18609999999999999</v>
      </c>
      <c r="BM136" s="228">
        <v>515</v>
      </c>
      <c r="BN136" s="228">
        <v>210</v>
      </c>
      <c r="BO136" s="228">
        <v>306</v>
      </c>
      <c r="BP136" s="229">
        <v>1.4558</v>
      </c>
      <c r="BQ136" s="230">
        <v>1628</v>
      </c>
      <c r="BR136" s="230">
        <v>1105</v>
      </c>
      <c r="BS136" s="228">
        <v>523</v>
      </c>
      <c r="BT136" s="229">
        <v>0.47349999999999998</v>
      </c>
      <c r="BU136" s="230">
        <v>2529617</v>
      </c>
      <c r="BV136" s="230">
        <v>2008378</v>
      </c>
      <c r="BW136" s="230">
        <v>521239</v>
      </c>
      <c r="BX136" s="229">
        <v>0.25950000000000001</v>
      </c>
      <c r="BY136" s="230">
        <v>1246</v>
      </c>
      <c r="BZ136" s="230">
        <v>1234</v>
      </c>
      <c r="CA136" s="228">
        <v>12</v>
      </c>
      <c r="CB136" s="229">
        <v>9.9000000000000008E-3</v>
      </c>
      <c r="CC136" s="230">
        <v>1200</v>
      </c>
      <c r="CD136" s="230">
        <v>1192</v>
      </c>
      <c r="CE136" s="228">
        <v>8</v>
      </c>
      <c r="CF136" s="229">
        <v>7.0000000000000001E-3</v>
      </c>
      <c r="CG136" s="228">
        <v>42</v>
      </c>
      <c r="CH136" s="228">
        <v>39</v>
      </c>
      <c r="CI136" s="228">
        <v>4</v>
      </c>
      <c r="CJ136" s="229">
        <v>9.0300000000000005E-2</v>
      </c>
      <c r="CK136" s="228">
        <v>3</v>
      </c>
      <c r="CL136" s="228">
        <v>3</v>
      </c>
      <c r="CM136" s="228">
        <v>0</v>
      </c>
      <c r="CN136" s="229">
        <v>0.1212</v>
      </c>
      <c r="CO136" s="228">
        <v>481</v>
      </c>
      <c r="CP136" s="228">
        <v>438</v>
      </c>
      <c r="CQ136" s="228">
        <v>43</v>
      </c>
      <c r="CR136" s="229">
        <v>9.8000000000000004E-2</v>
      </c>
      <c r="CS136" s="228">
        <v>307</v>
      </c>
      <c r="CT136" s="228">
        <v>282</v>
      </c>
      <c r="CU136" s="228">
        <v>25</v>
      </c>
      <c r="CV136" s="229">
        <v>8.6900000000000005E-2</v>
      </c>
      <c r="CW136" s="230">
        <v>2033</v>
      </c>
      <c r="CX136" s="230">
        <v>1954</v>
      </c>
      <c r="CY136" s="228">
        <v>80</v>
      </c>
      <c r="CZ136" s="229">
        <v>4.0800000000000003E-2</v>
      </c>
      <c r="DA136" s="228">
        <v>41.76</v>
      </c>
      <c r="DB136" s="228">
        <v>39.44</v>
      </c>
      <c r="DC136" s="228">
        <v>2.3199999999999998</v>
      </c>
      <c r="DD136" s="228">
        <v>2.3199999999999998</v>
      </c>
      <c r="DE136" s="228">
        <v>36.11</v>
      </c>
      <c r="DF136" s="228">
        <v>36.11</v>
      </c>
      <c r="DG136" s="228">
        <v>5.65</v>
      </c>
      <c r="DH136" s="228">
        <v>0</v>
      </c>
      <c r="DI136" s="228">
        <v>41.99</v>
      </c>
      <c r="DJ136" s="228">
        <v>39.06</v>
      </c>
      <c r="DK136" s="228">
        <v>2.93</v>
      </c>
      <c r="DL136" s="228">
        <v>2.93</v>
      </c>
      <c r="DM136" s="228">
        <v>41.43</v>
      </c>
      <c r="DN136" s="228">
        <v>40.64</v>
      </c>
      <c r="DO136" s="228">
        <v>0.79</v>
      </c>
      <c r="DP136" s="228">
        <v>0.79</v>
      </c>
      <c r="DQ136" s="228">
        <v>0.64</v>
      </c>
      <c r="DR136" s="228">
        <v>0.64</v>
      </c>
      <c r="DS136" s="228">
        <v>0</v>
      </c>
      <c r="DT136" s="229">
        <v>0</v>
      </c>
      <c r="DU136" s="231">
        <v>1200</v>
      </c>
      <c r="DV136" s="231">
        <v>1200</v>
      </c>
      <c r="DW136" s="228">
        <v>0.66</v>
      </c>
      <c r="DX136" s="228">
        <v>0.32</v>
      </c>
      <c r="DY136" s="228">
        <v>0.34</v>
      </c>
      <c r="DZ136" s="229">
        <v>1.0625</v>
      </c>
      <c r="EA136" s="229">
        <v>3.6700000000000003E-2</v>
      </c>
      <c r="EB136" s="230">
        <v>357000</v>
      </c>
      <c r="EC136" s="229">
        <v>8.0000000000000004E-4</v>
      </c>
      <c r="ED136" s="229">
        <v>3.6700000000000003E-2</v>
      </c>
      <c r="EE136" s="228">
        <v>1.99</v>
      </c>
      <c r="EF136" s="229">
        <v>1.6999999999999999E-3</v>
      </c>
      <c r="EG136" s="230">
        <v>1744300</v>
      </c>
      <c r="EH136" s="230">
        <v>1194139</v>
      </c>
      <c r="EI136" s="229">
        <v>0.4607</v>
      </c>
      <c r="EJ136" s="229">
        <v>0.68959999999999999</v>
      </c>
      <c r="EK136" s="228">
        <v>826.84</v>
      </c>
      <c r="EL136" s="228">
        <v>534.14</v>
      </c>
      <c r="EM136" s="228">
        <v>337.16</v>
      </c>
      <c r="EN136" s="228">
        <v>63.96</v>
      </c>
      <c r="EO136" s="231">
        <v>1698.14</v>
      </c>
      <c r="EP136" s="231">
        <v>1157.02</v>
      </c>
      <c r="EQ136" s="228">
        <v>541.12</v>
      </c>
      <c r="ER136" s="229">
        <v>0.4677</v>
      </c>
      <c r="ES136" s="228">
        <v>523.13</v>
      </c>
      <c r="ET136" s="228">
        <v>306.74</v>
      </c>
      <c r="EU136" s="231">
        <v>1246.1500000000001</v>
      </c>
      <c r="EV136" s="231">
        <v>45110207</v>
      </c>
      <c r="EW136" s="231">
        <v>2076.0100000000002</v>
      </c>
      <c r="EX136" s="231">
        <v>2018.16</v>
      </c>
      <c r="EY136" s="228">
        <v>57.85</v>
      </c>
      <c r="EZ136" s="229">
        <v>2.87E-2</v>
      </c>
      <c r="FA136" s="229">
        <v>0.38450000000000001</v>
      </c>
      <c r="FB136" s="227" t="s">
        <v>567</v>
      </c>
      <c r="FC136">
        <f t="shared" si="2"/>
        <v>46</v>
      </c>
    </row>
    <row r="137" spans="1:159" ht="17.25" hidden="1" thickBot="1" x14ac:dyDescent="0.3">
      <c r="A137" s="226">
        <v>46064</v>
      </c>
      <c r="B137" s="227" t="s">
        <v>206</v>
      </c>
      <c r="C137" s="227" t="s">
        <v>550</v>
      </c>
      <c r="D137" s="228">
        <v>6500</v>
      </c>
      <c r="E137" s="228">
        <v>13</v>
      </c>
      <c r="F137" s="228">
        <v>102</v>
      </c>
      <c r="G137" s="228">
        <v>101.35</v>
      </c>
      <c r="H137" s="228">
        <v>0.65</v>
      </c>
      <c r="I137" s="229">
        <v>6.4000000000000003E-3</v>
      </c>
      <c r="J137" s="228">
        <v>101.68</v>
      </c>
      <c r="K137" s="228">
        <v>101.44</v>
      </c>
      <c r="L137" s="228">
        <v>0.24</v>
      </c>
      <c r="M137" s="229">
        <v>2.3999999999999998E-3</v>
      </c>
      <c r="N137" s="228">
        <v>102</v>
      </c>
      <c r="O137" s="228">
        <v>101.35</v>
      </c>
      <c r="P137" s="228">
        <v>0.65</v>
      </c>
      <c r="Q137" s="229">
        <v>6.4000000000000003E-3</v>
      </c>
      <c r="R137" s="228">
        <v>102.4</v>
      </c>
      <c r="S137" s="228">
        <v>101.93</v>
      </c>
      <c r="T137" s="228">
        <v>0.47</v>
      </c>
      <c r="U137" s="229">
        <v>4.5999999999999999E-3</v>
      </c>
      <c r="V137" s="228">
        <v>102.5</v>
      </c>
      <c r="W137" s="228">
        <v>102.7</v>
      </c>
      <c r="X137" s="228">
        <v>-0.2</v>
      </c>
      <c r="Y137" s="229">
        <v>-1.9E-3</v>
      </c>
      <c r="Z137" s="228">
        <v>0.32</v>
      </c>
      <c r="AA137" s="228">
        <v>-0.09</v>
      </c>
      <c r="AB137" s="228">
        <v>0.41</v>
      </c>
      <c r="AC137" s="229">
        <v>3.0999999999999999E-3</v>
      </c>
      <c r="AD137" s="228">
        <v>0.32</v>
      </c>
      <c r="AE137" s="228">
        <v>-0.09</v>
      </c>
      <c r="AF137" s="228">
        <v>0.41</v>
      </c>
      <c r="AG137" s="229">
        <v>3.0999999999999999E-3</v>
      </c>
      <c r="AH137" s="228">
        <v>0.72</v>
      </c>
      <c r="AI137" s="228">
        <v>0.49</v>
      </c>
      <c r="AJ137" s="228">
        <v>0.23</v>
      </c>
      <c r="AK137" s="229">
        <v>7.1000000000000004E-3</v>
      </c>
      <c r="AL137" s="228">
        <v>0.82</v>
      </c>
      <c r="AM137" s="228">
        <v>1.26</v>
      </c>
      <c r="AN137" s="228">
        <v>-0.44</v>
      </c>
      <c r="AO137" s="229">
        <v>8.0999999999999996E-3</v>
      </c>
      <c r="AP137" s="228">
        <v>101.21</v>
      </c>
      <c r="AQ137" s="228">
        <v>101.23</v>
      </c>
      <c r="AR137" s="228">
        <v>0</v>
      </c>
      <c r="AS137" s="228">
        <v>164</v>
      </c>
      <c r="AT137" s="228">
        <v>109</v>
      </c>
      <c r="AU137" s="228">
        <v>56</v>
      </c>
      <c r="AV137" s="229">
        <v>0.51400000000000001</v>
      </c>
      <c r="AW137" s="228">
        <v>139</v>
      </c>
      <c r="AX137" s="228">
        <v>87</v>
      </c>
      <c r="AY137" s="228">
        <v>52</v>
      </c>
      <c r="AZ137" s="229">
        <v>0.59379999999999999</v>
      </c>
      <c r="BA137" s="228">
        <v>25</v>
      </c>
      <c r="BB137" s="228">
        <v>21</v>
      </c>
      <c r="BC137" s="228">
        <v>5</v>
      </c>
      <c r="BD137" s="229">
        <v>0.219</v>
      </c>
      <c r="BE137" s="228">
        <v>0</v>
      </c>
      <c r="BF137" s="228">
        <v>1</v>
      </c>
      <c r="BG137" s="228">
        <v>0</v>
      </c>
      <c r="BH137" s="229">
        <v>-0.54549999999999998</v>
      </c>
      <c r="BI137" s="228">
        <v>226</v>
      </c>
      <c r="BJ137" s="228">
        <v>190</v>
      </c>
      <c r="BK137" s="228">
        <v>35</v>
      </c>
      <c r="BL137" s="229">
        <v>0.1855</v>
      </c>
      <c r="BM137" s="228">
        <v>77</v>
      </c>
      <c r="BN137" s="228">
        <v>62</v>
      </c>
      <c r="BO137" s="228">
        <v>16</v>
      </c>
      <c r="BP137" s="229">
        <v>0.253</v>
      </c>
      <c r="BQ137" s="228">
        <v>467</v>
      </c>
      <c r="BR137" s="228">
        <v>361</v>
      </c>
      <c r="BS137" s="228">
        <v>107</v>
      </c>
      <c r="BT137" s="229">
        <v>0.29599999999999999</v>
      </c>
      <c r="BU137" s="230">
        <v>7365304</v>
      </c>
      <c r="BV137" s="230">
        <v>7034592</v>
      </c>
      <c r="BW137" s="230">
        <v>330712</v>
      </c>
      <c r="BX137" s="229">
        <v>4.7E-2</v>
      </c>
      <c r="BY137" s="228">
        <v>981</v>
      </c>
      <c r="BZ137" s="228">
        <v>950</v>
      </c>
      <c r="CA137" s="228">
        <v>31</v>
      </c>
      <c r="CB137" s="229">
        <v>3.2800000000000003E-2</v>
      </c>
      <c r="CC137" s="228">
        <v>899</v>
      </c>
      <c r="CD137" s="228">
        <v>885</v>
      </c>
      <c r="CE137" s="228">
        <v>14</v>
      </c>
      <c r="CF137" s="229">
        <v>1.6E-2</v>
      </c>
      <c r="CG137" s="228">
        <v>76</v>
      </c>
      <c r="CH137" s="228">
        <v>59</v>
      </c>
      <c r="CI137" s="228">
        <v>17</v>
      </c>
      <c r="CJ137" s="229">
        <v>0.28749999999999998</v>
      </c>
      <c r="CK137" s="228">
        <v>6</v>
      </c>
      <c r="CL137" s="228">
        <v>6</v>
      </c>
      <c r="CM137" s="228">
        <v>0</v>
      </c>
      <c r="CN137" s="229">
        <v>-1.18E-2</v>
      </c>
      <c r="CO137" s="228">
        <v>393</v>
      </c>
      <c r="CP137" s="228">
        <v>380</v>
      </c>
      <c r="CQ137" s="228">
        <v>12</v>
      </c>
      <c r="CR137" s="229">
        <v>3.2399999999999998E-2</v>
      </c>
      <c r="CS137" s="228">
        <v>229</v>
      </c>
      <c r="CT137" s="228">
        <v>225</v>
      </c>
      <c r="CU137" s="228">
        <v>5</v>
      </c>
      <c r="CV137" s="229">
        <v>2.0299999999999999E-2</v>
      </c>
      <c r="CW137" s="230">
        <v>1603</v>
      </c>
      <c r="CX137" s="230">
        <v>1555</v>
      </c>
      <c r="CY137" s="228">
        <v>48</v>
      </c>
      <c r="CZ137" s="229">
        <v>3.09E-2</v>
      </c>
      <c r="DA137" s="228">
        <v>48.68</v>
      </c>
      <c r="DB137" s="228">
        <v>47.45</v>
      </c>
      <c r="DC137" s="228">
        <v>1.23</v>
      </c>
      <c r="DD137" s="228">
        <v>1.23</v>
      </c>
      <c r="DE137" s="228">
        <v>50.53</v>
      </c>
      <c r="DF137" s="228">
        <v>50.65</v>
      </c>
      <c r="DG137" s="228">
        <v>-1.85</v>
      </c>
      <c r="DH137" s="228">
        <v>-0.12</v>
      </c>
      <c r="DI137" s="228">
        <v>48.95</v>
      </c>
      <c r="DJ137" s="228">
        <v>47.73</v>
      </c>
      <c r="DK137" s="228">
        <v>1.22</v>
      </c>
      <c r="DL137" s="228">
        <v>1.22</v>
      </c>
      <c r="DM137" s="228">
        <v>47.89</v>
      </c>
      <c r="DN137" s="228">
        <v>46.58</v>
      </c>
      <c r="DO137" s="228">
        <v>1.31</v>
      </c>
      <c r="DP137" s="228">
        <v>1.31</v>
      </c>
      <c r="DQ137" s="228">
        <v>0.57999999999999996</v>
      </c>
      <c r="DR137" s="228">
        <v>0.59</v>
      </c>
      <c r="DS137" s="228">
        <v>-0.01</v>
      </c>
      <c r="DT137" s="229">
        <v>-1.6899999999999998E-2</v>
      </c>
      <c r="DU137" s="228">
        <v>110</v>
      </c>
      <c r="DV137" s="228">
        <v>100</v>
      </c>
      <c r="DW137" s="228">
        <v>0.34</v>
      </c>
      <c r="DX137" s="228">
        <v>0.32</v>
      </c>
      <c r="DY137" s="228">
        <v>0.02</v>
      </c>
      <c r="DZ137" s="229">
        <v>6.25E-2</v>
      </c>
      <c r="EA137" s="229">
        <v>8.3500000000000005E-2</v>
      </c>
      <c r="EB137" s="230">
        <v>6363500</v>
      </c>
      <c r="EC137" s="229">
        <v>3.8999999999999998E-3</v>
      </c>
      <c r="ED137" s="229">
        <v>8.3500000000000005E-2</v>
      </c>
      <c r="EE137" s="228">
        <v>0.02</v>
      </c>
      <c r="EF137" s="229">
        <v>2.0000000000000001E-4</v>
      </c>
      <c r="EG137" s="230">
        <v>2141440</v>
      </c>
      <c r="EH137" s="230">
        <v>2485762</v>
      </c>
      <c r="EI137" s="229">
        <v>-0.13850000000000001</v>
      </c>
      <c r="EJ137" s="229">
        <v>0.29070000000000001</v>
      </c>
      <c r="EK137" s="228">
        <v>240.41</v>
      </c>
      <c r="EL137" s="228">
        <v>76.97</v>
      </c>
      <c r="EM137" s="228">
        <v>163.16</v>
      </c>
      <c r="EN137" s="228">
        <v>30.58</v>
      </c>
      <c r="EO137" s="228">
        <v>480.55</v>
      </c>
      <c r="EP137" s="228">
        <v>372.97</v>
      </c>
      <c r="EQ137" s="228">
        <v>107.58</v>
      </c>
      <c r="ER137" s="229">
        <v>0.28839999999999999</v>
      </c>
      <c r="ES137" s="228">
        <v>417.34</v>
      </c>
      <c r="ET137" s="228">
        <v>223.22</v>
      </c>
      <c r="EU137" s="228">
        <v>981.1</v>
      </c>
      <c r="EV137" s="231">
        <v>154894704</v>
      </c>
      <c r="EW137" s="231">
        <v>1621.66</v>
      </c>
      <c r="EX137" s="231">
        <v>1567.53</v>
      </c>
      <c r="EY137" s="228">
        <v>54.13</v>
      </c>
      <c r="EZ137" s="229">
        <v>3.4500000000000003E-2</v>
      </c>
      <c r="FA137" s="229">
        <v>1.0145999999999999</v>
      </c>
      <c r="FB137" s="227" t="s">
        <v>555</v>
      </c>
      <c r="FC137">
        <f t="shared" si="2"/>
        <v>82</v>
      </c>
    </row>
    <row r="138" spans="1:159" ht="17.25" hidden="1" thickBot="1" x14ac:dyDescent="0.3">
      <c r="A138" s="226">
        <v>46064</v>
      </c>
      <c r="B138" s="227" t="s">
        <v>168</v>
      </c>
      <c r="C138" s="227" t="s">
        <v>265</v>
      </c>
      <c r="D138" s="228">
        <v>500</v>
      </c>
      <c r="E138" s="228">
        <v>13</v>
      </c>
      <c r="F138" s="231">
        <v>1305.9000000000001</v>
      </c>
      <c r="G138" s="231">
        <v>1309.4000000000001</v>
      </c>
      <c r="H138" s="228">
        <v>-3.5</v>
      </c>
      <c r="I138" s="229">
        <v>-2.7000000000000001E-3</v>
      </c>
      <c r="J138" s="231">
        <v>1305.3</v>
      </c>
      <c r="K138" s="231">
        <v>1308.5999999999999</v>
      </c>
      <c r="L138" s="228">
        <v>-3.3</v>
      </c>
      <c r="M138" s="229">
        <v>-2.5000000000000001E-3</v>
      </c>
      <c r="N138" s="231">
        <v>1305.9000000000001</v>
      </c>
      <c r="O138" s="231">
        <v>1309.4000000000001</v>
      </c>
      <c r="P138" s="228">
        <v>-3.5</v>
      </c>
      <c r="Q138" s="229">
        <v>-2.7000000000000001E-3</v>
      </c>
      <c r="R138" s="231">
        <v>1313.6</v>
      </c>
      <c r="S138" s="231">
        <v>1317.4</v>
      </c>
      <c r="T138" s="228">
        <v>-3.8</v>
      </c>
      <c r="U138" s="229">
        <v>-2.8999999999999998E-3</v>
      </c>
      <c r="V138" s="231">
        <v>1322.4</v>
      </c>
      <c r="W138" s="231">
        <v>1325.3</v>
      </c>
      <c r="X138" s="228">
        <v>-2.9</v>
      </c>
      <c r="Y138" s="229">
        <v>-2.2000000000000001E-3</v>
      </c>
      <c r="Z138" s="228">
        <v>0.6</v>
      </c>
      <c r="AA138" s="228">
        <v>0.8</v>
      </c>
      <c r="AB138" s="228">
        <v>-0.2</v>
      </c>
      <c r="AC138" s="229">
        <v>5.0000000000000001E-4</v>
      </c>
      <c r="AD138" s="228">
        <v>0.6</v>
      </c>
      <c r="AE138" s="228">
        <v>0.8</v>
      </c>
      <c r="AF138" s="228">
        <v>-0.2</v>
      </c>
      <c r="AG138" s="229">
        <v>5.0000000000000001E-4</v>
      </c>
      <c r="AH138" s="228">
        <v>8.3000000000000007</v>
      </c>
      <c r="AI138" s="228">
        <v>8.8000000000000007</v>
      </c>
      <c r="AJ138" s="228">
        <v>-0.5</v>
      </c>
      <c r="AK138" s="229">
        <v>6.4000000000000003E-3</v>
      </c>
      <c r="AL138" s="228">
        <v>17.100000000000001</v>
      </c>
      <c r="AM138" s="228">
        <v>16.7</v>
      </c>
      <c r="AN138" s="228">
        <v>0.4</v>
      </c>
      <c r="AO138" s="229">
        <v>1.3100000000000001E-2</v>
      </c>
      <c r="AP138" s="231">
        <v>1310.47</v>
      </c>
      <c r="AQ138" s="231">
        <v>1320.18</v>
      </c>
      <c r="AR138" s="228">
        <v>0</v>
      </c>
      <c r="AS138" s="228">
        <v>214</v>
      </c>
      <c r="AT138" s="228">
        <v>141</v>
      </c>
      <c r="AU138" s="228">
        <v>73</v>
      </c>
      <c r="AV138" s="229">
        <v>0.51829999999999998</v>
      </c>
      <c r="AW138" s="228">
        <v>203</v>
      </c>
      <c r="AX138" s="228">
        <v>135</v>
      </c>
      <c r="AY138" s="228">
        <v>68</v>
      </c>
      <c r="AZ138" s="229">
        <v>0.50190000000000001</v>
      </c>
      <c r="BA138" s="228">
        <v>11</v>
      </c>
      <c r="BB138" s="228">
        <v>6</v>
      </c>
      <c r="BC138" s="228">
        <v>5</v>
      </c>
      <c r="BD138" s="229">
        <v>0.86519999999999997</v>
      </c>
      <c r="BE138" s="228">
        <v>1</v>
      </c>
      <c r="BF138" s="228">
        <v>0</v>
      </c>
      <c r="BG138" s="228">
        <v>0</v>
      </c>
      <c r="BH138" s="229">
        <v>1.25</v>
      </c>
      <c r="BI138" s="228">
        <v>784</v>
      </c>
      <c r="BJ138" s="228">
        <v>557</v>
      </c>
      <c r="BK138" s="228">
        <v>228</v>
      </c>
      <c r="BL138" s="229">
        <v>0.40870000000000001</v>
      </c>
      <c r="BM138" s="228">
        <v>286</v>
      </c>
      <c r="BN138" s="228">
        <v>139</v>
      </c>
      <c r="BO138" s="228">
        <v>147</v>
      </c>
      <c r="BP138" s="229">
        <v>1.0525</v>
      </c>
      <c r="BQ138" s="230">
        <v>1284</v>
      </c>
      <c r="BR138" s="228">
        <v>837</v>
      </c>
      <c r="BS138" s="228">
        <v>447</v>
      </c>
      <c r="BT138" s="229">
        <v>0.53439999999999999</v>
      </c>
      <c r="BU138" s="230">
        <v>921517</v>
      </c>
      <c r="BV138" s="230">
        <v>947211</v>
      </c>
      <c r="BW138" s="230">
        <v>-25694</v>
      </c>
      <c r="BX138" s="229">
        <v>-2.7099999999999999E-2</v>
      </c>
      <c r="BY138" s="230">
        <v>2153</v>
      </c>
      <c r="BZ138" s="230">
        <v>2177</v>
      </c>
      <c r="CA138" s="228">
        <v>-23</v>
      </c>
      <c r="CB138" s="229">
        <v>-1.06E-2</v>
      </c>
      <c r="CC138" s="230">
        <v>2089</v>
      </c>
      <c r="CD138" s="230">
        <v>2114</v>
      </c>
      <c r="CE138" s="228">
        <v>-25</v>
      </c>
      <c r="CF138" s="229">
        <v>-1.1900000000000001E-2</v>
      </c>
      <c r="CG138" s="228">
        <v>59</v>
      </c>
      <c r="CH138" s="228">
        <v>57</v>
      </c>
      <c r="CI138" s="228">
        <v>2</v>
      </c>
      <c r="CJ138" s="229">
        <v>2.9899999999999999E-2</v>
      </c>
      <c r="CK138" s="228">
        <v>6</v>
      </c>
      <c r="CL138" s="228">
        <v>6</v>
      </c>
      <c r="CM138" s="228">
        <v>0</v>
      </c>
      <c r="CN138" s="229">
        <v>7.0599999999999996E-2</v>
      </c>
      <c r="CO138" s="228">
        <v>733</v>
      </c>
      <c r="CP138" s="228">
        <v>731</v>
      </c>
      <c r="CQ138" s="228">
        <v>2</v>
      </c>
      <c r="CR138" s="229">
        <v>2.3E-3</v>
      </c>
      <c r="CS138" s="228">
        <v>348</v>
      </c>
      <c r="CT138" s="228">
        <v>342</v>
      </c>
      <c r="CU138" s="228">
        <v>6</v>
      </c>
      <c r="CV138" s="229">
        <v>1.83E-2</v>
      </c>
      <c r="CW138" s="230">
        <v>3234</v>
      </c>
      <c r="CX138" s="230">
        <v>3249</v>
      </c>
      <c r="CY138" s="228">
        <v>-15</v>
      </c>
      <c r="CZ138" s="229">
        <v>-4.7000000000000002E-3</v>
      </c>
      <c r="DA138" s="228">
        <v>21.38</v>
      </c>
      <c r="DB138" s="228">
        <v>21.63</v>
      </c>
      <c r="DC138" s="228">
        <v>-0.25</v>
      </c>
      <c r="DD138" s="228">
        <v>-0.25</v>
      </c>
      <c r="DE138" s="228">
        <v>23.2</v>
      </c>
      <c r="DF138" s="228">
        <v>23.25</v>
      </c>
      <c r="DG138" s="228">
        <v>-1.82</v>
      </c>
      <c r="DH138" s="228">
        <v>-0.05</v>
      </c>
      <c r="DI138" s="228">
        <v>21.27</v>
      </c>
      <c r="DJ138" s="228">
        <v>21.44</v>
      </c>
      <c r="DK138" s="228">
        <v>-0.17</v>
      </c>
      <c r="DL138" s="228">
        <v>-0.17</v>
      </c>
      <c r="DM138" s="228">
        <v>21.68</v>
      </c>
      <c r="DN138" s="228">
        <v>22.39</v>
      </c>
      <c r="DO138" s="228">
        <v>-0.71</v>
      </c>
      <c r="DP138" s="228">
        <v>-0.71</v>
      </c>
      <c r="DQ138" s="228">
        <v>0.47</v>
      </c>
      <c r="DR138" s="228">
        <v>0.47</v>
      </c>
      <c r="DS138" s="228">
        <v>0</v>
      </c>
      <c r="DT138" s="229">
        <v>0</v>
      </c>
      <c r="DU138" s="231">
        <v>1360</v>
      </c>
      <c r="DV138" s="231">
        <v>1300</v>
      </c>
      <c r="DW138" s="228">
        <v>0.36</v>
      </c>
      <c r="DX138" s="228">
        <v>0.25</v>
      </c>
      <c r="DY138" s="228">
        <v>0.11</v>
      </c>
      <c r="DZ138" s="229">
        <v>0.44</v>
      </c>
      <c r="EA138" s="229">
        <v>2.9899999999999999E-2</v>
      </c>
      <c r="EB138" s="230">
        <v>477500</v>
      </c>
      <c r="EC138" s="229">
        <v>5.8999999999999999E-3</v>
      </c>
      <c r="ED138" s="229">
        <v>2.9899999999999999E-2</v>
      </c>
      <c r="EE138" s="228">
        <v>9.7100000000000009</v>
      </c>
      <c r="EF138" s="229">
        <v>7.4000000000000003E-3</v>
      </c>
      <c r="EG138" s="230">
        <v>544046</v>
      </c>
      <c r="EH138" s="230">
        <v>585065</v>
      </c>
      <c r="EI138" s="229">
        <v>-7.0099999999999996E-2</v>
      </c>
      <c r="EJ138" s="229">
        <v>0.59040000000000004</v>
      </c>
      <c r="EK138" s="228">
        <v>811.68</v>
      </c>
      <c r="EL138" s="228">
        <v>280.95999999999998</v>
      </c>
      <c r="EM138" s="228">
        <v>214.87</v>
      </c>
      <c r="EN138" s="228">
        <v>27.8</v>
      </c>
      <c r="EO138" s="231">
        <v>1307.52</v>
      </c>
      <c r="EP138" s="228">
        <v>850.51</v>
      </c>
      <c r="EQ138" s="228">
        <v>457.01</v>
      </c>
      <c r="ER138" s="229">
        <v>0.5373</v>
      </c>
      <c r="ES138" s="228">
        <v>763.74</v>
      </c>
      <c r="ET138" s="228">
        <v>330.09</v>
      </c>
      <c r="EU138" s="231">
        <v>2153.85</v>
      </c>
      <c r="EV138" s="231">
        <v>71801274</v>
      </c>
      <c r="EW138" s="231">
        <v>3247.68</v>
      </c>
      <c r="EX138" s="231">
        <v>3268.07</v>
      </c>
      <c r="EY138" s="228">
        <v>-20.39</v>
      </c>
      <c r="EZ138" s="229">
        <v>-6.1999999999999998E-3</v>
      </c>
      <c r="FA138" s="229">
        <v>0.34489999999999998</v>
      </c>
      <c r="FB138" s="227" t="s">
        <v>568</v>
      </c>
      <c r="FC138">
        <f t="shared" si="2"/>
        <v>64</v>
      </c>
    </row>
    <row r="139" spans="1:159" ht="17.25" hidden="1" thickBot="1" x14ac:dyDescent="0.3">
      <c r="A139" s="226">
        <v>46064</v>
      </c>
      <c r="B139" s="227" t="s">
        <v>161</v>
      </c>
      <c r="C139" s="227" t="s">
        <v>585</v>
      </c>
      <c r="D139" s="228">
        <v>6400</v>
      </c>
      <c r="E139" s="228">
        <v>13</v>
      </c>
      <c r="F139" s="228">
        <v>77.84</v>
      </c>
      <c r="G139" s="228">
        <v>77.2</v>
      </c>
      <c r="H139" s="228">
        <v>0.64</v>
      </c>
      <c r="I139" s="229">
        <v>8.3000000000000001E-3</v>
      </c>
      <c r="J139" s="228">
        <v>77.58</v>
      </c>
      <c r="K139" s="228">
        <v>76.95</v>
      </c>
      <c r="L139" s="228">
        <v>0.63</v>
      </c>
      <c r="M139" s="229">
        <v>8.2000000000000007E-3</v>
      </c>
      <c r="N139" s="228">
        <v>77.84</v>
      </c>
      <c r="O139" s="228">
        <v>77.2</v>
      </c>
      <c r="P139" s="228">
        <v>0.64</v>
      </c>
      <c r="Q139" s="229">
        <v>8.3000000000000001E-3</v>
      </c>
      <c r="R139" s="228">
        <v>78.33</v>
      </c>
      <c r="S139" s="228">
        <v>77.680000000000007</v>
      </c>
      <c r="T139" s="228">
        <v>0.65</v>
      </c>
      <c r="U139" s="229">
        <v>8.3999999999999995E-3</v>
      </c>
      <c r="V139" s="228">
        <v>78.77</v>
      </c>
      <c r="W139" s="228">
        <v>78.180000000000007</v>
      </c>
      <c r="X139" s="228">
        <v>0.59</v>
      </c>
      <c r="Y139" s="229">
        <v>7.4999999999999997E-3</v>
      </c>
      <c r="Z139" s="228">
        <v>0.26</v>
      </c>
      <c r="AA139" s="228">
        <v>0.25</v>
      </c>
      <c r="AB139" s="228">
        <v>0.01</v>
      </c>
      <c r="AC139" s="229">
        <v>3.3999999999999998E-3</v>
      </c>
      <c r="AD139" s="228">
        <v>0.26</v>
      </c>
      <c r="AE139" s="228">
        <v>0.25</v>
      </c>
      <c r="AF139" s="228">
        <v>0.01</v>
      </c>
      <c r="AG139" s="229">
        <v>3.3999999999999998E-3</v>
      </c>
      <c r="AH139" s="228">
        <v>0.75</v>
      </c>
      <c r="AI139" s="228">
        <v>0.73</v>
      </c>
      <c r="AJ139" s="228">
        <v>0.02</v>
      </c>
      <c r="AK139" s="229">
        <v>9.7000000000000003E-3</v>
      </c>
      <c r="AL139" s="228">
        <v>1.19</v>
      </c>
      <c r="AM139" s="228">
        <v>1.23</v>
      </c>
      <c r="AN139" s="228">
        <v>-0.04</v>
      </c>
      <c r="AO139" s="229">
        <v>1.5299999999999999E-2</v>
      </c>
      <c r="AP139" s="228">
        <v>77.319999999999993</v>
      </c>
      <c r="AQ139" s="228">
        <v>77.790000000000006</v>
      </c>
      <c r="AR139" s="228">
        <v>0</v>
      </c>
      <c r="AS139" s="228">
        <v>98</v>
      </c>
      <c r="AT139" s="228">
        <v>91</v>
      </c>
      <c r="AU139" s="228">
        <v>7</v>
      </c>
      <c r="AV139" s="229">
        <v>7.6899999999999996E-2</v>
      </c>
      <c r="AW139" s="228">
        <v>91</v>
      </c>
      <c r="AX139" s="228">
        <v>77</v>
      </c>
      <c r="AY139" s="228">
        <v>14</v>
      </c>
      <c r="AZ139" s="229">
        <v>0.18609999999999999</v>
      </c>
      <c r="BA139" s="228">
        <v>5</v>
      </c>
      <c r="BB139" s="228">
        <v>11</v>
      </c>
      <c r="BC139" s="228">
        <v>-6</v>
      </c>
      <c r="BD139" s="229">
        <v>-0.57020000000000004</v>
      </c>
      <c r="BE139" s="228">
        <v>2</v>
      </c>
      <c r="BF139" s="228">
        <v>3</v>
      </c>
      <c r="BG139" s="228">
        <v>-1</v>
      </c>
      <c r="BH139" s="229">
        <v>-0.28570000000000001</v>
      </c>
      <c r="BI139" s="228">
        <v>252</v>
      </c>
      <c r="BJ139" s="228">
        <v>226</v>
      </c>
      <c r="BK139" s="228">
        <v>26</v>
      </c>
      <c r="BL139" s="229">
        <v>0.1142</v>
      </c>
      <c r="BM139" s="228">
        <v>124</v>
      </c>
      <c r="BN139" s="228">
        <v>110</v>
      </c>
      <c r="BO139" s="228">
        <v>14</v>
      </c>
      <c r="BP139" s="229">
        <v>0.1313</v>
      </c>
      <c r="BQ139" s="228">
        <v>474</v>
      </c>
      <c r="BR139" s="228">
        <v>426</v>
      </c>
      <c r="BS139" s="228">
        <v>47</v>
      </c>
      <c r="BT139" s="229">
        <v>0.11070000000000001</v>
      </c>
      <c r="BU139" s="230">
        <v>14712194</v>
      </c>
      <c r="BV139" s="230">
        <v>25833971</v>
      </c>
      <c r="BW139" s="230">
        <v>-11121777</v>
      </c>
      <c r="BX139" s="229">
        <v>-0.43049999999999999</v>
      </c>
      <c r="BY139" s="228">
        <v>722</v>
      </c>
      <c r="BZ139" s="228">
        <v>735</v>
      </c>
      <c r="CA139" s="228">
        <v>-12</v>
      </c>
      <c r="CB139" s="229">
        <v>-1.66E-2</v>
      </c>
      <c r="CC139" s="228">
        <v>692</v>
      </c>
      <c r="CD139" s="228">
        <v>706</v>
      </c>
      <c r="CE139" s="228">
        <v>-14</v>
      </c>
      <c r="CF139" s="229">
        <v>-1.9599999999999999E-2</v>
      </c>
      <c r="CG139" s="228">
        <v>24</v>
      </c>
      <c r="CH139" s="228">
        <v>23</v>
      </c>
      <c r="CI139" s="228">
        <v>1</v>
      </c>
      <c r="CJ139" s="229">
        <v>4.5699999999999998E-2</v>
      </c>
      <c r="CK139" s="228">
        <v>6</v>
      </c>
      <c r="CL139" s="228">
        <v>6</v>
      </c>
      <c r="CM139" s="228">
        <v>1</v>
      </c>
      <c r="CN139" s="229">
        <v>9.4E-2</v>
      </c>
      <c r="CO139" s="228">
        <v>411</v>
      </c>
      <c r="CP139" s="228">
        <v>394</v>
      </c>
      <c r="CQ139" s="228">
        <v>17</v>
      </c>
      <c r="CR139" s="229">
        <v>4.2700000000000002E-2</v>
      </c>
      <c r="CS139" s="228">
        <v>194</v>
      </c>
      <c r="CT139" s="228">
        <v>216</v>
      </c>
      <c r="CU139" s="228">
        <v>-21</v>
      </c>
      <c r="CV139" s="229">
        <v>-9.8599999999999993E-2</v>
      </c>
      <c r="CW139" s="230">
        <v>1328</v>
      </c>
      <c r="CX139" s="230">
        <v>1344</v>
      </c>
      <c r="CY139" s="228">
        <v>-17</v>
      </c>
      <c r="CZ139" s="229">
        <v>-1.24E-2</v>
      </c>
      <c r="DA139" s="228">
        <v>30.74</v>
      </c>
      <c r="DB139" s="228">
        <v>31.88</v>
      </c>
      <c r="DC139" s="228">
        <v>-1.1399999999999999</v>
      </c>
      <c r="DD139" s="228">
        <v>-1.1399999999999999</v>
      </c>
      <c r="DE139" s="228">
        <v>35.880000000000003</v>
      </c>
      <c r="DF139" s="228">
        <v>35.950000000000003</v>
      </c>
      <c r="DG139" s="228">
        <v>-5.14</v>
      </c>
      <c r="DH139" s="228">
        <v>-7.0000000000000007E-2</v>
      </c>
      <c r="DI139" s="228">
        <v>31.37</v>
      </c>
      <c r="DJ139" s="228">
        <v>32.86</v>
      </c>
      <c r="DK139" s="228">
        <v>-1.49</v>
      </c>
      <c r="DL139" s="228">
        <v>-1.49</v>
      </c>
      <c r="DM139" s="228">
        <v>29.46</v>
      </c>
      <c r="DN139" s="228">
        <v>29.88</v>
      </c>
      <c r="DO139" s="228">
        <v>-0.42</v>
      </c>
      <c r="DP139" s="228">
        <v>-0.42</v>
      </c>
      <c r="DQ139" s="228">
        <v>0.47</v>
      </c>
      <c r="DR139" s="228">
        <v>0.55000000000000004</v>
      </c>
      <c r="DS139" s="228">
        <v>-0.08</v>
      </c>
      <c r="DT139" s="229">
        <v>-0.14549999999999999</v>
      </c>
      <c r="DU139" s="228">
        <v>80</v>
      </c>
      <c r="DV139" s="228">
        <v>73</v>
      </c>
      <c r="DW139" s="228">
        <v>0.49</v>
      </c>
      <c r="DX139" s="228">
        <v>0.49</v>
      </c>
      <c r="DY139" s="228">
        <v>0</v>
      </c>
      <c r="DZ139" s="229">
        <v>0</v>
      </c>
      <c r="EA139" s="229">
        <v>4.2000000000000003E-2</v>
      </c>
      <c r="EB139" s="230">
        <v>3692800</v>
      </c>
      <c r="EC139" s="229">
        <v>6.3E-3</v>
      </c>
      <c r="ED139" s="229">
        <v>4.2000000000000003E-2</v>
      </c>
      <c r="EE139" s="228">
        <v>0.47</v>
      </c>
      <c r="EF139" s="229">
        <v>6.1000000000000004E-3</v>
      </c>
      <c r="EG139" s="230">
        <v>7755478</v>
      </c>
      <c r="EH139" s="230">
        <v>14940209</v>
      </c>
      <c r="EI139" s="229">
        <v>-0.48089999999999999</v>
      </c>
      <c r="EJ139" s="229">
        <v>0.52710000000000001</v>
      </c>
      <c r="EK139" s="228">
        <v>264.93</v>
      </c>
      <c r="EL139" s="228">
        <v>121.44</v>
      </c>
      <c r="EM139" s="228">
        <v>97.1</v>
      </c>
      <c r="EN139" s="228">
        <v>31</v>
      </c>
      <c r="EO139" s="228">
        <v>483.47</v>
      </c>
      <c r="EP139" s="228">
        <v>437.51</v>
      </c>
      <c r="EQ139" s="228">
        <v>45.95</v>
      </c>
      <c r="ER139" s="229">
        <v>0.105</v>
      </c>
      <c r="ES139" s="228">
        <v>438.38</v>
      </c>
      <c r="ET139" s="228">
        <v>187.07</v>
      </c>
      <c r="EU139" s="228">
        <v>722.53</v>
      </c>
      <c r="EV139" s="231">
        <v>491233252</v>
      </c>
      <c r="EW139" s="231">
        <v>1347.97</v>
      </c>
      <c r="EX139" s="231">
        <v>1356.9</v>
      </c>
      <c r="EY139" s="228">
        <v>-8.93</v>
      </c>
      <c r="EZ139" s="229">
        <v>-6.6E-3</v>
      </c>
      <c r="FA139" s="229">
        <v>0.3473</v>
      </c>
      <c r="FB139" s="227" t="s">
        <v>556</v>
      </c>
      <c r="FC139">
        <f t="shared" si="2"/>
        <v>30</v>
      </c>
    </row>
    <row r="140" spans="1:159" ht="17.25" thickBot="1" x14ac:dyDescent="0.3">
      <c r="A140" s="226">
        <v>46064</v>
      </c>
      <c r="B140" s="227" t="s">
        <v>181</v>
      </c>
      <c r="C140" s="227" t="s">
        <v>266</v>
      </c>
      <c r="D140" s="228">
        <v>65</v>
      </c>
      <c r="E140" s="228">
        <v>13</v>
      </c>
      <c r="F140" s="231">
        <v>25994.2</v>
      </c>
      <c r="G140" s="231">
        <v>25985.599999999999</v>
      </c>
      <c r="H140" s="228">
        <v>8.6</v>
      </c>
      <c r="I140" s="229">
        <v>2.9999999999999997E-4</v>
      </c>
      <c r="J140" s="231">
        <v>25953.85</v>
      </c>
      <c r="K140" s="231">
        <v>25935.15</v>
      </c>
      <c r="L140" s="228">
        <v>18.7</v>
      </c>
      <c r="M140" s="229">
        <v>6.9999999999999999E-4</v>
      </c>
      <c r="N140" s="231">
        <v>25994.2</v>
      </c>
      <c r="O140" s="231">
        <v>25985.599999999999</v>
      </c>
      <c r="P140" s="228">
        <v>8.6</v>
      </c>
      <c r="Q140" s="229">
        <v>2.9999999999999997E-4</v>
      </c>
      <c r="R140" s="231">
        <v>26151</v>
      </c>
      <c r="S140" s="231">
        <v>26138.7</v>
      </c>
      <c r="T140" s="228">
        <v>12.3</v>
      </c>
      <c r="U140" s="229">
        <v>5.0000000000000001E-4</v>
      </c>
      <c r="V140" s="231">
        <v>26312.400000000001</v>
      </c>
      <c r="W140" s="231">
        <v>26295.3</v>
      </c>
      <c r="X140" s="228">
        <v>17.100000000000001</v>
      </c>
      <c r="Y140" s="229">
        <v>6.9999999999999999E-4</v>
      </c>
      <c r="Z140" s="228">
        <v>40.35</v>
      </c>
      <c r="AA140" s="228">
        <v>50.45</v>
      </c>
      <c r="AB140" s="228">
        <v>-10.1</v>
      </c>
      <c r="AC140" s="229">
        <v>1.6000000000000001E-3</v>
      </c>
      <c r="AD140" s="228">
        <v>40.35</v>
      </c>
      <c r="AE140" s="228">
        <v>50.45</v>
      </c>
      <c r="AF140" s="228">
        <v>-10.1</v>
      </c>
      <c r="AG140" s="229">
        <v>1.6000000000000001E-3</v>
      </c>
      <c r="AH140" s="228">
        <v>197.15</v>
      </c>
      <c r="AI140" s="228">
        <v>203.55</v>
      </c>
      <c r="AJ140" s="228">
        <v>-6.4</v>
      </c>
      <c r="AK140" s="229">
        <v>7.6E-3</v>
      </c>
      <c r="AL140" s="228">
        <v>358.55</v>
      </c>
      <c r="AM140" s="228">
        <v>360.15</v>
      </c>
      <c r="AN140" s="228">
        <v>-1.6</v>
      </c>
      <c r="AO140" s="229">
        <v>1.38E-2</v>
      </c>
      <c r="AP140" s="231">
        <v>26011.040000000001</v>
      </c>
      <c r="AQ140" s="231">
        <v>26167.48</v>
      </c>
      <c r="AR140" s="228">
        <v>0</v>
      </c>
      <c r="AS140" s="230">
        <v>9877</v>
      </c>
      <c r="AT140" s="230">
        <v>11255</v>
      </c>
      <c r="AU140" s="230">
        <v>-1379</v>
      </c>
      <c r="AV140" s="229">
        <v>-0.1225</v>
      </c>
      <c r="AW140" s="230">
        <v>8972</v>
      </c>
      <c r="AX140" s="230">
        <v>9989</v>
      </c>
      <c r="AY140" s="230">
        <v>-1018</v>
      </c>
      <c r="AZ140" s="229">
        <v>-0.1019</v>
      </c>
      <c r="BA140" s="228">
        <v>678</v>
      </c>
      <c r="BB140" s="228">
        <v>860</v>
      </c>
      <c r="BC140" s="228">
        <v>-182</v>
      </c>
      <c r="BD140" s="229">
        <v>-0.21129999999999999</v>
      </c>
      <c r="BE140" s="228">
        <v>227</v>
      </c>
      <c r="BF140" s="228">
        <v>406</v>
      </c>
      <c r="BG140" s="228">
        <v>-179</v>
      </c>
      <c r="BH140" s="229">
        <v>-0.44090000000000001</v>
      </c>
      <c r="BI140" s="230">
        <v>4154468</v>
      </c>
      <c r="BJ140" s="230">
        <v>28829200</v>
      </c>
      <c r="BK140" s="230">
        <v>-24674731</v>
      </c>
      <c r="BL140" s="229">
        <v>-0.85589999999999999</v>
      </c>
      <c r="BM140" s="230">
        <v>4460659</v>
      </c>
      <c r="BN140" s="230">
        <v>30212045</v>
      </c>
      <c r="BO140" s="230">
        <v>-25751386</v>
      </c>
      <c r="BP140" s="229">
        <v>-0.85240000000000005</v>
      </c>
      <c r="BQ140" s="230">
        <v>8625004</v>
      </c>
      <c r="BR140" s="230">
        <v>59052500</v>
      </c>
      <c r="BS140" s="230">
        <v>-50427496</v>
      </c>
      <c r="BT140" s="229">
        <v>-0.85389999999999999</v>
      </c>
      <c r="BU140" s="228">
        <v>0</v>
      </c>
      <c r="BV140" s="228">
        <v>0</v>
      </c>
      <c r="BW140" s="228">
        <v>0</v>
      </c>
      <c r="BX140" s="229">
        <v>0</v>
      </c>
      <c r="BY140" s="230">
        <v>43447</v>
      </c>
      <c r="BZ140" s="230">
        <v>43350</v>
      </c>
      <c r="CA140" s="228">
        <v>97</v>
      </c>
      <c r="CB140" s="229">
        <v>2.2000000000000001E-3</v>
      </c>
      <c r="CC140" s="230">
        <v>39004</v>
      </c>
      <c r="CD140" s="230">
        <v>38988</v>
      </c>
      <c r="CE140" s="228">
        <v>17</v>
      </c>
      <c r="CF140" s="229">
        <v>4.0000000000000002E-4</v>
      </c>
      <c r="CG140" s="230">
        <v>3386</v>
      </c>
      <c r="CH140" s="230">
        <v>3337</v>
      </c>
      <c r="CI140" s="228">
        <v>49</v>
      </c>
      <c r="CJ140" s="229">
        <v>1.46E-2</v>
      </c>
      <c r="CK140" s="230">
        <v>1057</v>
      </c>
      <c r="CL140" s="230">
        <v>1025</v>
      </c>
      <c r="CM140" s="228">
        <v>31</v>
      </c>
      <c r="CN140" s="229">
        <v>3.0599999999999999E-2</v>
      </c>
      <c r="CO140" s="230">
        <v>506970</v>
      </c>
      <c r="CP140" s="230">
        <v>368989</v>
      </c>
      <c r="CQ140" s="230">
        <v>137980</v>
      </c>
      <c r="CR140" s="229">
        <v>0.37390000000000001</v>
      </c>
      <c r="CS140" s="230">
        <v>534892</v>
      </c>
      <c r="CT140" s="230">
        <v>431391</v>
      </c>
      <c r="CU140" s="230">
        <v>103501</v>
      </c>
      <c r="CV140" s="229">
        <v>0.2399</v>
      </c>
      <c r="CW140" s="230">
        <v>1085309</v>
      </c>
      <c r="CX140" s="230">
        <v>1735419</v>
      </c>
      <c r="CY140" s="230">
        <v>-650110</v>
      </c>
      <c r="CZ140" s="229">
        <v>-0.37459999999999999</v>
      </c>
      <c r="DA140" s="228">
        <v>10.74</v>
      </c>
      <c r="DB140" s="228">
        <v>11.38</v>
      </c>
      <c r="DC140" s="228">
        <v>-0.64</v>
      </c>
      <c r="DD140" s="228">
        <v>-0.64</v>
      </c>
      <c r="DE140" s="228">
        <v>14.29</v>
      </c>
      <c r="DF140" s="228">
        <v>14.32</v>
      </c>
      <c r="DG140" s="228">
        <v>-3.55</v>
      </c>
      <c r="DH140" s="228">
        <v>-0.03</v>
      </c>
      <c r="DI140" s="228">
        <v>10.33</v>
      </c>
      <c r="DJ140" s="228">
        <v>10.58</v>
      </c>
      <c r="DK140" s="228">
        <v>-0.25</v>
      </c>
      <c r="DL140" s="228">
        <v>-0.25</v>
      </c>
      <c r="DM140" s="228">
        <v>11.12</v>
      </c>
      <c r="DN140" s="228">
        <v>12.18</v>
      </c>
      <c r="DO140" s="228">
        <v>-1.06</v>
      </c>
      <c r="DP140" s="228">
        <v>-1.06</v>
      </c>
      <c r="DQ140" s="228">
        <v>1.06</v>
      </c>
      <c r="DR140" s="228">
        <v>1.17</v>
      </c>
      <c r="DS140" s="228">
        <v>-0.11</v>
      </c>
      <c r="DT140" s="229">
        <v>-9.4E-2</v>
      </c>
      <c r="DU140" s="231">
        <v>26000</v>
      </c>
      <c r="DV140" s="231">
        <v>24500</v>
      </c>
      <c r="DW140" s="228">
        <v>1.07</v>
      </c>
      <c r="DX140" s="228">
        <v>1.05</v>
      </c>
      <c r="DY140" s="228">
        <v>0.02</v>
      </c>
      <c r="DZ140" s="229">
        <v>1.9E-2</v>
      </c>
      <c r="EA140" s="229">
        <v>0.1023</v>
      </c>
      <c r="EB140" s="230">
        <v>1678300</v>
      </c>
      <c r="EC140" s="229">
        <v>6.0000000000000001E-3</v>
      </c>
      <c r="ED140" s="229">
        <v>0.1023</v>
      </c>
      <c r="EE140" s="228">
        <v>156.44</v>
      </c>
      <c r="EF140" s="229">
        <v>6.0000000000000001E-3</v>
      </c>
      <c r="EG140" s="228">
        <v>0</v>
      </c>
      <c r="EH140" s="228">
        <v>0</v>
      </c>
      <c r="EI140" s="229">
        <v>0</v>
      </c>
      <c r="EJ140" s="229">
        <v>0</v>
      </c>
      <c r="EK140" s="231">
        <v>4213093.38</v>
      </c>
      <c r="EL140" s="231">
        <v>4407949.55</v>
      </c>
      <c r="EM140" s="231">
        <v>9889.75</v>
      </c>
      <c r="EN140" s="228">
        <v>769.82</v>
      </c>
      <c r="EO140" s="231">
        <v>8630932.6799999997</v>
      </c>
      <c r="EP140" s="231">
        <v>58893279.890000001</v>
      </c>
      <c r="EQ140" s="231">
        <v>-50262347.210000001</v>
      </c>
      <c r="ER140" s="229">
        <v>-0.85340000000000005</v>
      </c>
      <c r="ES140" s="231">
        <v>516155.43</v>
      </c>
      <c r="ET140" s="231">
        <v>516678.43</v>
      </c>
      <c r="EU140" s="231">
        <v>43480.5</v>
      </c>
      <c r="EV140" s="228">
        <v>0</v>
      </c>
      <c r="EW140" s="231">
        <v>1076314.3600000001</v>
      </c>
      <c r="EX140" s="231">
        <v>834675.04</v>
      </c>
      <c r="EY140" s="231">
        <v>241639.32</v>
      </c>
      <c r="EZ140" s="229">
        <v>0.28949999999999998</v>
      </c>
      <c r="FA140" s="229">
        <v>0</v>
      </c>
      <c r="FB140" s="227" t="s">
        <v>555</v>
      </c>
      <c r="FC140">
        <f t="shared" si="2"/>
        <v>4443</v>
      </c>
    </row>
    <row r="141" spans="1:159" ht="17.25" thickBot="1" x14ac:dyDescent="0.3">
      <c r="A141" s="226">
        <v>46064</v>
      </c>
      <c r="B141" s="227" t="s">
        <v>181</v>
      </c>
      <c r="C141" s="227" t="s">
        <v>566</v>
      </c>
      <c r="D141" s="228">
        <v>25</v>
      </c>
      <c r="E141" s="228">
        <v>13</v>
      </c>
      <c r="F141" s="231">
        <v>70184.2</v>
      </c>
      <c r="G141" s="231">
        <v>69872.2</v>
      </c>
      <c r="H141" s="228">
        <v>312</v>
      </c>
      <c r="I141" s="229">
        <v>4.4999999999999997E-3</v>
      </c>
      <c r="J141" s="231">
        <v>70216.55</v>
      </c>
      <c r="K141" s="231">
        <v>69829.600000000006</v>
      </c>
      <c r="L141" s="228">
        <v>386.95</v>
      </c>
      <c r="M141" s="229">
        <v>5.4999999999999997E-3</v>
      </c>
      <c r="N141" s="231">
        <v>70184.2</v>
      </c>
      <c r="O141" s="231">
        <v>69872.2</v>
      </c>
      <c r="P141" s="228">
        <v>312</v>
      </c>
      <c r="Q141" s="229">
        <v>4.4999999999999997E-3</v>
      </c>
      <c r="R141" s="231">
        <v>70502</v>
      </c>
      <c r="S141" s="231">
        <v>70154</v>
      </c>
      <c r="T141" s="228">
        <v>348</v>
      </c>
      <c r="U141" s="229">
        <v>5.0000000000000001E-3</v>
      </c>
      <c r="V141" s="228">
        <v>0</v>
      </c>
      <c r="W141" s="228">
        <v>0</v>
      </c>
      <c r="X141" s="228">
        <v>0</v>
      </c>
      <c r="Y141" s="229">
        <v>0</v>
      </c>
      <c r="Z141" s="228">
        <v>-32.35</v>
      </c>
      <c r="AA141" s="228">
        <v>42.6</v>
      </c>
      <c r="AB141" s="228">
        <v>-74.95</v>
      </c>
      <c r="AC141" s="229">
        <v>-5.0000000000000001E-4</v>
      </c>
      <c r="AD141" s="228">
        <v>-32.35</v>
      </c>
      <c r="AE141" s="228">
        <v>42.6</v>
      </c>
      <c r="AF141" s="228">
        <v>-74.95</v>
      </c>
      <c r="AG141" s="229">
        <v>-5.0000000000000001E-4</v>
      </c>
      <c r="AH141" s="228">
        <v>285.45</v>
      </c>
      <c r="AI141" s="228">
        <v>324.39999999999998</v>
      </c>
      <c r="AJ141" s="228">
        <v>-38.950000000000003</v>
      </c>
      <c r="AK141" s="229">
        <v>4.1000000000000003E-3</v>
      </c>
      <c r="AL141" s="228">
        <v>0</v>
      </c>
      <c r="AM141" s="228">
        <v>0</v>
      </c>
      <c r="AN141" s="228">
        <v>0</v>
      </c>
      <c r="AO141" s="229">
        <v>0</v>
      </c>
      <c r="AP141" s="231">
        <v>70011.929999999993</v>
      </c>
      <c r="AQ141" s="231">
        <v>70340</v>
      </c>
      <c r="AR141" s="228">
        <v>0</v>
      </c>
      <c r="AS141" s="228">
        <v>44</v>
      </c>
      <c r="AT141" s="228">
        <v>31</v>
      </c>
      <c r="AU141" s="228">
        <v>13</v>
      </c>
      <c r="AV141" s="229">
        <v>0.42530000000000001</v>
      </c>
      <c r="AW141" s="228">
        <v>42</v>
      </c>
      <c r="AX141" s="228">
        <v>27</v>
      </c>
      <c r="AY141" s="228">
        <v>15</v>
      </c>
      <c r="AZ141" s="229">
        <v>0.56579999999999997</v>
      </c>
      <c r="BA141" s="228">
        <v>2</v>
      </c>
      <c r="BB141" s="228">
        <v>4</v>
      </c>
      <c r="BC141" s="228">
        <v>-2</v>
      </c>
      <c r="BD141" s="229">
        <v>-0.54549999999999998</v>
      </c>
      <c r="BE141" s="228">
        <v>0</v>
      </c>
      <c r="BF141" s="228">
        <v>0</v>
      </c>
      <c r="BG141" s="228">
        <v>0</v>
      </c>
      <c r="BH141" s="229">
        <v>0</v>
      </c>
      <c r="BI141" s="228">
        <v>78</v>
      </c>
      <c r="BJ141" s="228">
        <v>38</v>
      </c>
      <c r="BK141" s="228">
        <v>40</v>
      </c>
      <c r="BL141" s="229">
        <v>1.0415000000000001</v>
      </c>
      <c r="BM141" s="228">
        <v>71</v>
      </c>
      <c r="BN141" s="228">
        <v>42</v>
      </c>
      <c r="BO141" s="228">
        <v>29</v>
      </c>
      <c r="BP141" s="229">
        <v>0.69040000000000001</v>
      </c>
      <c r="BQ141" s="228">
        <v>192</v>
      </c>
      <c r="BR141" s="228">
        <v>111</v>
      </c>
      <c r="BS141" s="228">
        <v>82</v>
      </c>
      <c r="BT141" s="229">
        <v>0.73809999999999998</v>
      </c>
      <c r="BU141" s="228">
        <v>0</v>
      </c>
      <c r="BV141" s="228">
        <v>0</v>
      </c>
      <c r="BW141" s="228">
        <v>0</v>
      </c>
      <c r="BX141" s="229">
        <v>0</v>
      </c>
      <c r="BY141" s="228">
        <v>144</v>
      </c>
      <c r="BZ141" s="228">
        <v>135</v>
      </c>
      <c r="CA141" s="228">
        <v>9</v>
      </c>
      <c r="CB141" s="229">
        <v>6.3500000000000001E-2</v>
      </c>
      <c r="CC141" s="228">
        <v>136</v>
      </c>
      <c r="CD141" s="228">
        <v>127</v>
      </c>
      <c r="CE141" s="228">
        <v>9</v>
      </c>
      <c r="CF141" s="229">
        <v>6.7599999999999993E-2</v>
      </c>
      <c r="CG141" s="228">
        <v>8</v>
      </c>
      <c r="CH141" s="228">
        <v>8</v>
      </c>
      <c r="CI141" s="228">
        <v>0</v>
      </c>
      <c r="CJ141" s="229">
        <v>0</v>
      </c>
      <c r="CK141" s="228">
        <v>0</v>
      </c>
      <c r="CL141" s="228">
        <v>0</v>
      </c>
      <c r="CM141" s="228">
        <v>0</v>
      </c>
      <c r="CN141" s="229">
        <v>0</v>
      </c>
      <c r="CO141" s="228">
        <v>89</v>
      </c>
      <c r="CP141" s="228">
        <v>85</v>
      </c>
      <c r="CQ141" s="228">
        <v>4</v>
      </c>
      <c r="CR141" s="229">
        <v>4.5199999999999997E-2</v>
      </c>
      <c r="CS141" s="228">
        <v>80</v>
      </c>
      <c r="CT141" s="228">
        <v>62</v>
      </c>
      <c r="CU141" s="228">
        <v>18</v>
      </c>
      <c r="CV141" s="229">
        <v>0.2898</v>
      </c>
      <c r="CW141" s="228">
        <v>313</v>
      </c>
      <c r="CX141" s="228">
        <v>283</v>
      </c>
      <c r="CY141" s="228">
        <v>30</v>
      </c>
      <c r="CZ141" s="229">
        <v>0.1074</v>
      </c>
      <c r="DA141" s="228">
        <v>13.53</v>
      </c>
      <c r="DB141" s="228">
        <v>13.52</v>
      </c>
      <c r="DC141" s="228">
        <v>0.01</v>
      </c>
      <c r="DD141" s="228">
        <v>0.01</v>
      </c>
      <c r="DE141" s="228">
        <v>19.989999999999998</v>
      </c>
      <c r="DF141" s="228">
        <v>20.03</v>
      </c>
      <c r="DG141" s="228">
        <v>-6.46</v>
      </c>
      <c r="DH141" s="228">
        <v>-0.04</v>
      </c>
      <c r="DI141" s="228">
        <v>13.09</v>
      </c>
      <c r="DJ141" s="228">
        <v>12.68</v>
      </c>
      <c r="DK141" s="228">
        <v>0.41</v>
      </c>
      <c r="DL141" s="228">
        <v>0.41</v>
      </c>
      <c r="DM141" s="228">
        <v>14</v>
      </c>
      <c r="DN141" s="228">
        <v>14.27</v>
      </c>
      <c r="DO141" s="228">
        <v>-0.27</v>
      </c>
      <c r="DP141" s="228">
        <v>-0.27</v>
      </c>
      <c r="DQ141" s="228">
        <v>0.89</v>
      </c>
      <c r="DR141" s="228">
        <v>0.72</v>
      </c>
      <c r="DS141" s="228">
        <v>0.17</v>
      </c>
      <c r="DT141" s="229">
        <v>0.2361</v>
      </c>
      <c r="DU141" s="231">
        <v>71000</v>
      </c>
      <c r="DV141" s="231">
        <v>68000</v>
      </c>
      <c r="DW141" s="228">
        <v>0.91</v>
      </c>
      <c r="DX141" s="228">
        <v>1.1000000000000001</v>
      </c>
      <c r="DY141" s="228">
        <v>-0.19</v>
      </c>
      <c r="DZ141" s="229">
        <v>-0.17269999999999999</v>
      </c>
      <c r="EA141" s="229">
        <v>5.7200000000000001E-2</v>
      </c>
      <c r="EB141" s="230">
        <v>1175</v>
      </c>
      <c r="EC141" s="229">
        <v>4.4999999999999997E-3</v>
      </c>
      <c r="ED141" s="229">
        <v>5.7200000000000001E-2</v>
      </c>
      <c r="EE141" s="228">
        <v>328.07</v>
      </c>
      <c r="EF141" s="229">
        <v>4.7000000000000002E-3</v>
      </c>
      <c r="EG141" s="228">
        <v>0</v>
      </c>
      <c r="EH141" s="228">
        <v>0</v>
      </c>
      <c r="EI141" s="229">
        <v>0</v>
      </c>
      <c r="EJ141" s="229">
        <v>0</v>
      </c>
      <c r="EK141" s="228">
        <v>78.209999999999994</v>
      </c>
      <c r="EL141" s="228">
        <v>70.12</v>
      </c>
      <c r="EM141" s="228">
        <v>43.42</v>
      </c>
      <c r="EN141" s="228">
        <v>0</v>
      </c>
      <c r="EO141" s="228">
        <v>191.74</v>
      </c>
      <c r="EP141" s="228">
        <v>110.31</v>
      </c>
      <c r="EQ141" s="228">
        <v>81.430000000000007</v>
      </c>
      <c r="ER141" s="229">
        <v>0.73809999999999998</v>
      </c>
      <c r="ES141" s="228">
        <v>87.48</v>
      </c>
      <c r="ET141" s="228">
        <v>77.099999999999994</v>
      </c>
      <c r="EU141" s="228">
        <v>144.09</v>
      </c>
      <c r="EV141" s="228">
        <v>0</v>
      </c>
      <c r="EW141" s="228">
        <v>308.66000000000003</v>
      </c>
      <c r="EX141" s="228">
        <v>277.89</v>
      </c>
      <c r="EY141" s="228">
        <v>30.77</v>
      </c>
      <c r="EZ141" s="229">
        <v>0.11070000000000001</v>
      </c>
      <c r="FA141" s="229">
        <v>0</v>
      </c>
      <c r="FB141" s="227" t="s">
        <v>555</v>
      </c>
      <c r="FC141">
        <f t="shared" si="2"/>
        <v>8</v>
      </c>
    </row>
    <row r="142" spans="1:159" ht="17.25" thickBot="1" x14ac:dyDescent="0.3">
      <c r="A142" s="226">
        <v>46064</v>
      </c>
      <c r="B142" s="227" t="s">
        <v>227</v>
      </c>
      <c r="C142" s="227" t="s">
        <v>267</v>
      </c>
      <c r="D142" s="228">
        <v>6750</v>
      </c>
      <c r="E142" s="228">
        <v>13</v>
      </c>
      <c r="F142" s="228">
        <v>85.69</v>
      </c>
      <c r="G142" s="228">
        <v>85.35</v>
      </c>
      <c r="H142" s="228">
        <v>0.34</v>
      </c>
      <c r="I142" s="229">
        <v>4.0000000000000001E-3</v>
      </c>
      <c r="J142" s="228">
        <v>85.46</v>
      </c>
      <c r="K142" s="228">
        <v>85.07</v>
      </c>
      <c r="L142" s="228">
        <v>0.39</v>
      </c>
      <c r="M142" s="229">
        <v>4.5999999999999999E-3</v>
      </c>
      <c r="N142" s="228">
        <v>85.69</v>
      </c>
      <c r="O142" s="228">
        <v>85.35</v>
      </c>
      <c r="P142" s="228">
        <v>0.34</v>
      </c>
      <c r="Q142" s="229">
        <v>4.0000000000000001E-3</v>
      </c>
      <c r="R142" s="228">
        <v>86.18</v>
      </c>
      <c r="S142" s="228">
        <v>85.92</v>
      </c>
      <c r="T142" s="228">
        <v>0.26</v>
      </c>
      <c r="U142" s="229">
        <v>3.0000000000000001E-3</v>
      </c>
      <c r="V142" s="228">
        <v>86.88</v>
      </c>
      <c r="W142" s="228">
        <v>86.3</v>
      </c>
      <c r="X142" s="228">
        <v>0.57999999999999996</v>
      </c>
      <c r="Y142" s="229">
        <v>6.7000000000000002E-3</v>
      </c>
      <c r="Z142" s="228">
        <v>0.23</v>
      </c>
      <c r="AA142" s="228">
        <v>0.28000000000000003</v>
      </c>
      <c r="AB142" s="228">
        <v>-0.05</v>
      </c>
      <c r="AC142" s="229">
        <v>2.7000000000000001E-3</v>
      </c>
      <c r="AD142" s="228">
        <v>0.23</v>
      </c>
      <c r="AE142" s="228">
        <v>0.28000000000000003</v>
      </c>
      <c r="AF142" s="228">
        <v>-0.05</v>
      </c>
      <c r="AG142" s="229">
        <v>2.7000000000000001E-3</v>
      </c>
      <c r="AH142" s="228">
        <v>0.72</v>
      </c>
      <c r="AI142" s="228">
        <v>0.85</v>
      </c>
      <c r="AJ142" s="228">
        <v>-0.13</v>
      </c>
      <c r="AK142" s="229">
        <v>8.3999999999999995E-3</v>
      </c>
      <c r="AL142" s="228">
        <v>1.42</v>
      </c>
      <c r="AM142" s="228">
        <v>1.23</v>
      </c>
      <c r="AN142" s="228">
        <v>0.19</v>
      </c>
      <c r="AO142" s="229">
        <v>1.66E-2</v>
      </c>
      <c r="AP142" s="228">
        <v>85.32</v>
      </c>
      <c r="AQ142" s="228">
        <v>85.94</v>
      </c>
      <c r="AR142" s="228">
        <v>0</v>
      </c>
      <c r="AS142" s="228">
        <v>433</v>
      </c>
      <c r="AT142" s="228">
        <v>453</v>
      </c>
      <c r="AU142" s="228">
        <v>-20</v>
      </c>
      <c r="AV142" s="229">
        <v>-4.4699999999999997E-2</v>
      </c>
      <c r="AW142" s="228">
        <v>383</v>
      </c>
      <c r="AX142" s="228">
        <v>392</v>
      </c>
      <c r="AY142" s="228">
        <v>-9</v>
      </c>
      <c r="AZ142" s="229">
        <v>-2.3300000000000001E-2</v>
      </c>
      <c r="BA142" s="228">
        <v>44</v>
      </c>
      <c r="BB142" s="228">
        <v>58</v>
      </c>
      <c r="BC142" s="228">
        <v>-13</v>
      </c>
      <c r="BD142" s="229">
        <v>-0.22889999999999999</v>
      </c>
      <c r="BE142" s="228">
        <v>6</v>
      </c>
      <c r="BF142" s="228">
        <v>4</v>
      </c>
      <c r="BG142" s="228">
        <v>2</v>
      </c>
      <c r="BH142" s="229">
        <v>0.52170000000000005</v>
      </c>
      <c r="BI142" s="230">
        <v>1130</v>
      </c>
      <c r="BJ142" s="230">
        <v>1117</v>
      </c>
      <c r="BK142" s="228">
        <v>13</v>
      </c>
      <c r="BL142" s="229">
        <v>1.1900000000000001E-2</v>
      </c>
      <c r="BM142" s="228">
        <v>410</v>
      </c>
      <c r="BN142" s="228">
        <v>355</v>
      </c>
      <c r="BO142" s="228">
        <v>55</v>
      </c>
      <c r="BP142" s="229">
        <v>0.15459999999999999</v>
      </c>
      <c r="BQ142" s="230">
        <v>1974</v>
      </c>
      <c r="BR142" s="230">
        <v>1926</v>
      </c>
      <c r="BS142" s="228">
        <v>48</v>
      </c>
      <c r="BT142" s="229">
        <v>2.4899999999999999E-2</v>
      </c>
      <c r="BU142" s="230">
        <v>40400716</v>
      </c>
      <c r="BV142" s="230">
        <v>48843370</v>
      </c>
      <c r="BW142" s="230">
        <v>-8442654</v>
      </c>
      <c r="BX142" s="229">
        <v>-0.1729</v>
      </c>
      <c r="BY142" s="230">
        <v>2998</v>
      </c>
      <c r="BZ142" s="230">
        <v>3014</v>
      </c>
      <c r="CA142" s="228">
        <v>-16</v>
      </c>
      <c r="CB142" s="229">
        <v>-5.3E-3</v>
      </c>
      <c r="CC142" s="230">
        <v>2872</v>
      </c>
      <c r="CD142" s="230">
        <v>2893</v>
      </c>
      <c r="CE142" s="228">
        <v>-21</v>
      </c>
      <c r="CF142" s="229">
        <v>-7.4000000000000003E-3</v>
      </c>
      <c r="CG142" s="228">
        <v>113</v>
      </c>
      <c r="CH142" s="228">
        <v>108</v>
      </c>
      <c r="CI142" s="228">
        <v>4</v>
      </c>
      <c r="CJ142" s="229">
        <v>3.9E-2</v>
      </c>
      <c r="CK142" s="228">
        <v>14</v>
      </c>
      <c r="CL142" s="228">
        <v>12</v>
      </c>
      <c r="CM142" s="228">
        <v>1</v>
      </c>
      <c r="CN142" s="229">
        <v>0.1023</v>
      </c>
      <c r="CO142" s="230">
        <v>1001</v>
      </c>
      <c r="CP142" s="230">
        <v>1030</v>
      </c>
      <c r="CQ142" s="228">
        <v>-29</v>
      </c>
      <c r="CR142" s="229">
        <v>-2.8400000000000002E-2</v>
      </c>
      <c r="CS142" s="228">
        <v>499</v>
      </c>
      <c r="CT142" s="228">
        <v>497</v>
      </c>
      <c r="CU142" s="228">
        <v>2</v>
      </c>
      <c r="CV142" s="229">
        <v>3.0999999999999999E-3</v>
      </c>
      <c r="CW142" s="230">
        <v>4498</v>
      </c>
      <c r="CX142" s="230">
        <v>4541</v>
      </c>
      <c r="CY142" s="228">
        <v>-44</v>
      </c>
      <c r="CZ142" s="229">
        <v>-9.5999999999999992E-3</v>
      </c>
      <c r="DA142" s="228">
        <v>38.57</v>
      </c>
      <c r="DB142" s="228">
        <v>38.44</v>
      </c>
      <c r="DC142" s="228">
        <v>0.13</v>
      </c>
      <c r="DD142" s="228">
        <v>0.13</v>
      </c>
      <c r="DE142" s="228">
        <v>38.54</v>
      </c>
      <c r="DF142" s="228">
        <v>38.630000000000003</v>
      </c>
      <c r="DG142" s="228">
        <v>0.03</v>
      </c>
      <c r="DH142" s="228">
        <v>-0.09</v>
      </c>
      <c r="DI142" s="228">
        <v>38.22</v>
      </c>
      <c r="DJ142" s="228">
        <v>37.99</v>
      </c>
      <c r="DK142" s="228">
        <v>0.23</v>
      </c>
      <c r="DL142" s="228">
        <v>0.23</v>
      </c>
      <c r="DM142" s="228">
        <v>39.53</v>
      </c>
      <c r="DN142" s="228">
        <v>39.85</v>
      </c>
      <c r="DO142" s="228">
        <v>-0.32</v>
      </c>
      <c r="DP142" s="228">
        <v>-0.32</v>
      </c>
      <c r="DQ142" s="228">
        <v>0.5</v>
      </c>
      <c r="DR142" s="228">
        <v>0.48</v>
      </c>
      <c r="DS142" s="228">
        <v>0.02</v>
      </c>
      <c r="DT142" s="229">
        <v>4.1700000000000001E-2</v>
      </c>
      <c r="DU142" s="228">
        <v>85</v>
      </c>
      <c r="DV142" s="228">
        <v>70</v>
      </c>
      <c r="DW142" s="228">
        <v>0.36</v>
      </c>
      <c r="DX142" s="228">
        <v>0.32</v>
      </c>
      <c r="DY142" s="228">
        <v>0.04</v>
      </c>
      <c r="DZ142" s="229">
        <v>0.125</v>
      </c>
      <c r="EA142" s="229">
        <v>4.2099999999999999E-2</v>
      </c>
      <c r="EB142" s="230">
        <v>14094000</v>
      </c>
      <c r="EC142" s="229">
        <v>5.7000000000000002E-3</v>
      </c>
      <c r="ED142" s="229">
        <v>4.2099999999999999E-2</v>
      </c>
      <c r="EE142" s="228">
        <v>0.62</v>
      </c>
      <c r="EF142" s="229">
        <v>7.3000000000000001E-3</v>
      </c>
      <c r="EG142" s="230">
        <v>17743725</v>
      </c>
      <c r="EH142" s="230">
        <v>17978547</v>
      </c>
      <c r="EI142" s="229">
        <v>-1.3100000000000001E-2</v>
      </c>
      <c r="EJ142" s="229">
        <v>0.43919999999999998</v>
      </c>
      <c r="EK142" s="231">
        <v>1174.8499999999999</v>
      </c>
      <c r="EL142" s="228">
        <v>403.84</v>
      </c>
      <c r="EM142" s="228">
        <v>431.65</v>
      </c>
      <c r="EN142" s="228">
        <v>81.22</v>
      </c>
      <c r="EO142" s="231">
        <v>2010.35</v>
      </c>
      <c r="EP142" s="231">
        <v>1950.51</v>
      </c>
      <c r="EQ142" s="228">
        <v>59.84</v>
      </c>
      <c r="ER142" s="229">
        <v>3.0700000000000002E-2</v>
      </c>
      <c r="ES142" s="231">
        <v>1015.92</v>
      </c>
      <c r="ET142" s="228">
        <v>460.55</v>
      </c>
      <c r="EU142" s="231">
        <v>2999.07</v>
      </c>
      <c r="EV142" s="231">
        <v>517037525</v>
      </c>
      <c r="EW142" s="231">
        <v>4475.53</v>
      </c>
      <c r="EX142" s="231">
        <v>4507.47</v>
      </c>
      <c r="EY142" s="228">
        <v>-31.94</v>
      </c>
      <c r="EZ142" s="229">
        <v>-7.1000000000000004E-3</v>
      </c>
      <c r="FA142" s="229">
        <v>1.0152000000000001</v>
      </c>
      <c r="FB142" s="227" t="s">
        <v>556</v>
      </c>
      <c r="FC142">
        <f t="shared" si="2"/>
        <v>126</v>
      </c>
    </row>
    <row r="143" spans="1:159" ht="17.25" thickBot="1" x14ac:dyDescent="0.3">
      <c r="A143" s="226">
        <v>46064</v>
      </c>
      <c r="B143" s="227" t="s">
        <v>161</v>
      </c>
      <c r="C143" s="227" t="s">
        <v>268</v>
      </c>
      <c r="D143" s="228">
        <v>1500</v>
      </c>
      <c r="E143" s="228">
        <v>13</v>
      </c>
      <c r="F143" s="228">
        <v>368.4</v>
      </c>
      <c r="G143" s="228">
        <v>367.15</v>
      </c>
      <c r="H143" s="228">
        <v>1.25</v>
      </c>
      <c r="I143" s="229">
        <v>3.3999999999999998E-3</v>
      </c>
      <c r="J143" s="228">
        <v>368.45</v>
      </c>
      <c r="K143" s="228">
        <v>366.9</v>
      </c>
      <c r="L143" s="228">
        <v>1.55</v>
      </c>
      <c r="M143" s="229">
        <v>4.1999999999999997E-3</v>
      </c>
      <c r="N143" s="228">
        <v>368.4</v>
      </c>
      <c r="O143" s="228">
        <v>367.15</v>
      </c>
      <c r="P143" s="228">
        <v>1.25</v>
      </c>
      <c r="Q143" s="229">
        <v>3.3999999999999998E-3</v>
      </c>
      <c r="R143" s="228">
        <v>370.8</v>
      </c>
      <c r="S143" s="228">
        <v>369.5</v>
      </c>
      <c r="T143" s="228">
        <v>1.3</v>
      </c>
      <c r="U143" s="229">
        <v>3.5000000000000001E-3</v>
      </c>
      <c r="V143" s="228">
        <v>373.45</v>
      </c>
      <c r="W143" s="228">
        <v>371.5</v>
      </c>
      <c r="X143" s="228">
        <v>1.95</v>
      </c>
      <c r="Y143" s="229">
        <v>5.1999999999999998E-3</v>
      </c>
      <c r="Z143" s="228">
        <v>-0.05</v>
      </c>
      <c r="AA143" s="228">
        <v>0.25</v>
      </c>
      <c r="AB143" s="228">
        <v>-0.3</v>
      </c>
      <c r="AC143" s="229">
        <v>-1E-4</v>
      </c>
      <c r="AD143" s="228">
        <v>-0.05</v>
      </c>
      <c r="AE143" s="228">
        <v>0.25</v>
      </c>
      <c r="AF143" s="228">
        <v>-0.3</v>
      </c>
      <c r="AG143" s="229">
        <v>-1E-4</v>
      </c>
      <c r="AH143" s="228">
        <v>2.35</v>
      </c>
      <c r="AI143" s="228">
        <v>2.6</v>
      </c>
      <c r="AJ143" s="228">
        <v>-0.25</v>
      </c>
      <c r="AK143" s="229">
        <v>6.4000000000000003E-3</v>
      </c>
      <c r="AL143" s="228">
        <v>5</v>
      </c>
      <c r="AM143" s="228">
        <v>4.5999999999999996</v>
      </c>
      <c r="AN143" s="228">
        <v>0.4</v>
      </c>
      <c r="AO143" s="229">
        <v>1.3599999999999999E-2</v>
      </c>
      <c r="AP143" s="228">
        <v>367.68</v>
      </c>
      <c r="AQ143" s="228">
        <v>370.02</v>
      </c>
      <c r="AR143" s="228">
        <v>0</v>
      </c>
      <c r="AS143" s="228">
        <v>293</v>
      </c>
      <c r="AT143" s="228">
        <v>349</v>
      </c>
      <c r="AU143" s="228">
        <v>-56</v>
      </c>
      <c r="AV143" s="229">
        <v>-0.1615</v>
      </c>
      <c r="AW143" s="228">
        <v>275</v>
      </c>
      <c r="AX143" s="228">
        <v>319</v>
      </c>
      <c r="AY143" s="228">
        <v>-44</v>
      </c>
      <c r="AZ143" s="229">
        <v>-0.13669999999999999</v>
      </c>
      <c r="BA143" s="228">
        <v>16</v>
      </c>
      <c r="BB143" s="228">
        <v>29</v>
      </c>
      <c r="BC143" s="228">
        <v>-13</v>
      </c>
      <c r="BD143" s="229">
        <v>-0.44679999999999997</v>
      </c>
      <c r="BE143" s="228">
        <v>2</v>
      </c>
      <c r="BF143" s="228">
        <v>2</v>
      </c>
      <c r="BG143" s="228">
        <v>0</v>
      </c>
      <c r="BH143" s="229">
        <v>-2.86E-2</v>
      </c>
      <c r="BI143" s="230">
        <v>2228</v>
      </c>
      <c r="BJ143" s="230">
        <v>2673</v>
      </c>
      <c r="BK143" s="228">
        <v>-445</v>
      </c>
      <c r="BL143" s="229">
        <v>-0.16650000000000001</v>
      </c>
      <c r="BM143" s="228">
        <v>989</v>
      </c>
      <c r="BN143" s="230">
        <v>1370</v>
      </c>
      <c r="BO143" s="228">
        <v>-380</v>
      </c>
      <c r="BP143" s="229">
        <v>-0.2777</v>
      </c>
      <c r="BQ143" s="230">
        <v>3511</v>
      </c>
      <c r="BR143" s="230">
        <v>4393</v>
      </c>
      <c r="BS143" s="228">
        <v>-882</v>
      </c>
      <c r="BT143" s="229">
        <v>-0.20080000000000001</v>
      </c>
      <c r="BU143" s="230">
        <v>5942180</v>
      </c>
      <c r="BV143" s="230">
        <v>8587592</v>
      </c>
      <c r="BW143" s="230">
        <v>-2645412</v>
      </c>
      <c r="BX143" s="229">
        <v>-0.30809999999999998</v>
      </c>
      <c r="BY143" s="230">
        <v>3080</v>
      </c>
      <c r="BZ143" s="230">
        <v>3093</v>
      </c>
      <c r="CA143" s="228">
        <v>-13</v>
      </c>
      <c r="CB143" s="229">
        <v>-4.1999999999999997E-3</v>
      </c>
      <c r="CC143" s="230">
        <v>2963</v>
      </c>
      <c r="CD143" s="230">
        <v>2980</v>
      </c>
      <c r="CE143" s="228">
        <v>-17</v>
      </c>
      <c r="CF143" s="229">
        <v>-5.5999999999999999E-3</v>
      </c>
      <c r="CG143" s="228">
        <v>100</v>
      </c>
      <c r="CH143" s="228">
        <v>96</v>
      </c>
      <c r="CI143" s="228">
        <v>4</v>
      </c>
      <c r="CJ143" s="229">
        <v>3.9800000000000002E-2</v>
      </c>
      <c r="CK143" s="228">
        <v>17</v>
      </c>
      <c r="CL143" s="228">
        <v>17</v>
      </c>
      <c r="CM143" s="228">
        <v>0</v>
      </c>
      <c r="CN143" s="229">
        <v>-3.2000000000000002E-3</v>
      </c>
      <c r="CO143" s="230">
        <v>3477</v>
      </c>
      <c r="CP143" s="230">
        <v>3342</v>
      </c>
      <c r="CQ143" s="228">
        <v>136</v>
      </c>
      <c r="CR143" s="229">
        <v>4.0599999999999997E-2</v>
      </c>
      <c r="CS143" s="230">
        <v>1568</v>
      </c>
      <c r="CT143" s="230">
        <v>1503</v>
      </c>
      <c r="CU143" s="228">
        <v>65</v>
      </c>
      <c r="CV143" s="229">
        <v>4.3200000000000002E-2</v>
      </c>
      <c r="CW143" s="230">
        <v>8125</v>
      </c>
      <c r="CX143" s="230">
        <v>7937</v>
      </c>
      <c r="CY143" s="228">
        <v>187</v>
      </c>
      <c r="CZ143" s="229">
        <v>2.3599999999999999E-2</v>
      </c>
      <c r="DA143" s="228">
        <v>16.47</v>
      </c>
      <c r="DB143" s="228">
        <v>17.07</v>
      </c>
      <c r="DC143" s="228">
        <v>-0.6</v>
      </c>
      <c r="DD143" s="228">
        <v>-0.6</v>
      </c>
      <c r="DE143" s="228">
        <v>27.43</v>
      </c>
      <c r="DF143" s="228">
        <v>27.5</v>
      </c>
      <c r="DG143" s="228">
        <v>-10.96</v>
      </c>
      <c r="DH143" s="228">
        <v>-7.0000000000000007E-2</v>
      </c>
      <c r="DI143" s="228">
        <v>15.63</v>
      </c>
      <c r="DJ143" s="228">
        <v>16.440000000000001</v>
      </c>
      <c r="DK143" s="228">
        <v>-0.81</v>
      </c>
      <c r="DL143" s="228">
        <v>-0.81</v>
      </c>
      <c r="DM143" s="228">
        <v>18.36</v>
      </c>
      <c r="DN143" s="228">
        <v>18.3</v>
      </c>
      <c r="DO143" s="228">
        <v>0.06</v>
      </c>
      <c r="DP143" s="228">
        <v>0.06</v>
      </c>
      <c r="DQ143" s="228">
        <v>0.45</v>
      </c>
      <c r="DR143" s="228">
        <v>0.45</v>
      </c>
      <c r="DS143" s="228">
        <v>0</v>
      </c>
      <c r="DT143" s="229">
        <v>0</v>
      </c>
      <c r="DU143" s="228">
        <v>370</v>
      </c>
      <c r="DV143" s="228">
        <v>370</v>
      </c>
      <c r="DW143" s="228">
        <v>0.44</v>
      </c>
      <c r="DX143" s="228">
        <v>0.51</v>
      </c>
      <c r="DY143" s="228">
        <v>-7.0000000000000007E-2</v>
      </c>
      <c r="DZ143" s="229">
        <v>-0.13730000000000001</v>
      </c>
      <c r="EA143" s="229">
        <v>3.7900000000000003E-2</v>
      </c>
      <c r="EB143" s="230">
        <v>3066000</v>
      </c>
      <c r="EC143" s="229">
        <v>6.4999999999999997E-3</v>
      </c>
      <c r="ED143" s="229">
        <v>3.7900000000000003E-2</v>
      </c>
      <c r="EE143" s="228">
        <v>2.34</v>
      </c>
      <c r="EF143" s="229">
        <v>6.4000000000000003E-3</v>
      </c>
      <c r="EG143" s="230">
        <v>4137901</v>
      </c>
      <c r="EH143" s="230">
        <v>5376984</v>
      </c>
      <c r="EI143" s="229">
        <v>-0.23039999999999999</v>
      </c>
      <c r="EJ143" s="229">
        <v>0.69640000000000002</v>
      </c>
      <c r="EK143" s="231">
        <v>2274.84</v>
      </c>
      <c r="EL143" s="228">
        <v>971.42</v>
      </c>
      <c r="EM143" s="228">
        <v>292.54000000000002</v>
      </c>
      <c r="EN143" s="228">
        <v>86.49</v>
      </c>
      <c r="EO143" s="231">
        <v>3538.8</v>
      </c>
      <c r="EP143" s="231">
        <v>4415.46</v>
      </c>
      <c r="EQ143" s="228">
        <v>-876.66</v>
      </c>
      <c r="ER143" s="229">
        <v>-0.19850000000000001</v>
      </c>
      <c r="ES143" s="231">
        <v>3477.99</v>
      </c>
      <c r="ET143" s="231">
        <v>1490.13</v>
      </c>
      <c r="EU143" s="231">
        <v>3080.47</v>
      </c>
      <c r="EV143" s="231">
        <v>474131988</v>
      </c>
      <c r="EW143" s="231">
        <v>8048.59</v>
      </c>
      <c r="EX143" s="231">
        <v>7847.74</v>
      </c>
      <c r="EY143" s="228">
        <v>200.85</v>
      </c>
      <c r="EZ143" s="229">
        <v>2.5600000000000001E-2</v>
      </c>
      <c r="FA143" s="229">
        <v>0.46510000000000001</v>
      </c>
      <c r="FB143" s="227" t="s">
        <v>556</v>
      </c>
      <c r="FC143">
        <f t="shared" si="2"/>
        <v>117</v>
      </c>
    </row>
    <row r="144" spans="1:159" ht="17.25" thickBot="1" x14ac:dyDescent="0.3">
      <c r="A144" s="226">
        <v>46064</v>
      </c>
      <c r="B144" s="227" t="s">
        <v>175</v>
      </c>
      <c r="C144" s="227" t="s">
        <v>684</v>
      </c>
      <c r="D144" s="228">
        <v>500</v>
      </c>
      <c r="E144" s="228">
        <v>13</v>
      </c>
      <c r="F144" s="231">
        <v>1323.5</v>
      </c>
      <c r="G144" s="231">
        <v>1387.3</v>
      </c>
      <c r="H144" s="228">
        <v>-63.8</v>
      </c>
      <c r="I144" s="229">
        <v>-4.5999999999999999E-2</v>
      </c>
      <c r="J144" s="231">
        <v>1324.2</v>
      </c>
      <c r="K144" s="231">
        <v>1386</v>
      </c>
      <c r="L144" s="228">
        <v>-61.8</v>
      </c>
      <c r="M144" s="229">
        <v>-4.4600000000000001E-2</v>
      </c>
      <c r="N144" s="231">
        <v>1323.5</v>
      </c>
      <c r="O144" s="231">
        <v>1387.3</v>
      </c>
      <c r="P144" s="228">
        <v>-63.8</v>
      </c>
      <c r="Q144" s="229">
        <v>-4.5999999999999999E-2</v>
      </c>
      <c r="R144" s="231">
        <v>1326.3</v>
      </c>
      <c r="S144" s="231">
        <v>1386.6</v>
      </c>
      <c r="T144" s="228">
        <v>-60.3</v>
      </c>
      <c r="U144" s="229">
        <v>-4.3499999999999997E-2</v>
      </c>
      <c r="V144" s="231">
        <v>1330.6</v>
      </c>
      <c r="W144" s="231">
        <v>1406.9</v>
      </c>
      <c r="X144" s="228">
        <v>-76.3</v>
      </c>
      <c r="Y144" s="229">
        <v>-5.4199999999999998E-2</v>
      </c>
      <c r="Z144" s="228">
        <v>-0.7</v>
      </c>
      <c r="AA144" s="228">
        <v>1.3</v>
      </c>
      <c r="AB144" s="228">
        <v>-2</v>
      </c>
      <c r="AC144" s="229">
        <v>-5.0000000000000001E-4</v>
      </c>
      <c r="AD144" s="228">
        <v>-0.7</v>
      </c>
      <c r="AE144" s="228">
        <v>1.3</v>
      </c>
      <c r="AF144" s="228">
        <v>-2</v>
      </c>
      <c r="AG144" s="229">
        <v>-5.0000000000000001E-4</v>
      </c>
      <c r="AH144" s="228">
        <v>2.1</v>
      </c>
      <c r="AI144" s="228">
        <v>0.6</v>
      </c>
      <c r="AJ144" s="228">
        <v>1.5</v>
      </c>
      <c r="AK144" s="229">
        <v>1.6000000000000001E-3</v>
      </c>
      <c r="AL144" s="228">
        <v>6.4</v>
      </c>
      <c r="AM144" s="228">
        <v>20.9</v>
      </c>
      <c r="AN144" s="228">
        <v>-14.5</v>
      </c>
      <c r="AO144" s="229">
        <v>4.7999999999999996E-3</v>
      </c>
      <c r="AP144" s="231">
        <v>1350.96</v>
      </c>
      <c r="AQ144" s="231">
        <v>1345.52</v>
      </c>
      <c r="AR144" s="228">
        <v>0</v>
      </c>
      <c r="AS144" s="228">
        <v>244</v>
      </c>
      <c r="AT144" s="228">
        <v>133</v>
      </c>
      <c r="AU144" s="228">
        <v>111</v>
      </c>
      <c r="AV144" s="229">
        <v>0.83730000000000004</v>
      </c>
      <c r="AW144" s="228">
        <v>229</v>
      </c>
      <c r="AX144" s="228">
        <v>125</v>
      </c>
      <c r="AY144" s="228">
        <v>104</v>
      </c>
      <c r="AZ144" s="229">
        <v>0.83550000000000002</v>
      </c>
      <c r="BA144" s="228">
        <v>15</v>
      </c>
      <c r="BB144" s="228">
        <v>8</v>
      </c>
      <c r="BC144" s="228">
        <v>7</v>
      </c>
      <c r="BD144" s="229">
        <v>0.877</v>
      </c>
      <c r="BE144" s="228">
        <v>0</v>
      </c>
      <c r="BF144" s="228">
        <v>0</v>
      </c>
      <c r="BG144" s="228">
        <v>0</v>
      </c>
      <c r="BH144" s="229">
        <v>0.5</v>
      </c>
      <c r="BI144" s="228">
        <v>368</v>
      </c>
      <c r="BJ144" s="228">
        <v>247</v>
      </c>
      <c r="BK144" s="228">
        <v>121</v>
      </c>
      <c r="BL144" s="229">
        <v>0.48809999999999998</v>
      </c>
      <c r="BM144" s="228">
        <v>260</v>
      </c>
      <c r="BN144" s="228">
        <v>72</v>
      </c>
      <c r="BO144" s="228">
        <v>187</v>
      </c>
      <c r="BP144" s="229">
        <v>2.5949</v>
      </c>
      <c r="BQ144" s="228">
        <v>872</v>
      </c>
      <c r="BR144" s="228">
        <v>452</v>
      </c>
      <c r="BS144" s="228">
        <v>419</v>
      </c>
      <c r="BT144" s="229">
        <v>0.92710000000000004</v>
      </c>
      <c r="BU144" s="230">
        <v>614743</v>
      </c>
      <c r="BV144" s="230">
        <v>284570</v>
      </c>
      <c r="BW144" s="230">
        <v>330173</v>
      </c>
      <c r="BX144" s="229">
        <v>1.1603000000000001</v>
      </c>
      <c r="BY144" s="228">
        <v>257</v>
      </c>
      <c r="BZ144" s="228">
        <v>281</v>
      </c>
      <c r="CA144" s="228">
        <v>-24</v>
      </c>
      <c r="CB144" s="229">
        <v>-8.5599999999999996E-2</v>
      </c>
      <c r="CC144" s="228">
        <v>238</v>
      </c>
      <c r="CD144" s="228">
        <v>267</v>
      </c>
      <c r="CE144" s="228">
        <v>-28</v>
      </c>
      <c r="CF144" s="229">
        <v>-0.1062</v>
      </c>
      <c r="CG144" s="228">
        <v>17</v>
      </c>
      <c r="CH144" s="228">
        <v>13</v>
      </c>
      <c r="CI144" s="228">
        <v>4</v>
      </c>
      <c r="CJ144" s="229">
        <v>0.32469999999999999</v>
      </c>
      <c r="CK144" s="228">
        <v>1</v>
      </c>
      <c r="CL144" s="228">
        <v>1</v>
      </c>
      <c r="CM144" s="228">
        <v>0</v>
      </c>
      <c r="CN144" s="229">
        <v>0.125</v>
      </c>
      <c r="CO144" s="228">
        <v>219</v>
      </c>
      <c r="CP144" s="228">
        <v>208</v>
      </c>
      <c r="CQ144" s="228">
        <v>10</v>
      </c>
      <c r="CR144" s="229">
        <v>4.8899999999999999E-2</v>
      </c>
      <c r="CS144" s="228">
        <v>166</v>
      </c>
      <c r="CT144" s="228">
        <v>136</v>
      </c>
      <c r="CU144" s="228">
        <v>31</v>
      </c>
      <c r="CV144" s="229">
        <v>0.22489999999999999</v>
      </c>
      <c r="CW144" s="228">
        <v>641</v>
      </c>
      <c r="CX144" s="228">
        <v>625</v>
      </c>
      <c r="CY144" s="228">
        <v>17</v>
      </c>
      <c r="CZ144" s="229">
        <v>2.6700000000000002E-2</v>
      </c>
      <c r="DA144" s="228">
        <v>45.96</v>
      </c>
      <c r="DB144" s="228">
        <v>38.35</v>
      </c>
      <c r="DC144" s="228">
        <v>7.61</v>
      </c>
      <c r="DD144" s="228">
        <v>7.61</v>
      </c>
      <c r="DE144" s="228">
        <v>49.85</v>
      </c>
      <c r="DF144" s="228">
        <v>49.57</v>
      </c>
      <c r="DG144" s="228">
        <v>-3.89</v>
      </c>
      <c r="DH144" s="228">
        <v>0.28000000000000003</v>
      </c>
      <c r="DI144" s="228">
        <v>43.79</v>
      </c>
      <c r="DJ144" s="228">
        <v>37.49</v>
      </c>
      <c r="DK144" s="228">
        <v>6.3</v>
      </c>
      <c r="DL144" s="228">
        <v>6.3</v>
      </c>
      <c r="DM144" s="228">
        <v>49.03</v>
      </c>
      <c r="DN144" s="228">
        <v>41.29</v>
      </c>
      <c r="DO144" s="228">
        <v>7.74</v>
      </c>
      <c r="DP144" s="228">
        <v>7.74</v>
      </c>
      <c r="DQ144" s="228">
        <v>0.76</v>
      </c>
      <c r="DR144" s="228">
        <v>0.65</v>
      </c>
      <c r="DS144" s="228">
        <v>0.11</v>
      </c>
      <c r="DT144" s="229">
        <v>0.16919999999999999</v>
      </c>
      <c r="DU144" s="231">
        <v>1500</v>
      </c>
      <c r="DV144" s="231">
        <v>1300</v>
      </c>
      <c r="DW144" s="228">
        <v>0.71</v>
      </c>
      <c r="DX144" s="228">
        <v>0.28999999999999998</v>
      </c>
      <c r="DY144" s="228">
        <v>0.42</v>
      </c>
      <c r="DZ144" s="229">
        <v>1.4482999999999999</v>
      </c>
      <c r="EA144" s="229">
        <v>7.0900000000000005E-2</v>
      </c>
      <c r="EB144" s="230">
        <v>105000</v>
      </c>
      <c r="EC144" s="229">
        <v>2.0999999999999999E-3</v>
      </c>
      <c r="ED144" s="229">
        <v>7.0900000000000005E-2</v>
      </c>
      <c r="EE144" s="228">
        <v>-5.44</v>
      </c>
      <c r="EF144" s="229">
        <v>-4.0000000000000001E-3</v>
      </c>
      <c r="EG144" s="230">
        <v>261916</v>
      </c>
      <c r="EH144" s="230">
        <v>100128</v>
      </c>
      <c r="EI144" s="229">
        <v>1.6157999999999999</v>
      </c>
      <c r="EJ144" s="229">
        <v>0.42609999999999998</v>
      </c>
      <c r="EK144" s="228">
        <v>403.68</v>
      </c>
      <c r="EL144" s="228">
        <v>261.58</v>
      </c>
      <c r="EM144" s="228">
        <v>249.39</v>
      </c>
      <c r="EN144" s="228">
        <v>15.05</v>
      </c>
      <c r="EO144" s="228">
        <v>914.65</v>
      </c>
      <c r="EP144" s="228">
        <v>486.83</v>
      </c>
      <c r="EQ144" s="228">
        <v>427.82</v>
      </c>
      <c r="ER144" s="229">
        <v>0.87880000000000003</v>
      </c>
      <c r="ES144" s="228">
        <v>233.86</v>
      </c>
      <c r="ET144" s="228">
        <v>162.15</v>
      </c>
      <c r="EU144" s="228">
        <v>256.60000000000002</v>
      </c>
      <c r="EV144" s="231">
        <v>12267678</v>
      </c>
      <c r="EW144" s="228">
        <v>652.61</v>
      </c>
      <c r="EX144" s="228">
        <v>649.23</v>
      </c>
      <c r="EY144" s="228">
        <v>3.38</v>
      </c>
      <c r="EZ144" s="229">
        <v>5.1999999999999998E-3</v>
      </c>
      <c r="FA144" s="229">
        <v>0.39489999999999997</v>
      </c>
      <c r="FB144" s="227" t="s">
        <v>568</v>
      </c>
      <c r="FC144">
        <f t="shared" si="2"/>
        <v>19</v>
      </c>
    </row>
    <row r="145" spans="1:159" ht="17.25" thickBot="1" x14ac:dyDescent="0.3">
      <c r="A145" s="226">
        <v>46064</v>
      </c>
      <c r="B145" s="227" t="s">
        <v>615</v>
      </c>
      <c r="C145" s="227" t="s">
        <v>613</v>
      </c>
      <c r="D145" s="228">
        <v>3125</v>
      </c>
      <c r="E145" s="228">
        <v>13</v>
      </c>
      <c r="F145" s="228">
        <v>278.36</v>
      </c>
      <c r="G145" s="228">
        <v>281.73</v>
      </c>
      <c r="H145" s="228">
        <v>-3.37</v>
      </c>
      <c r="I145" s="229">
        <v>-1.2E-2</v>
      </c>
      <c r="J145" s="228">
        <v>277.54000000000002</v>
      </c>
      <c r="K145" s="228">
        <v>280.69</v>
      </c>
      <c r="L145" s="228">
        <v>-3.15</v>
      </c>
      <c r="M145" s="229">
        <v>-1.12E-2</v>
      </c>
      <c r="N145" s="228">
        <v>278.36</v>
      </c>
      <c r="O145" s="228">
        <v>281.73</v>
      </c>
      <c r="P145" s="228">
        <v>-3.37</v>
      </c>
      <c r="Q145" s="229">
        <v>-1.2E-2</v>
      </c>
      <c r="R145" s="228">
        <v>278.66000000000003</v>
      </c>
      <c r="S145" s="228">
        <v>282.17</v>
      </c>
      <c r="T145" s="228">
        <v>-3.51</v>
      </c>
      <c r="U145" s="229">
        <v>-1.24E-2</v>
      </c>
      <c r="V145" s="228">
        <v>278.08</v>
      </c>
      <c r="W145" s="228">
        <v>280.89999999999998</v>
      </c>
      <c r="X145" s="228">
        <v>-2.82</v>
      </c>
      <c r="Y145" s="229">
        <v>-0.01</v>
      </c>
      <c r="Z145" s="228">
        <v>0.82</v>
      </c>
      <c r="AA145" s="228">
        <v>1.04</v>
      </c>
      <c r="AB145" s="228">
        <v>-0.22</v>
      </c>
      <c r="AC145" s="229">
        <v>3.0000000000000001E-3</v>
      </c>
      <c r="AD145" s="228">
        <v>0.82</v>
      </c>
      <c r="AE145" s="228">
        <v>1.04</v>
      </c>
      <c r="AF145" s="228">
        <v>-0.22</v>
      </c>
      <c r="AG145" s="229">
        <v>3.0000000000000001E-3</v>
      </c>
      <c r="AH145" s="228">
        <v>1.1200000000000001</v>
      </c>
      <c r="AI145" s="228">
        <v>1.48</v>
      </c>
      <c r="AJ145" s="228">
        <v>-0.36</v>
      </c>
      <c r="AK145" s="229">
        <v>4.0000000000000001E-3</v>
      </c>
      <c r="AL145" s="228">
        <v>0.54</v>
      </c>
      <c r="AM145" s="228">
        <v>0.21</v>
      </c>
      <c r="AN145" s="228">
        <v>0.33</v>
      </c>
      <c r="AO145" s="229">
        <v>1.9E-3</v>
      </c>
      <c r="AP145" s="228">
        <v>280.67</v>
      </c>
      <c r="AQ145" s="228">
        <v>281.35000000000002</v>
      </c>
      <c r="AR145" s="228">
        <v>0</v>
      </c>
      <c r="AS145" s="228">
        <v>213</v>
      </c>
      <c r="AT145" s="228">
        <v>323</v>
      </c>
      <c r="AU145" s="228">
        <v>-110</v>
      </c>
      <c r="AV145" s="229">
        <v>-0.33989999999999998</v>
      </c>
      <c r="AW145" s="228">
        <v>195</v>
      </c>
      <c r="AX145" s="228">
        <v>293</v>
      </c>
      <c r="AY145" s="228">
        <v>-98</v>
      </c>
      <c r="AZ145" s="229">
        <v>-0.33500000000000002</v>
      </c>
      <c r="BA145" s="228">
        <v>17</v>
      </c>
      <c r="BB145" s="228">
        <v>28</v>
      </c>
      <c r="BC145" s="228">
        <v>-11</v>
      </c>
      <c r="BD145" s="229">
        <v>-0.40679999999999999</v>
      </c>
      <c r="BE145" s="228">
        <v>2</v>
      </c>
      <c r="BF145" s="228">
        <v>2</v>
      </c>
      <c r="BG145" s="228">
        <v>0</v>
      </c>
      <c r="BH145" s="229">
        <v>-0.125</v>
      </c>
      <c r="BI145" s="228">
        <v>694</v>
      </c>
      <c r="BJ145" s="228">
        <v>922</v>
      </c>
      <c r="BK145" s="228">
        <v>-228</v>
      </c>
      <c r="BL145" s="229">
        <v>-0.2472</v>
      </c>
      <c r="BM145" s="228">
        <v>448</v>
      </c>
      <c r="BN145" s="228">
        <v>427</v>
      </c>
      <c r="BO145" s="228">
        <v>21</v>
      </c>
      <c r="BP145" s="229">
        <v>4.8899999999999999E-2</v>
      </c>
      <c r="BQ145" s="230">
        <v>1356</v>
      </c>
      <c r="BR145" s="230">
        <v>1672</v>
      </c>
      <c r="BS145" s="228">
        <v>-317</v>
      </c>
      <c r="BT145" s="229">
        <v>-0.1895</v>
      </c>
      <c r="BU145" s="230">
        <v>9162382</v>
      </c>
      <c r="BV145" s="230">
        <v>15598976</v>
      </c>
      <c r="BW145" s="230">
        <v>-6436594</v>
      </c>
      <c r="BX145" s="229">
        <v>-0.41260000000000002</v>
      </c>
      <c r="BY145" s="230">
        <v>1210</v>
      </c>
      <c r="BZ145" s="230">
        <v>1209</v>
      </c>
      <c r="CA145" s="228">
        <v>1</v>
      </c>
      <c r="CB145" s="229">
        <v>8.9999999999999998E-4</v>
      </c>
      <c r="CC145" s="230">
        <v>1165</v>
      </c>
      <c r="CD145" s="230">
        <v>1166</v>
      </c>
      <c r="CE145" s="228">
        <v>-1</v>
      </c>
      <c r="CF145" s="229">
        <v>-1E-3</v>
      </c>
      <c r="CG145" s="228">
        <v>41</v>
      </c>
      <c r="CH145" s="228">
        <v>39</v>
      </c>
      <c r="CI145" s="228">
        <v>2</v>
      </c>
      <c r="CJ145" s="229">
        <v>5.1900000000000002E-2</v>
      </c>
      <c r="CK145" s="228">
        <v>5</v>
      </c>
      <c r="CL145" s="228">
        <v>5</v>
      </c>
      <c r="CM145" s="228">
        <v>0</v>
      </c>
      <c r="CN145" s="229">
        <v>5.5599999999999997E-2</v>
      </c>
      <c r="CO145" s="228">
        <v>500</v>
      </c>
      <c r="CP145" s="228">
        <v>516</v>
      </c>
      <c r="CQ145" s="228">
        <v>-16</v>
      </c>
      <c r="CR145" s="229">
        <v>-3.1E-2</v>
      </c>
      <c r="CS145" s="228">
        <v>616</v>
      </c>
      <c r="CT145" s="228">
        <v>626</v>
      </c>
      <c r="CU145" s="228">
        <v>-10</v>
      </c>
      <c r="CV145" s="229">
        <v>-1.67E-2</v>
      </c>
      <c r="CW145" s="230">
        <v>2325</v>
      </c>
      <c r="CX145" s="230">
        <v>2351</v>
      </c>
      <c r="CY145" s="228">
        <v>-25</v>
      </c>
      <c r="CZ145" s="229">
        <v>-1.0800000000000001E-2</v>
      </c>
      <c r="DA145" s="228">
        <v>34.729999999999997</v>
      </c>
      <c r="DB145" s="228">
        <v>35.49</v>
      </c>
      <c r="DC145" s="228">
        <v>-0.76</v>
      </c>
      <c r="DD145" s="228">
        <v>-0.76</v>
      </c>
      <c r="DE145" s="228">
        <v>36.049999999999997</v>
      </c>
      <c r="DF145" s="228">
        <v>36.11</v>
      </c>
      <c r="DG145" s="228">
        <v>-1.32</v>
      </c>
      <c r="DH145" s="228">
        <v>-0.06</v>
      </c>
      <c r="DI145" s="228">
        <v>33.46</v>
      </c>
      <c r="DJ145" s="228">
        <v>34.43</v>
      </c>
      <c r="DK145" s="228">
        <v>-0.97</v>
      </c>
      <c r="DL145" s="228">
        <v>-0.97</v>
      </c>
      <c r="DM145" s="228">
        <v>36.71</v>
      </c>
      <c r="DN145" s="228">
        <v>37.75</v>
      </c>
      <c r="DO145" s="228">
        <v>-1.04</v>
      </c>
      <c r="DP145" s="228">
        <v>-1.04</v>
      </c>
      <c r="DQ145" s="228">
        <v>1.23</v>
      </c>
      <c r="DR145" s="228">
        <v>1.21</v>
      </c>
      <c r="DS145" s="228">
        <v>0.02</v>
      </c>
      <c r="DT145" s="229">
        <v>1.6500000000000001E-2</v>
      </c>
      <c r="DU145" s="228">
        <v>300</v>
      </c>
      <c r="DV145" s="228">
        <v>235</v>
      </c>
      <c r="DW145" s="228">
        <v>0.65</v>
      </c>
      <c r="DX145" s="228">
        <v>0.46</v>
      </c>
      <c r="DY145" s="228">
        <v>0.19</v>
      </c>
      <c r="DZ145" s="229">
        <v>0.41299999999999998</v>
      </c>
      <c r="EA145" s="229">
        <v>3.7600000000000001E-2</v>
      </c>
      <c r="EB145" s="230">
        <v>1553125</v>
      </c>
      <c r="EC145" s="229">
        <v>1.1000000000000001E-3</v>
      </c>
      <c r="ED145" s="229">
        <v>3.7600000000000001E-2</v>
      </c>
      <c r="EE145" s="228">
        <v>0.68</v>
      </c>
      <c r="EF145" s="229">
        <v>2.3999999999999998E-3</v>
      </c>
      <c r="EG145" s="230">
        <v>4949145</v>
      </c>
      <c r="EH145" s="230">
        <v>9157081</v>
      </c>
      <c r="EI145" s="229">
        <v>-0.45950000000000002</v>
      </c>
      <c r="EJ145" s="229">
        <v>0.54020000000000001</v>
      </c>
      <c r="EK145" s="228">
        <v>732.75</v>
      </c>
      <c r="EL145" s="228">
        <v>438.31</v>
      </c>
      <c r="EM145" s="228">
        <v>215.18</v>
      </c>
      <c r="EN145" s="228">
        <v>68.180000000000007</v>
      </c>
      <c r="EO145" s="231">
        <v>1386.24</v>
      </c>
      <c r="EP145" s="231">
        <v>1710.25</v>
      </c>
      <c r="EQ145" s="228">
        <v>-324.01</v>
      </c>
      <c r="ER145" s="229">
        <v>-0.1895</v>
      </c>
      <c r="ES145" s="228">
        <v>502.8</v>
      </c>
      <c r="ET145" s="228">
        <v>560.67999999999995</v>
      </c>
      <c r="EU145" s="231">
        <v>1210.21</v>
      </c>
      <c r="EV145" s="231">
        <v>205483040</v>
      </c>
      <c r="EW145" s="231">
        <v>2273.6999999999998</v>
      </c>
      <c r="EX145" s="231">
        <v>2310.4699999999998</v>
      </c>
      <c r="EY145" s="228">
        <v>-36.770000000000003</v>
      </c>
      <c r="EZ145" s="229">
        <v>-1.5900000000000001E-2</v>
      </c>
      <c r="FA145" s="229">
        <v>0.40660000000000002</v>
      </c>
      <c r="FB145" s="227" t="s">
        <v>567</v>
      </c>
      <c r="FC145">
        <f t="shared" si="2"/>
        <v>45</v>
      </c>
    </row>
    <row r="146" spans="1:159" ht="17.25" thickBot="1" x14ac:dyDescent="0.3">
      <c r="A146" s="226">
        <v>46064</v>
      </c>
      <c r="B146" s="227" t="s">
        <v>206</v>
      </c>
      <c r="C146" s="227" t="s">
        <v>528</v>
      </c>
      <c r="D146" s="228">
        <v>350</v>
      </c>
      <c r="E146" s="228">
        <v>13</v>
      </c>
      <c r="F146" s="231">
        <v>1578.9</v>
      </c>
      <c r="G146" s="231">
        <v>1571.5</v>
      </c>
      <c r="H146" s="228">
        <v>7.4</v>
      </c>
      <c r="I146" s="229">
        <v>4.7000000000000002E-3</v>
      </c>
      <c r="J146" s="231">
        <v>1577.3</v>
      </c>
      <c r="K146" s="231">
        <v>1568.9</v>
      </c>
      <c r="L146" s="228">
        <v>8.4</v>
      </c>
      <c r="M146" s="229">
        <v>5.4000000000000003E-3</v>
      </c>
      <c r="N146" s="231">
        <v>1578.9</v>
      </c>
      <c r="O146" s="231">
        <v>1571.5</v>
      </c>
      <c r="P146" s="228">
        <v>7.4</v>
      </c>
      <c r="Q146" s="229">
        <v>4.7000000000000002E-3</v>
      </c>
      <c r="R146" s="231">
        <v>1575.4</v>
      </c>
      <c r="S146" s="231">
        <v>1566.8</v>
      </c>
      <c r="T146" s="228">
        <v>8.6</v>
      </c>
      <c r="U146" s="229">
        <v>5.4999999999999997E-3</v>
      </c>
      <c r="V146" s="231">
        <v>1576.5</v>
      </c>
      <c r="W146" s="231">
        <v>1565.4</v>
      </c>
      <c r="X146" s="228">
        <v>11.1</v>
      </c>
      <c r="Y146" s="229">
        <v>7.1000000000000004E-3</v>
      </c>
      <c r="Z146" s="228">
        <v>1.6</v>
      </c>
      <c r="AA146" s="228">
        <v>2.6</v>
      </c>
      <c r="AB146" s="228">
        <v>-1</v>
      </c>
      <c r="AC146" s="229">
        <v>1E-3</v>
      </c>
      <c r="AD146" s="228">
        <v>1.6</v>
      </c>
      <c r="AE146" s="228">
        <v>2.6</v>
      </c>
      <c r="AF146" s="228">
        <v>-1</v>
      </c>
      <c r="AG146" s="229">
        <v>1E-3</v>
      </c>
      <c r="AH146" s="228">
        <v>-1.9</v>
      </c>
      <c r="AI146" s="228">
        <v>-2.1</v>
      </c>
      <c r="AJ146" s="228">
        <v>0.2</v>
      </c>
      <c r="AK146" s="229">
        <v>-1.1999999999999999E-3</v>
      </c>
      <c r="AL146" s="228">
        <v>-0.8</v>
      </c>
      <c r="AM146" s="228">
        <v>-3.5</v>
      </c>
      <c r="AN146" s="228">
        <v>2.7</v>
      </c>
      <c r="AO146" s="229">
        <v>-5.0000000000000001E-4</v>
      </c>
      <c r="AP146" s="231">
        <v>1570.4</v>
      </c>
      <c r="AQ146" s="231">
        <v>1571.57</v>
      </c>
      <c r="AR146" s="228">
        <v>0</v>
      </c>
      <c r="AS146" s="228">
        <v>80</v>
      </c>
      <c r="AT146" s="228">
        <v>90</v>
      </c>
      <c r="AU146" s="228">
        <v>-10</v>
      </c>
      <c r="AV146" s="229">
        <v>-0.114</v>
      </c>
      <c r="AW146" s="228">
        <v>74</v>
      </c>
      <c r="AX146" s="228">
        <v>81</v>
      </c>
      <c r="AY146" s="228">
        <v>-7</v>
      </c>
      <c r="AZ146" s="229">
        <v>-8.6099999999999996E-2</v>
      </c>
      <c r="BA146" s="228">
        <v>5</v>
      </c>
      <c r="BB146" s="228">
        <v>9</v>
      </c>
      <c r="BC146" s="228">
        <v>-4</v>
      </c>
      <c r="BD146" s="229">
        <v>-0.39879999999999999</v>
      </c>
      <c r="BE146" s="228">
        <v>1</v>
      </c>
      <c r="BF146" s="228">
        <v>0</v>
      </c>
      <c r="BG146" s="228">
        <v>0</v>
      </c>
      <c r="BH146" s="229">
        <v>1</v>
      </c>
      <c r="BI146" s="228">
        <v>208</v>
      </c>
      <c r="BJ146" s="228">
        <v>246</v>
      </c>
      <c r="BK146" s="228">
        <v>-37</v>
      </c>
      <c r="BL146" s="229">
        <v>-0.15179999999999999</v>
      </c>
      <c r="BM146" s="228">
        <v>81</v>
      </c>
      <c r="BN146" s="228">
        <v>130</v>
      </c>
      <c r="BO146" s="228">
        <v>-49</v>
      </c>
      <c r="BP146" s="229">
        <v>-0.37469999999999998</v>
      </c>
      <c r="BQ146" s="228">
        <v>369</v>
      </c>
      <c r="BR146" s="228">
        <v>466</v>
      </c>
      <c r="BS146" s="228">
        <v>-96</v>
      </c>
      <c r="BT146" s="229">
        <v>-0.20660000000000001</v>
      </c>
      <c r="BU146" s="230">
        <v>180904</v>
      </c>
      <c r="BV146" s="230">
        <v>266837</v>
      </c>
      <c r="BW146" s="230">
        <v>-85933</v>
      </c>
      <c r="BX146" s="229">
        <v>-0.32200000000000001</v>
      </c>
      <c r="BY146" s="228">
        <v>903</v>
      </c>
      <c r="BZ146" s="228">
        <v>912</v>
      </c>
      <c r="CA146" s="228">
        <v>-9</v>
      </c>
      <c r="CB146" s="229">
        <v>-9.9000000000000008E-3</v>
      </c>
      <c r="CC146" s="228">
        <v>877</v>
      </c>
      <c r="CD146" s="228">
        <v>886</v>
      </c>
      <c r="CE146" s="228">
        <v>-10</v>
      </c>
      <c r="CF146" s="229">
        <v>-1.0999999999999999E-2</v>
      </c>
      <c r="CG146" s="228">
        <v>25</v>
      </c>
      <c r="CH146" s="228">
        <v>25</v>
      </c>
      <c r="CI146" s="228">
        <v>0</v>
      </c>
      <c r="CJ146" s="229">
        <v>2.0299999999999999E-2</v>
      </c>
      <c r="CK146" s="228">
        <v>1</v>
      </c>
      <c r="CL146" s="228">
        <v>1</v>
      </c>
      <c r="CM146" s="228">
        <v>0</v>
      </c>
      <c r="CN146" s="229">
        <v>0.125</v>
      </c>
      <c r="CO146" s="228">
        <v>333</v>
      </c>
      <c r="CP146" s="228">
        <v>310</v>
      </c>
      <c r="CQ146" s="228">
        <v>22</v>
      </c>
      <c r="CR146" s="229">
        <v>7.2099999999999997E-2</v>
      </c>
      <c r="CS146" s="228">
        <v>281</v>
      </c>
      <c r="CT146" s="228">
        <v>288</v>
      </c>
      <c r="CU146" s="228">
        <v>-7</v>
      </c>
      <c r="CV146" s="229">
        <v>-2.47E-2</v>
      </c>
      <c r="CW146" s="230">
        <v>1517</v>
      </c>
      <c r="CX146" s="230">
        <v>1511</v>
      </c>
      <c r="CY146" s="228">
        <v>6</v>
      </c>
      <c r="CZ146" s="229">
        <v>4.1000000000000003E-3</v>
      </c>
      <c r="DA146" s="228">
        <v>28.76</v>
      </c>
      <c r="DB146" s="228">
        <v>29.23</v>
      </c>
      <c r="DC146" s="228">
        <v>-0.47</v>
      </c>
      <c r="DD146" s="228">
        <v>-0.47</v>
      </c>
      <c r="DE146" s="228">
        <v>36.99</v>
      </c>
      <c r="DF146" s="228">
        <v>37.07</v>
      </c>
      <c r="DG146" s="228">
        <v>-8.23</v>
      </c>
      <c r="DH146" s="228">
        <v>-0.08</v>
      </c>
      <c r="DI146" s="228">
        <v>28.52</v>
      </c>
      <c r="DJ146" s="228">
        <v>28.62</v>
      </c>
      <c r="DK146" s="228">
        <v>-0.1</v>
      </c>
      <c r="DL146" s="228">
        <v>-0.1</v>
      </c>
      <c r="DM146" s="228">
        <v>29.36</v>
      </c>
      <c r="DN146" s="228">
        <v>30.39</v>
      </c>
      <c r="DO146" s="228">
        <v>-1.03</v>
      </c>
      <c r="DP146" s="228">
        <v>-1.03</v>
      </c>
      <c r="DQ146" s="228">
        <v>0.85</v>
      </c>
      <c r="DR146" s="228">
        <v>0.93</v>
      </c>
      <c r="DS146" s="228">
        <v>-0.08</v>
      </c>
      <c r="DT146" s="229">
        <v>-8.5999999999999993E-2</v>
      </c>
      <c r="DU146" s="231">
        <v>1700</v>
      </c>
      <c r="DV146" s="231">
        <v>1340</v>
      </c>
      <c r="DW146" s="228">
        <v>0.39</v>
      </c>
      <c r="DX146" s="228">
        <v>0.53</v>
      </c>
      <c r="DY146" s="228">
        <v>-0.14000000000000001</v>
      </c>
      <c r="DZ146" s="229">
        <v>-0.26419999999999999</v>
      </c>
      <c r="EA146" s="229">
        <v>2.9399999999999999E-2</v>
      </c>
      <c r="EB146" s="230">
        <v>163800</v>
      </c>
      <c r="EC146" s="229">
        <v>-2.2000000000000001E-3</v>
      </c>
      <c r="ED146" s="229">
        <v>2.9399999999999999E-2</v>
      </c>
      <c r="EE146" s="228">
        <v>1.17</v>
      </c>
      <c r="EF146" s="229">
        <v>6.9999999999999999E-4</v>
      </c>
      <c r="EG146" s="230">
        <v>64171</v>
      </c>
      <c r="EH146" s="230">
        <v>105521</v>
      </c>
      <c r="EI146" s="229">
        <v>-0.39190000000000003</v>
      </c>
      <c r="EJ146" s="229">
        <v>0.35470000000000002</v>
      </c>
      <c r="EK146" s="228">
        <v>215.93</v>
      </c>
      <c r="EL146" s="228">
        <v>78.78</v>
      </c>
      <c r="EM146" s="228">
        <v>79.48</v>
      </c>
      <c r="EN146" s="228">
        <v>24.74</v>
      </c>
      <c r="EO146" s="228">
        <v>374.2</v>
      </c>
      <c r="EP146" s="228">
        <v>467.14</v>
      </c>
      <c r="EQ146" s="228">
        <v>-92.94</v>
      </c>
      <c r="ER146" s="229">
        <v>-0.19900000000000001</v>
      </c>
      <c r="ES146" s="228">
        <v>333.46</v>
      </c>
      <c r="ET146" s="228">
        <v>259.37</v>
      </c>
      <c r="EU146" s="228">
        <v>903.14</v>
      </c>
      <c r="EV146" s="231">
        <v>17614093</v>
      </c>
      <c r="EW146" s="231">
        <v>1495.97</v>
      </c>
      <c r="EX146" s="231">
        <v>1483.93</v>
      </c>
      <c r="EY146" s="228">
        <v>12.04</v>
      </c>
      <c r="EZ146" s="229">
        <v>8.0999999999999996E-3</v>
      </c>
      <c r="FA146" s="229">
        <v>0.54549999999999998</v>
      </c>
      <c r="FB146" s="227" t="s">
        <v>556</v>
      </c>
      <c r="FC146">
        <f t="shared" si="2"/>
        <v>26</v>
      </c>
    </row>
    <row r="147" spans="1:159" ht="17.25" thickBot="1" x14ac:dyDescent="0.3">
      <c r="A147" s="226">
        <v>46064</v>
      </c>
      <c r="B147" s="227" t="s">
        <v>221</v>
      </c>
      <c r="C147" s="227" t="s">
        <v>518</v>
      </c>
      <c r="D147" s="228">
        <v>75</v>
      </c>
      <c r="E147" s="228">
        <v>13</v>
      </c>
      <c r="F147" s="231">
        <v>7210.5</v>
      </c>
      <c r="G147" s="231">
        <v>7366</v>
      </c>
      <c r="H147" s="228">
        <v>-155.5</v>
      </c>
      <c r="I147" s="229">
        <v>-2.1100000000000001E-2</v>
      </c>
      <c r="J147" s="231">
        <v>7217.5</v>
      </c>
      <c r="K147" s="231">
        <v>7342</v>
      </c>
      <c r="L147" s="228">
        <v>-124.5</v>
      </c>
      <c r="M147" s="229">
        <v>-1.7000000000000001E-2</v>
      </c>
      <c r="N147" s="231">
        <v>7210.5</v>
      </c>
      <c r="O147" s="231">
        <v>7366</v>
      </c>
      <c r="P147" s="228">
        <v>-155.5</v>
      </c>
      <c r="Q147" s="229">
        <v>-2.1100000000000001E-2</v>
      </c>
      <c r="R147" s="231">
        <v>7227.5</v>
      </c>
      <c r="S147" s="231">
        <v>7388</v>
      </c>
      <c r="T147" s="228">
        <v>-160.5</v>
      </c>
      <c r="U147" s="229">
        <v>-2.1700000000000001E-2</v>
      </c>
      <c r="V147" s="231">
        <v>7263</v>
      </c>
      <c r="W147" s="231">
        <v>7425.5</v>
      </c>
      <c r="X147" s="228">
        <v>-162.5</v>
      </c>
      <c r="Y147" s="229">
        <v>-2.1899999999999999E-2</v>
      </c>
      <c r="Z147" s="228">
        <v>-7</v>
      </c>
      <c r="AA147" s="228">
        <v>24</v>
      </c>
      <c r="AB147" s="228">
        <v>-31</v>
      </c>
      <c r="AC147" s="229">
        <v>-1E-3</v>
      </c>
      <c r="AD147" s="228">
        <v>-7</v>
      </c>
      <c r="AE147" s="228">
        <v>24</v>
      </c>
      <c r="AF147" s="228">
        <v>-31</v>
      </c>
      <c r="AG147" s="229">
        <v>-1E-3</v>
      </c>
      <c r="AH147" s="228">
        <v>10</v>
      </c>
      <c r="AI147" s="228">
        <v>46</v>
      </c>
      <c r="AJ147" s="228">
        <v>-36</v>
      </c>
      <c r="AK147" s="229">
        <v>1.4E-3</v>
      </c>
      <c r="AL147" s="228">
        <v>45.5</v>
      </c>
      <c r="AM147" s="228">
        <v>83.5</v>
      </c>
      <c r="AN147" s="228">
        <v>-38</v>
      </c>
      <c r="AO147" s="229">
        <v>6.3E-3</v>
      </c>
      <c r="AP147" s="231">
        <v>7260.15</v>
      </c>
      <c r="AQ147" s="231">
        <v>7273.73</v>
      </c>
      <c r="AR147" s="228">
        <v>0</v>
      </c>
      <c r="AS147" s="228">
        <v>110</v>
      </c>
      <c r="AT147" s="228">
        <v>115</v>
      </c>
      <c r="AU147" s="228">
        <v>-4</v>
      </c>
      <c r="AV147" s="229">
        <v>-3.8600000000000002E-2</v>
      </c>
      <c r="AW147" s="228">
        <v>89</v>
      </c>
      <c r="AX147" s="228">
        <v>104</v>
      </c>
      <c r="AY147" s="228">
        <v>-15</v>
      </c>
      <c r="AZ147" s="229">
        <v>-0.14499999999999999</v>
      </c>
      <c r="BA147" s="228">
        <v>19</v>
      </c>
      <c r="BB147" s="228">
        <v>10</v>
      </c>
      <c r="BC147" s="228">
        <v>9</v>
      </c>
      <c r="BD147" s="229">
        <v>0.92969999999999997</v>
      </c>
      <c r="BE147" s="228">
        <v>2</v>
      </c>
      <c r="BF147" s="228">
        <v>1</v>
      </c>
      <c r="BG147" s="228">
        <v>1</v>
      </c>
      <c r="BH147" s="229">
        <v>1.2</v>
      </c>
      <c r="BI147" s="228">
        <v>406</v>
      </c>
      <c r="BJ147" s="228">
        <v>431</v>
      </c>
      <c r="BK147" s="228">
        <v>-25</v>
      </c>
      <c r="BL147" s="229">
        <v>-5.8799999999999998E-2</v>
      </c>
      <c r="BM147" s="228">
        <v>194</v>
      </c>
      <c r="BN147" s="228">
        <v>127</v>
      </c>
      <c r="BO147" s="228">
        <v>67</v>
      </c>
      <c r="BP147" s="229">
        <v>0.52470000000000006</v>
      </c>
      <c r="BQ147" s="228">
        <v>710</v>
      </c>
      <c r="BR147" s="228">
        <v>673</v>
      </c>
      <c r="BS147" s="228">
        <v>37</v>
      </c>
      <c r="BT147" s="229">
        <v>5.4899999999999997E-2</v>
      </c>
      <c r="BU147" s="230">
        <v>77639</v>
      </c>
      <c r="BV147" s="230">
        <v>127930</v>
      </c>
      <c r="BW147" s="230">
        <v>-50291</v>
      </c>
      <c r="BX147" s="229">
        <v>-0.3931</v>
      </c>
      <c r="BY147" s="228">
        <v>942</v>
      </c>
      <c r="BZ147" s="228">
        <v>925</v>
      </c>
      <c r="CA147" s="228">
        <v>17</v>
      </c>
      <c r="CB147" s="229">
        <v>1.8100000000000002E-2</v>
      </c>
      <c r="CC147" s="228">
        <v>887</v>
      </c>
      <c r="CD147" s="228">
        <v>878</v>
      </c>
      <c r="CE147" s="228">
        <v>9</v>
      </c>
      <c r="CF147" s="229">
        <v>0.01</v>
      </c>
      <c r="CG147" s="228">
        <v>46</v>
      </c>
      <c r="CH147" s="228">
        <v>40</v>
      </c>
      <c r="CI147" s="228">
        <v>7</v>
      </c>
      <c r="CJ147" s="229">
        <v>0.16869999999999999</v>
      </c>
      <c r="CK147" s="228">
        <v>8</v>
      </c>
      <c r="CL147" s="228">
        <v>7</v>
      </c>
      <c r="CM147" s="228">
        <v>1</v>
      </c>
      <c r="CN147" s="229">
        <v>0.16789999999999999</v>
      </c>
      <c r="CO147" s="228">
        <v>502</v>
      </c>
      <c r="CP147" s="228">
        <v>464</v>
      </c>
      <c r="CQ147" s="228">
        <v>38</v>
      </c>
      <c r="CR147" s="229">
        <v>8.1699999999999995E-2</v>
      </c>
      <c r="CS147" s="228">
        <v>292</v>
      </c>
      <c r="CT147" s="228">
        <v>283</v>
      </c>
      <c r="CU147" s="228">
        <v>10</v>
      </c>
      <c r="CV147" s="229">
        <v>3.3700000000000001E-2</v>
      </c>
      <c r="CW147" s="230">
        <v>1736</v>
      </c>
      <c r="CX147" s="230">
        <v>1672</v>
      </c>
      <c r="CY147" s="228">
        <v>64</v>
      </c>
      <c r="CZ147" s="229">
        <v>3.8399999999999997E-2</v>
      </c>
      <c r="DA147" s="228">
        <v>39.49</v>
      </c>
      <c r="DB147" s="228">
        <v>36.58</v>
      </c>
      <c r="DC147" s="228">
        <v>2.91</v>
      </c>
      <c r="DD147" s="228">
        <v>2.91</v>
      </c>
      <c r="DE147" s="228">
        <v>38.36</v>
      </c>
      <c r="DF147" s="228">
        <v>38.35</v>
      </c>
      <c r="DG147" s="228">
        <v>1.1299999999999999</v>
      </c>
      <c r="DH147" s="228">
        <v>0.01</v>
      </c>
      <c r="DI147" s="228">
        <v>40.39</v>
      </c>
      <c r="DJ147" s="228">
        <v>35.99</v>
      </c>
      <c r="DK147" s="228">
        <v>4.4000000000000004</v>
      </c>
      <c r="DL147" s="228">
        <v>4.4000000000000004</v>
      </c>
      <c r="DM147" s="228">
        <v>37.61</v>
      </c>
      <c r="DN147" s="228">
        <v>38.58</v>
      </c>
      <c r="DO147" s="228">
        <v>-0.97</v>
      </c>
      <c r="DP147" s="228">
        <v>-0.97</v>
      </c>
      <c r="DQ147" s="228">
        <v>0.57999999999999996</v>
      </c>
      <c r="DR147" s="228">
        <v>0.61</v>
      </c>
      <c r="DS147" s="228">
        <v>-0.03</v>
      </c>
      <c r="DT147" s="229">
        <v>-4.9200000000000001E-2</v>
      </c>
      <c r="DU147" s="231">
        <v>8000</v>
      </c>
      <c r="DV147" s="231">
        <v>7000</v>
      </c>
      <c r="DW147" s="228">
        <v>0.48</v>
      </c>
      <c r="DX147" s="228">
        <v>0.3</v>
      </c>
      <c r="DY147" s="228">
        <v>0.18</v>
      </c>
      <c r="DZ147" s="229">
        <v>0.6</v>
      </c>
      <c r="EA147" s="229">
        <v>5.8099999999999999E-2</v>
      </c>
      <c r="EB147" s="230">
        <v>64950</v>
      </c>
      <c r="EC147" s="229">
        <v>2.3999999999999998E-3</v>
      </c>
      <c r="ED147" s="229">
        <v>5.8099999999999999E-2</v>
      </c>
      <c r="EE147" s="228">
        <v>13.58</v>
      </c>
      <c r="EF147" s="229">
        <v>1.9E-3</v>
      </c>
      <c r="EG147" s="230">
        <v>36079</v>
      </c>
      <c r="EH147" s="230">
        <v>64252</v>
      </c>
      <c r="EI147" s="229">
        <v>-0.4385</v>
      </c>
      <c r="EJ147" s="229">
        <v>0.4647</v>
      </c>
      <c r="EK147" s="228">
        <v>444.1</v>
      </c>
      <c r="EL147" s="228">
        <v>191.15</v>
      </c>
      <c r="EM147" s="228">
        <v>111.13</v>
      </c>
      <c r="EN147" s="228">
        <v>33.659999999999997</v>
      </c>
      <c r="EO147" s="228">
        <v>746.38</v>
      </c>
      <c r="EP147" s="228">
        <v>708.44</v>
      </c>
      <c r="EQ147" s="228">
        <v>37.94</v>
      </c>
      <c r="ER147" s="229">
        <v>5.3600000000000002E-2</v>
      </c>
      <c r="ES147" s="228">
        <v>549.63</v>
      </c>
      <c r="ET147" s="228">
        <v>299.52999999999997</v>
      </c>
      <c r="EU147" s="228">
        <v>941.73</v>
      </c>
      <c r="EV147" s="231">
        <v>3582756</v>
      </c>
      <c r="EW147" s="231">
        <v>1790.9</v>
      </c>
      <c r="EX147" s="231">
        <v>1748.12</v>
      </c>
      <c r="EY147" s="228">
        <v>42.78</v>
      </c>
      <c r="EZ147" s="229">
        <v>2.4500000000000001E-2</v>
      </c>
      <c r="FA147" s="229">
        <v>0.67200000000000004</v>
      </c>
      <c r="FB147" s="227" t="s">
        <v>567</v>
      </c>
      <c r="FC147">
        <f t="shared" si="2"/>
        <v>55</v>
      </c>
    </row>
    <row r="148" spans="1:159" ht="17.25" thickBot="1" x14ac:dyDescent="0.3">
      <c r="A148" s="226">
        <v>46064</v>
      </c>
      <c r="B148" s="227" t="s">
        <v>193</v>
      </c>
      <c r="C148" s="227" t="s">
        <v>587</v>
      </c>
      <c r="D148" s="228">
        <v>1400</v>
      </c>
      <c r="E148" s="228">
        <v>13</v>
      </c>
      <c r="F148" s="228">
        <v>473.8</v>
      </c>
      <c r="G148" s="228">
        <v>483.8</v>
      </c>
      <c r="H148" s="228">
        <v>-10</v>
      </c>
      <c r="I148" s="229">
        <v>-2.07E-2</v>
      </c>
      <c r="J148" s="228">
        <v>479.25</v>
      </c>
      <c r="K148" s="228">
        <v>488.85</v>
      </c>
      <c r="L148" s="228">
        <v>-9.6</v>
      </c>
      <c r="M148" s="229">
        <v>-1.9599999999999999E-2</v>
      </c>
      <c r="N148" s="228">
        <v>473.8</v>
      </c>
      <c r="O148" s="228">
        <v>483.8</v>
      </c>
      <c r="P148" s="228">
        <v>-10</v>
      </c>
      <c r="Q148" s="229">
        <v>-2.07E-2</v>
      </c>
      <c r="R148" s="228">
        <v>475.05</v>
      </c>
      <c r="S148" s="228">
        <v>484.95</v>
      </c>
      <c r="T148" s="228">
        <v>-9.9</v>
      </c>
      <c r="U148" s="229">
        <v>-2.0400000000000001E-2</v>
      </c>
      <c r="V148" s="228">
        <v>476.45</v>
      </c>
      <c r="W148" s="228">
        <v>486.1</v>
      </c>
      <c r="X148" s="228">
        <v>-9.65</v>
      </c>
      <c r="Y148" s="229">
        <v>-1.9900000000000001E-2</v>
      </c>
      <c r="Z148" s="228">
        <v>-5.45</v>
      </c>
      <c r="AA148" s="228">
        <v>-5.05</v>
      </c>
      <c r="AB148" s="228">
        <v>-0.4</v>
      </c>
      <c r="AC148" s="229">
        <v>-1.14E-2</v>
      </c>
      <c r="AD148" s="228">
        <v>-5.45</v>
      </c>
      <c r="AE148" s="228">
        <v>-5.05</v>
      </c>
      <c r="AF148" s="228">
        <v>-0.4</v>
      </c>
      <c r="AG148" s="229">
        <v>-1.14E-2</v>
      </c>
      <c r="AH148" s="228">
        <v>-4.2</v>
      </c>
      <c r="AI148" s="228">
        <v>-3.9</v>
      </c>
      <c r="AJ148" s="228">
        <v>-0.3</v>
      </c>
      <c r="AK148" s="229">
        <v>-8.8000000000000005E-3</v>
      </c>
      <c r="AL148" s="228">
        <v>-2.8</v>
      </c>
      <c r="AM148" s="228">
        <v>-2.75</v>
      </c>
      <c r="AN148" s="228">
        <v>-0.05</v>
      </c>
      <c r="AO148" s="229">
        <v>-5.7999999999999996E-3</v>
      </c>
      <c r="AP148" s="228">
        <v>475.78</v>
      </c>
      <c r="AQ148" s="228">
        <v>477.59</v>
      </c>
      <c r="AR148" s="228">
        <v>0</v>
      </c>
      <c r="AS148" s="228">
        <v>612</v>
      </c>
      <c r="AT148" s="228">
        <v>279</v>
      </c>
      <c r="AU148" s="228">
        <v>332</v>
      </c>
      <c r="AV148" s="229">
        <v>1.1904999999999999</v>
      </c>
      <c r="AW148" s="228">
        <v>587</v>
      </c>
      <c r="AX148" s="228">
        <v>260</v>
      </c>
      <c r="AY148" s="228">
        <v>326</v>
      </c>
      <c r="AZ148" s="229">
        <v>1.254</v>
      </c>
      <c r="BA148" s="228">
        <v>22</v>
      </c>
      <c r="BB148" s="228">
        <v>17</v>
      </c>
      <c r="BC148" s="228">
        <v>5</v>
      </c>
      <c r="BD148" s="229">
        <v>0.31909999999999999</v>
      </c>
      <c r="BE148" s="228">
        <v>2</v>
      </c>
      <c r="BF148" s="228">
        <v>2</v>
      </c>
      <c r="BG148" s="228">
        <v>0</v>
      </c>
      <c r="BH148" s="229">
        <v>0.25929999999999997</v>
      </c>
      <c r="BI148" s="230">
        <v>1513</v>
      </c>
      <c r="BJ148" s="228">
        <v>846</v>
      </c>
      <c r="BK148" s="228">
        <v>667</v>
      </c>
      <c r="BL148" s="229">
        <v>0.78910000000000002</v>
      </c>
      <c r="BM148" s="228">
        <v>642</v>
      </c>
      <c r="BN148" s="228">
        <v>312</v>
      </c>
      <c r="BO148" s="228">
        <v>330</v>
      </c>
      <c r="BP148" s="229">
        <v>1.0578000000000001</v>
      </c>
      <c r="BQ148" s="230">
        <v>2767</v>
      </c>
      <c r="BR148" s="230">
        <v>1437</v>
      </c>
      <c r="BS148" s="230">
        <v>1330</v>
      </c>
      <c r="BT148" s="229">
        <v>0.9254</v>
      </c>
      <c r="BU148" s="230">
        <v>9412439</v>
      </c>
      <c r="BV148" s="230">
        <v>2152926</v>
      </c>
      <c r="BW148" s="230">
        <v>7259513</v>
      </c>
      <c r="BX148" s="229">
        <v>3.3719000000000001</v>
      </c>
      <c r="BY148" s="228">
        <v>940</v>
      </c>
      <c r="BZ148" s="228">
        <v>877</v>
      </c>
      <c r="CA148" s="228">
        <v>63</v>
      </c>
      <c r="CB148" s="229">
        <v>7.17E-2</v>
      </c>
      <c r="CC148" s="228">
        <v>894</v>
      </c>
      <c r="CD148" s="228">
        <v>836</v>
      </c>
      <c r="CE148" s="228">
        <v>57</v>
      </c>
      <c r="CF148" s="229">
        <v>6.8599999999999994E-2</v>
      </c>
      <c r="CG148" s="228">
        <v>36</v>
      </c>
      <c r="CH148" s="228">
        <v>31</v>
      </c>
      <c r="CI148" s="228">
        <v>5</v>
      </c>
      <c r="CJ148" s="229">
        <v>0.14410000000000001</v>
      </c>
      <c r="CK148" s="228">
        <v>11</v>
      </c>
      <c r="CL148" s="228">
        <v>10</v>
      </c>
      <c r="CM148" s="228">
        <v>1</v>
      </c>
      <c r="CN148" s="229">
        <v>0.1014</v>
      </c>
      <c r="CO148" s="228">
        <v>714</v>
      </c>
      <c r="CP148" s="228">
        <v>701</v>
      </c>
      <c r="CQ148" s="228">
        <v>12</v>
      </c>
      <c r="CR148" s="229">
        <v>1.72E-2</v>
      </c>
      <c r="CS148" s="228">
        <v>353</v>
      </c>
      <c r="CT148" s="228">
        <v>368</v>
      </c>
      <c r="CU148" s="228">
        <v>-15</v>
      </c>
      <c r="CV148" s="229">
        <v>-3.9800000000000002E-2</v>
      </c>
      <c r="CW148" s="230">
        <v>2007</v>
      </c>
      <c r="CX148" s="230">
        <v>1947</v>
      </c>
      <c r="CY148" s="228">
        <v>60</v>
      </c>
      <c r="CZ148" s="229">
        <v>3.1E-2</v>
      </c>
      <c r="DA148" s="228">
        <v>41.23</v>
      </c>
      <c r="DB148" s="228">
        <v>46.16</v>
      </c>
      <c r="DC148" s="228">
        <v>-4.93</v>
      </c>
      <c r="DD148" s="228">
        <v>-4.93</v>
      </c>
      <c r="DE148" s="228">
        <v>42.77</v>
      </c>
      <c r="DF148" s="228">
        <v>42.79</v>
      </c>
      <c r="DG148" s="228">
        <v>-1.54</v>
      </c>
      <c r="DH148" s="228">
        <v>-0.02</v>
      </c>
      <c r="DI148" s="228">
        <v>42.51</v>
      </c>
      <c r="DJ148" s="228">
        <v>46.96</v>
      </c>
      <c r="DK148" s="228">
        <v>-4.45</v>
      </c>
      <c r="DL148" s="228">
        <v>-4.45</v>
      </c>
      <c r="DM148" s="228">
        <v>38.22</v>
      </c>
      <c r="DN148" s="228">
        <v>43.99</v>
      </c>
      <c r="DO148" s="228">
        <v>-5.77</v>
      </c>
      <c r="DP148" s="228">
        <v>-5.77</v>
      </c>
      <c r="DQ148" s="228">
        <v>0.5</v>
      </c>
      <c r="DR148" s="228">
        <v>0.52</v>
      </c>
      <c r="DS148" s="228">
        <v>-0.02</v>
      </c>
      <c r="DT148" s="229">
        <v>-3.85E-2</v>
      </c>
      <c r="DU148" s="228">
        <v>520</v>
      </c>
      <c r="DV148" s="228">
        <v>450</v>
      </c>
      <c r="DW148" s="228">
        <v>0.42</v>
      </c>
      <c r="DX148" s="228">
        <v>0.37</v>
      </c>
      <c r="DY148" s="228">
        <v>0.05</v>
      </c>
      <c r="DZ148" s="229">
        <v>0.1351</v>
      </c>
      <c r="EA148" s="229">
        <v>4.9599999999999998E-2</v>
      </c>
      <c r="EB148" s="230">
        <v>868000</v>
      </c>
      <c r="EC148" s="229">
        <v>2.5999999999999999E-3</v>
      </c>
      <c r="ED148" s="229">
        <v>4.9599999999999998E-2</v>
      </c>
      <c r="EE148" s="228">
        <v>1.81</v>
      </c>
      <c r="EF148" s="229">
        <v>3.8E-3</v>
      </c>
      <c r="EG148" s="230">
        <v>5456402</v>
      </c>
      <c r="EH148" s="230">
        <v>842771</v>
      </c>
      <c r="EI148" s="229">
        <v>5.4744000000000002</v>
      </c>
      <c r="EJ148" s="229">
        <v>0.57969999999999999</v>
      </c>
      <c r="EK148" s="231">
        <v>1635.51</v>
      </c>
      <c r="EL148" s="228">
        <v>644.28</v>
      </c>
      <c r="EM148" s="228">
        <v>614.24</v>
      </c>
      <c r="EN148" s="228">
        <v>44.49</v>
      </c>
      <c r="EO148" s="231">
        <v>2894.03</v>
      </c>
      <c r="EP148" s="231">
        <v>1530.57</v>
      </c>
      <c r="EQ148" s="231">
        <v>1363.47</v>
      </c>
      <c r="ER148" s="229">
        <v>0.89080000000000004</v>
      </c>
      <c r="ES148" s="228">
        <v>776.82</v>
      </c>
      <c r="ET148" s="228">
        <v>347.21</v>
      </c>
      <c r="EU148" s="228">
        <v>940.48</v>
      </c>
      <c r="EV148" s="231">
        <v>102006452</v>
      </c>
      <c r="EW148" s="231">
        <v>2064.5100000000002</v>
      </c>
      <c r="EX148" s="231">
        <v>2028</v>
      </c>
      <c r="EY148" s="228">
        <v>36.51</v>
      </c>
      <c r="EZ148" s="229">
        <v>1.7999999999999999E-2</v>
      </c>
      <c r="FA148" s="229">
        <v>0.4153</v>
      </c>
      <c r="FB148" s="227" t="s">
        <v>567</v>
      </c>
      <c r="FC148">
        <f>BY215-CC215</f>
        <v>0</v>
      </c>
    </row>
    <row r="149" spans="1:159" ht="17.25" thickBot="1" x14ac:dyDescent="0.3">
      <c r="A149" s="226">
        <v>46064</v>
      </c>
      <c r="B149" s="227" t="s">
        <v>193</v>
      </c>
      <c r="C149" s="227" t="s">
        <v>269</v>
      </c>
      <c r="D149" s="228">
        <v>2250</v>
      </c>
      <c r="E149" s="228">
        <v>13</v>
      </c>
      <c r="F149" s="228">
        <v>272</v>
      </c>
      <c r="G149" s="228">
        <v>269.85000000000002</v>
      </c>
      <c r="H149" s="228">
        <v>2.15</v>
      </c>
      <c r="I149" s="229">
        <v>8.0000000000000002E-3</v>
      </c>
      <c r="J149" s="228">
        <v>274.60000000000002</v>
      </c>
      <c r="K149" s="228">
        <v>272.14999999999998</v>
      </c>
      <c r="L149" s="228">
        <v>2.4500000000000002</v>
      </c>
      <c r="M149" s="229">
        <v>8.9999999999999993E-3</v>
      </c>
      <c r="N149" s="228">
        <v>272</v>
      </c>
      <c r="O149" s="228">
        <v>269.85000000000002</v>
      </c>
      <c r="P149" s="228">
        <v>2.15</v>
      </c>
      <c r="Q149" s="229">
        <v>8.0000000000000002E-3</v>
      </c>
      <c r="R149" s="228">
        <v>273.7</v>
      </c>
      <c r="S149" s="228">
        <v>271.45</v>
      </c>
      <c r="T149" s="228">
        <v>2.25</v>
      </c>
      <c r="U149" s="229">
        <v>8.3000000000000001E-3</v>
      </c>
      <c r="V149" s="228">
        <v>275.2</v>
      </c>
      <c r="W149" s="228">
        <v>273</v>
      </c>
      <c r="X149" s="228">
        <v>2.2000000000000002</v>
      </c>
      <c r="Y149" s="229">
        <v>8.0999999999999996E-3</v>
      </c>
      <c r="Z149" s="228">
        <v>-2.6</v>
      </c>
      <c r="AA149" s="228">
        <v>-2.2999999999999998</v>
      </c>
      <c r="AB149" s="228">
        <v>-0.3</v>
      </c>
      <c r="AC149" s="229">
        <v>-9.4999999999999998E-3</v>
      </c>
      <c r="AD149" s="228">
        <v>-2.6</v>
      </c>
      <c r="AE149" s="228">
        <v>-2.2999999999999998</v>
      </c>
      <c r="AF149" s="228">
        <v>-0.3</v>
      </c>
      <c r="AG149" s="229">
        <v>-9.4999999999999998E-3</v>
      </c>
      <c r="AH149" s="228">
        <v>-0.9</v>
      </c>
      <c r="AI149" s="228">
        <v>-0.7</v>
      </c>
      <c r="AJ149" s="228">
        <v>-0.2</v>
      </c>
      <c r="AK149" s="229">
        <v>-3.3E-3</v>
      </c>
      <c r="AL149" s="228">
        <v>0.6</v>
      </c>
      <c r="AM149" s="228">
        <v>0.85</v>
      </c>
      <c r="AN149" s="228">
        <v>-0.25</v>
      </c>
      <c r="AO149" s="229">
        <v>2.2000000000000001E-3</v>
      </c>
      <c r="AP149" s="228">
        <v>268.70999999999998</v>
      </c>
      <c r="AQ149" s="228">
        <v>269.64999999999998</v>
      </c>
      <c r="AR149" s="228">
        <v>0</v>
      </c>
      <c r="AS149" s="228">
        <v>709</v>
      </c>
      <c r="AT149" s="228">
        <v>396</v>
      </c>
      <c r="AU149" s="228">
        <v>313</v>
      </c>
      <c r="AV149" s="229">
        <v>0.78959999999999997</v>
      </c>
      <c r="AW149" s="228">
        <v>629</v>
      </c>
      <c r="AX149" s="228">
        <v>360</v>
      </c>
      <c r="AY149" s="228">
        <v>270</v>
      </c>
      <c r="AZ149" s="229">
        <v>0.74919999999999998</v>
      </c>
      <c r="BA149" s="228">
        <v>74</v>
      </c>
      <c r="BB149" s="228">
        <v>29</v>
      </c>
      <c r="BC149" s="228">
        <v>45</v>
      </c>
      <c r="BD149" s="229">
        <v>1.5227999999999999</v>
      </c>
      <c r="BE149" s="228">
        <v>6</v>
      </c>
      <c r="BF149" s="228">
        <v>7</v>
      </c>
      <c r="BG149" s="228">
        <v>-1</v>
      </c>
      <c r="BH149" s="229">
        <v>-0.19489999999999999</v>
      </c>
      <c r="BI149" s="230">
        <v>2791</v>
      </c>
      <c r="BJ149" s="230">
        <v>1521</v>
      </c>
      <c r="BK149" s="230">
        <v>1270</v>
      </c>
      <c r="BL149" s="229">
        <v>0.83489999999999998</v>
      </c>
      <c r="BM149" s="228">
        <v>933</v>
      </c>
      <c r="BN149" s="228">
        <v>505</v>
      </c>
      <c r="BO149" s="228">
        <v>428</v>
      </c>
      <c r="BP149" s="229">
        <v>0.84750000000000003</v>
      </c>
      <c r="BQ149" s="230">
        <v>4434</v>
      </c>
      <c r="BR149" s="230">
        <v>2423</v>
      </c>
      <c r="BS149" s="230">
        <v>2011</v>
      </c>
      <c r="BT149" s="229">
        <v>0.83009999999999995</v>
      </c>
      <c r="BU149" s="230">
        <v>18865271</v>
      </c>
      <c r="BV149" s="230">
        <v>13820769</v>
      </c>
      <c r="BW149" s="230">
        <v>5044502</v>
      </c>
      <c r="BX149" s="229">
        <v>0.36499999999999999</v>
      </c>
      <c r="BY149" s="230">
        <v>2695</v>
      </c>
      <c r="BZ149" s="230">
        <v>2667</v>
      </c>
      <c r="CA149" s="228">
        <v>28</v>
      </c>
      <c r="CB149" s="229">
        <v>1.0500000000000001E-2</v>
      </c>
      <c r="CC149" s="230">
        <v>2581</v>
      </c>
      <c r="CD149" s="230">
        <v>2569</v>
      </c>
      <c r="CE149" s="228">
        <v>12</v>
      </c>
      <c r="CF149" s="229">
        <v>4.7999999999999996E-3</v>
      </c>
      <c r="CG149" s="228">
        <v>99</v>
      </c>
      <c r="CH149" s="228">
        <v>84</v>
      </c>
      <c r="CI149" s="228">
        <v>15</v>
      </c>
      <c r="CJ149" s="229">
        <v>0.17530000000000001</v>
      </c>
      <c r="CK149" s="228">
        <v>15</v>
      </c>
      <c r="CL149" s="228">
        <v>14</v>
      </c>
      <c r="CM149" s="228">
        <v>1</v>
      </c>
      <c r="CN149" s="229">
        <v>5.9299999999999999E-2</v>
      </c>
      <c r="CO149" s="230">
        <v>2547</v>
      </c>
      <c r="CP149" s="230">
        <v>2380</v>
      </c>
      <c r="CQ149" s="228">
        <v>167</v>
      </c>
      <c r="CR149" s="229">
        <v>7.0300000000000001E-2</v>
      </c>
      <c r="CS149" s="230">
        <v>1085</v>
      </c>
      <c r="CT149" s="228">
        <v>997</v>
      </c>
      <c r="CU149" s="228">
        <v>87</v>
      </c>
      <c r="CV149" s="229">
        <v>8.7400000000000005E-2</v>
      </c>
      <c r="CW149" s="230">
        <v>6327</v>
      </c>
      <c r="CX149" s="230">
        <v>6044</v>
      </c>
      <c r="CY149" s="228">
        <v>282</v>
      </c>
      <c r="CZ149" s="229">
        <v>4.6699999999999998E-2</v>
      </c>
      <c r="DA149" s="228">
        <v>33.67</v>
      </c>
      <c r="DB149" s="228">
        <v>32.22</v>
      </c>
      <c r="DC149" s="228">
        <v>1.45</v>
      </c>
      <c r="DD149" s="228">
        <v>1.45</v>
      </c>
      <c r="DE149" s="228">
        <v>32.43</v>
      </c>
      <c r="DF149" s="228">
        <v>32.49</v>
      </c>
      <c r="DG149" s="228">
        <v>1.24</v>
      </c>
      <c r="DH149" s="228">
        <v>-0.06</v>
      </c>
      <c r="DI149" s="228">
        <v>33.590000000000003</v>
      </c>
      <c r="DJ149" s="228">
        <v>32.07</v>
      </c>
      <c r="DK149" s="228">
        <v>1.52</v>
      </c>
      <c r="DL149" s="228">
        <v>1.52</v>
      </c>
      <c r="DM149" s="228">
        <v>33.93</v>
      </c>
      <c r="DN149" s="228">
        <v>32.68</v>
      </c>
      <c r="DO149" s="228">
        <v>1.25</v>
      </c>
      <c r="DP149" s="228">
        <v>1.25</v>
      </c>
      <c r="DQ149" s="228">
        <v>0.43</v>
      </c>
      <c r="DR149" s="228">
        <v>0.42</v>
      </c>
      <c r="DS149" s="228">
        <v>0.01</v>
      </c>
      <c r="DT149" s="229">
        <v>2.3800000000000002E-2</v>
      </c>
      <c r="DU149" s="228">
        <v>280</v>
      </c>
      <c r="DV149" s="228">
        <v>250</v>
      </c>
      <c r="DW149" s="228">
        <v>0.33</v>
      </c>
      <c r="DX149" s="228">
        <v>0.33</v>
      </c>
      <c r="DY149" s="228">
        <v>0</v>
      </c>
      <c r="DZ149" s="229">
        <v>0</v>
      </c>
      <c r="EA149" s="229">
        <v>4.24E-2</v>
      </c>
      <c r="EB149" s="230">
        <v>3624750</v>
      </c>
      <c r="EC149" s="229">
        <v>6.1999999999999998E-3</v>
      </c>
      <c r="ED149" s="229">
        <v>4.24E-2</v>
      </c>
      <c r="EE149" s="228">
        <v>0.94</v>
      </c>
      <c r="EF149" s="229">
        <v>3.5000000000000001E-3</v>
      </c>
      <c r="EG149" s="230">
        <v>10071839</v>
      </c>
      <c r="EH149" s="230">
        <v>7670216</v>
      </c>
      <c r="EI149" s="229">
        <v>0.31309999999999999</v>
      </c>
      <c r="EJ149" s="229">
        <v>0.53390000000000004</v>
      </c>
      <c r="EK149" s="231">
        <v>2894.37</v>
      </c>
      <c r="EL149" s="228">
        <v>908.86</v>
      </c>
      <c r="EM149" s="228">
        <v>701.23</v>
      </c>
      <c r="EN149" s="228">
        <v>75.760000000000005</v>
      </c>
      <c r="EO149" s="231">
        <v>4504.47</v>
      </c>
      <c r="EP149" s="231">
        <v>2439.61</v>
      </c>
      <c r="EQ149" s="231">
        <v>2064.85</v>
      </c>
      <c r="ER149" s="229">
        <v>0.84640000000000004</v>
      </c>
      <c r="ES149" s="231">
        <v>2557.6</v>
      </c>
      <c r="ET149" s="231">
        <v>1004.69</v>
      </c>
      <c r="EU149" s="231">
        <v>2696.17</v>
      </c>
      <c r="EV149" s="231">
        <v>517141211</v>
      </c>
      <c r="EW149" s="231">
        <v>6258.46</v>
      </c>
      <c r="EX149" s="231">
        <v>5944.26</v>
      </c>
      <c r="EY149" s="228">
        <v>314.2</v>
      </c>
      <c r="EZ149" s="229">
        <v>5.2900000000000003E-2</v>
      </c>
      <c r="FA149" s="229">
        <v>0.44979999999999998</v>
      </c>
      <c r="FB149" s="227" t="s">
        <v>555</v>
      </c>
      <c r="FC149">
        <f t="shared" ref="FC149:FC194" si="3">BY214-CC214</f>
        <v>66</v>
      </c>
    </row>
    <row r="150" spans="1:159" ht="17.25" thickBot="1" x14ac:dyDescent="0.3">
      <c r="A150" s="226">
        <v>46064</v>
      </c>
      <c r="B150" s="227" t="s">
        <v>197</v>
      </c>
      <c r="C150" s="227" t="s">
        <v>270</v>
      </c>
      <c r="D150" s="228">
        <v>15</v>
      </c>
      <c r="E150" s="228">
        <v>13</v>
      </c>
      <c r="F150" s="231">
        <v>34485</v>
      </c>
      <c r="G150" s="231">
        <v>34595</v>
      </c>
      <c r="H150" s="228">
        <v>-110</v>
      </c>
      <c r="I150" s="229">
        <v>-3.2000000000000002E-3</v>
      </c>
      <c r="J150" s="231">
        <v>34360</v>
      </c>
      <c r="K150" s="231">
        <v>34600</v>
      </c>
      <c r="L150" s="228">
        <v>-240</v>
      </c>
      <c r="M150" s="229">
        <v>-6.8999999999999999E-3</v>
      </c>
      <c r="N150" s="231">
        <v>34485</v>
      </c>
      <c r="O150" s="231">
        <v>34595</v>
      </c>
      <c r="P150" s="228">
        <v>-110</v>
      </c>
      <c r="Q150" s="229">
        <v>-3.2000000000000002E-3</v>
      </c>
      <c r="R150" s="231">
        <v>33975</v>
      </c>
      <c r="S150" s="231">
        <v>34105</v>
      </c>
      <c r="T150" s="228">
        <v>-130</v>
      </c>
      <c r="U150" s="229">
        <v>-3.8E-3</v>
      </c>
      <c r="V150" s="231">
        <v>33880</v>
      </c>
      <c r="W150" s="231">
        <v>33980</v>
      </c>
      <c r="X150" s="228">
        <v>-100</v>
      </c>
      <c r="Y150" s="229">
        <v>-2.8999999999999998E-3</v>
      </c>
      <c r="Z150" s="228">
        <v>125</v>
      </c>
      <c r="AA150" s="228">
        <v>-5</v>
      </c>
      <c r="AB150" s="228">
        <v>130</v>
      </c>
      <c r="AC150" s="229">
        <v>3.5999999999999999E-3</v>
      </c>
      <c r="AD150" s="228">
        <v>125</v>
      </c>
      <c r="AE150" s="228">
        <v>-5</v>
      </c>
      <c r="AF150" s="228">
        <v>130</v>
      </c>
      <c r="AG150" s="229">
        <v>3.5999999999999999E-3</v>
      </c>
      <c r="AH150" s="228">
        <v>-385</v>
      </c>
      <c r="AI150" s="228">
        <v>-495</v>
      </c>
      <c r="AJ150" s="228">
        <v>110</v>
      </c>
      <c r="AK150" s="229">
        <v>-1.12E-2</v>
      </c>
      <c r="AL150" s="228">
        <v>-480</v>
      </c>
      <c r="AM150" s="228">
        <v>-620</v>
      </c>
      <c r="AN150" s="228">
        <v>140</v>
      </c>
      <c r="AO150" s="229">
        <v>-1.4E-2</v>
      </c>
      <c r="AP150" s="231">
        <v>34420.019999999997</v>
      </c>
      <c r="AQ150" s="231">
        <v>33936.92</v>
      </c>
      <c r="AR150" s="228">
        <v>0</v>
      </c>
      <c r="AS150" s="228">
        <v>236</v>
      </c>
      <c r="AT150" s="228">
        <v>120</v>
      </c>
      <c r="AU150" s="228">
        <v>116</v>
      </c>
      <c r="AV150" s="229">
        <v>0.9698</v>
      </c>
      <c r="AW150" s="228">
        <v>215</v>
      </c>
      <c r="AX150" s="228">
        <v>101</v>
      </c>
      <c r="AY150" s="228">
        <v>114</v>
      </c>
      <c r="AZ150" s="229">
        <v>1.125</v>
      </c>
      <c r="BA150" s="228">
        <v>17</v>
      </c>
      <c r="BB150" s="228">
        <v>17</v>
      </c>
      <c r="BC150" s="228">
        <v>0</v>
      </c>
      <c r="BD150" s="229">
        <v>2.1299999999999999E-2</v>
      </c>
      <c r="BE150" s="228">
        <v>3</v>
      </c>
      <c r="BF150" s="228">
        <v>2</v>
      </c>
      <c r="BG150" s="228">
        <v>2</v>
      </c>
      <c r="BH150" s="229">
        <v>1.2</v>
      </c>
      <c r="BI150" s="228">
        <v>748</v>
      </c>
      <c r="BJ150" s="228">
        <v>679</v>
      </c>
      <c r="BK150" s="228">
        <v>69</v>
      </c>
      <c r="BL150" s="229">
        <v>0.1014</v>
      </c>
      <c r="BM150" s="228">
        <v>265</v>
      </c>
      <c r="BN150" s="228">
        <v>232</v>
      </c>
      <c r="BO150" s="228">
        <v>34</v>
      </c>
      <c r="BP150" s="229">
        <v>0.14460000000000001</v>
      </c>
      <c r="BQ150" s="230">
        <v>1250</v>
      </c>
      <c r="BR150" s="230">
        <v>1031</v>
      </c>
      <c r="BS150" s="228">
        <v>219</v>
      </c>
      <c r="BT150" s="229">
        <v>0.21210000000000001</v>
      </c>
      <c r="BU150" s="230">
        <v>36066</v>
      </c>
      <c r="BV150" s="230">
        <v>14475</v>
      </c>
      <c r="BW150" s="230">
        <v>21591</v>
      </c>
      <c r="BX150" s="229">
        <v>1.4916</v>
      </c>
      <c r="BY150" s="228">
        <v>988</v>
      </c>
      <c r="BZ150" s="228">
        <v>976</v>
      </c>
      <c r="CA150" s="228">
        <v>13</v>
      </c>
      <c r="CB150" s="229">
        <v>1.29E-2</v>
      </c>
      <c r="CC150" s="228">
        <v>894</v>
      </c>
      <c r="CD150" s="228">
        <v>886</v>
      </c>
      <c r="CE150" s="228">
        <v>8</v>
      </c>
      <c r="CF150" s="229">
        <v>8.8000000000000005E-3</v>
      </c>
      <c r="CG150" s="228">
        <v>84</v>
      </c>
      <c r="CH150" s="228">
        <v>81</v>
      </c>
      <c r="CI150" s="228">
        <v>3</v>
      </c>
      <c r="CJ150" s="229">
        <v>3.6400000000000002E-2</v>
      </c>
      <c r="CK150" s="228">
        <v>10</v>
      </c>
      <c r="CL150" s="228">
        <v>8</v>
      </c>
      <c r="CM150" s="228">
        <v>2</v>
      </c>
      <c r="CN150" s="229">
        <v>0.2195</v>
      </c>
      <c r="CO150" s="228">
        <v>507</v>
      </c>
      <c r="CP150" s="228">
        <v>482</v>
      </c>
      <c r="CQ150" s="228">
        <v>25</v>
      </c>
      <c r="CR150" s="229">
        <v>5.2200000000000003E-2</v>
      </c>
      <c r="CS150" s="228">
        <v>233</v>
      </c>
      <c r="CT150" s="228">
        <v>233</v>
      </c>
      <c r="CU150" s="228">
        <v>-1</v>
      </c>
      <c r="CV150" s="229">
        <v>-2.2000000000000001E-3</v>
      </c>
      <c r="CW150" s="230">
        <v>1728</v>
      </c>
      <c r="CX150" s="230">
        <v>1691</v>
      </c>
      <c r="CY150" s="228">
        <v>37</v>
      </c>
      <c r="CZ150" s="229">
        <v>2.2100000000000002E-2</v>
      </c>
      <c r="DA150" s="228">
        <v>29.17</v>
      </c>
      <c r="DB150" s="228">
        <v>30.64</v>
      </c>
      <c r="DC150" s="228">
        <v>-1.47</v>
      </c>
      <c r="DD150" s="228">
        <v>-1.47</v>
      </c>
      <c r="DE150" s="228">
        <v>27.63</v>
      </c>
      <c r="DF150" s="228">
        <v>27.69</v>
      </c>
      <c r="DG150" s="228">
        <v>1.54</v>
      </c>
      <c r="DH150" s="228">
        <v>-0.06</v>
      </c>
      <c r="DI150" s="228">
        <v>29.74</v>
      </c>
      <c r="DJ150" s="228">
        <v>31.61</v>
      </c>
      <c r="DK150" s="228">
        <v>-1.87</v>
      </c>
      <c r="DL150" s="228">
        <v>-1.87</v>
      </c>
      <c r="DM150" s="228">
        <v>27.55</v>
      </c>
      <c r="DN150" s="228">
        <v>27.78</v>
      </c>
      <c r="DO150" s="228">
        <v>-0.23</v>
      </c>
      <c r="DP150" s="228">
        <v>-0.23</v>
      </c>
      <c r="DQ150" s="228">
        <v>0.46</v>
      </c>
      <c r="DR150" s="228">
        <v>0.48</v>
      </c>
      <c r="DS150" s="228">
        <v>-0.02</v>
      </c>
      <c r="DT150" s="229">
        <v>-4.1700000000000001E-2</v>
      </c>
      <c r="DU150" s="231">
        <v>40000</v>
      </c>
      <c r="DV150" s="231">
        <v>32000</v>
      </c>
      <c r="DW150" s="228">
        <v>0.35</v>
      </c>
      <c r="DX150" s="228">
        <v>0.34</v>
      </c>
      <c r="DY150" s="228">
        <v>0.01</v>
      </c>
      <c r="DZ150" s="229">
        <v>2.9399999999999999E-2</v>
      </c>
      <c r="EA150" s="229">
        <v>9.5399999999999999E-2</v>
      </c>
      <c r="EB150" s="230">
        <v>25950</v>
      </c>
      <c r="EC150" s="229">
        <v>-1.4800000000000001E-2</v>
      </c>
      <c r="ED150" s="229">
        <v>9.5399999999999999E-2</v>
      </c>
      <c r="EE150" s="228">
        <v>-483.1</v>
      </c>
      <c r="EF150" s="229">
        <v>-1.4E-2</v>
      </c>
      <c r="EG150" s="230">
        <v>20607</v>
      </c>
      <c r="EH150" s="230">
        <v>7671</v>
      </c>
      <c r="EI150" s="229">
        <v>1.6863999999999999</v>
      </c>
      <c r="EJ150" s="229">
        <v>0.57140000000000002</v>
      </c>
      <c r="EK150" s="228">
        <v>803.11</v>
      </c>
      <c r="EL150" s="228">
        <v>255.76</v>
      </c>
      <c r="EM150" s="228">
        <v>235.43</v>
      </c>
      <c r="EN150" s="228">
        <v>63.71</v>
      </c>
      <c r="EO150" s="231">
        <v>1294.29</v>
      </c>
      <c r="EP150" s="231">
        <v>1092.6500000000001</v>
      </c>
      <c r="EQ150" s="228">
        <v>201.65</v>
      </c>
      <c r="ER150" s="229">
        <v>0.18459999999999999</v>
      </c>
      <c r="ES150" s="228">
        <v>544.33000000000004</v>
      </c>
      <c r="ET150" s="228">
        <v>225.51</v>
      </c>
      <c r="EU150" s="228">
        <v>986.88</v>
      </c>
      <c r="EV150" s="231">
        <v>955549</v>
      </c>
      <c r="EW150" s="231">
        <v>1756.72</v>
      </c>
      <c r="EX150" s="231">
        <v>1720.79</v>
      </c>
      <c r="EY150" s="228">
        <v>35.93</v>
      </c>
      <c r="EZ150" s="229">
        <v>2.0899999999999998E-2</v>
      </c>
      <c r="FA150" s="229">
        <v>0.52449999999999997</v>
      </c>
      <c r="FB150" s="227" t="s">
        <v>567</v>
      </c>
      <c r="FC150">
        <f t="shared" si="3"/>
        <v>0</v>
      </c>
    </row>
    <row r="151" spans="1:159" ht="17.25" thickBot="1" x14ac:dyDescent="0.3">
      <c r="A151" s="226">
        <v>46064</v>
      </c>
      <c r="B151" s="227" t="s">
        <v>168</v>
      </c>
      <c r="C151" s="227" t="s">
        <v>665</v>
      </c>
      <c r="D151" s="228">
        <v>900</v>
      </c>
      <c r="E151" s="228">
        <v>13</v>
      </c>
      <c r="F151" s="228">
        <v>521.95000000000005</v>
      </c>
      <c r="G151" s="228">
        <v>521.45000000000005</v>
      </c>
      <c r="H151" s="228">
        <v>0.5</v>
      </c>
      <c r="I151" s="229">
        <v>1E-3</v>
      </c>
      <c r="J151" s="228">
        <v>521.75</v>
      </c>
      <c r="K151" s="228">
        <v>521.54999999999995</v>
      </c>
      <c r="L151" s="228">
        <v>0.2</v>
      </c>
      <c r="M151" s="229">
        <v>4.0000000000000002E-4</v>
      </c>
      <c r="N151" s="228">
        <v>521.95000000000005</v>
      </c>
      <c r="O151" s="228">
        <v>521.45000000000005</v>
      </c>
      <c r="P151" s="228">
        <v>0.5</v>
      </c>
      <c r="Q151" s="229">
        <v>1E-3</v>
      </c>
      <c r="R151" s="228">
        <v>524.79999999999995</v>
      </c>
      <c r="S151" s="228">
        <v>523.35</v>
      </c>
      <c r="T151" s="228">
        <v>1.45</v>
      </c>
      <c r="U151" s="229">
        <v>2.8E-3</v>
      </c>
      <c r="V151" s="228">
        <v>529.95000000000005</v>
      </c>
      <c r="W151" s="228">
        <v>526.95000000000005</v>
      </c>
      <c r="X151" s="228">
        <v>3</v>
      </c>
      <c r="Y151" s="229">
        <v>5.7000000000000002E-3</v>
      </c>
      <c r="Z151" s="228">
        <v>0.2</v>
      </c>
      <c r="AA151" s="228">
        <v>-0.1</v>
      </c>
      <c r="AB151" s="228">
        <v>0.3</v>
      </c>
      <c r="AC151" s="229">
        <v>4.0000000000000002E-4</v>
      </c>
      <c r="AD151" s="228">
        <v>0.2</v>
      </c>
      <c r="AE151" s="228">
        <v>-0.1</v>
      </c>
      <c r="AF151" s="228">
        <v>0.3</v>
      </c>
      <c r="AG151" s="229">
        <v>4.0000000000000002E-4</v>
      </c>
      <c r="AH151" s="228">
        <v>3.05</v>
      </c>
      <c r="AI151" s="228">
        <v>1.8</v>
      </c>
      <c r="AJ151" s="228">
        <v>1.25</v>
      </c>
      <c r="AK151" s="229">
        <v>5.7999999999999996E-3</v>
      </c>
      <c r="AL151" s="228">
        <v>8.1999999999999993</v>
      </c>
      <c r="AM151" s="228">
        <v>5.4</v>
      </c>
      <c r="AN151" s="228">
        <v>2.8</v>
      </c>
      <c r="AO151" s="229">
        <v>1.5699999999999999E-2</v>
      </c>
      <c r="AP151" s="228">
        <v>522.41</v>
      </c>
      <c r="AQ151" s="228">
        <v>527.25</v>
      </c>
      <c r="AR151" s="228">
        <v>0</v>
      </c>
      <c r="AS151" s="228">
        <v>159</v>
      </c>
      <c r="AT151" s="228">
        <v>233</v>
      </c>
      <c r="AU151" s="228">
        <v>-74</v>
      </c>
      <c r="AV151" s="229">
        <v>-0.316</v>
      </c>
      <c r="AW151" s="228">
        <v>152</v>
      </c>
      <c r="AX151" s="228">
        <v>225</v>
      </c>
      <c r="AY151" s="228">
        <v>-74</v>
      </c>
      <c r="AZ151" s="229">
        <v>-0.32669999999999999</v>
      </c>
      <c r="BA151" s="228">
        <v>7</v>
      </c>
      <c r="BB151" s="228">
        <v>7</v>
      </c>
      <c r="BC151" s="228">
        <v>0</v>
      </c>
      <c r="BD151" s="229">
        <v>5.5199999999999999E-2</v>
      </c>
      <c r="BE151" s="228">
        <v>0</v>
      </c>
      <c r="BF151" s="228">
        <v>1</v>
      </c>
      <c r="BG151" s="228">
        <v>0</v>
      </c>
      <c r="BH151" s="229">
        <v>-0.5</v>
      </c>
      <c r="BI151" s="228">
        <v>408</v>
      </c>
      <c r="BJ151" s="228">
        <v>340</v>
      </c>
      <c r="BK151" s="228">
        <v>69</v>
      </c>
      <c r="BL151" s="229">
        <v>0.20200000000000001</v>
      </c>
      <c r="BM151" s="228">
        <v>218</v>
      </c>
      <c r="BN151" s="228">
        <v>273</v>
      </c>
      <c r="BO151" s="228">
        <v>-54</v>
      </c>
      <c r="BP151" s="229">
        <v>-0.19989999999999999</v>
      </c>
      <c r="BQ151" s="228">
        <v>786</v>
      </c>
      <c r="BR151" s="228">
        <v>845</v>
      </c>
      <c r="BS151" s="228">
        <v>-59</v>
      </c>
      <c r="BT151" s="229">
        <v>-7.0300000000000001E-2</v>
      </c>
      <c r="BU151" s="230">
        <v>2214056</v>
      </c>
      <c r="BV151" s="230">
        <v>2895911</v>
      </c>
      <c r="BW151" s="230">
        <v>-681855</v>
      </c>
      <c r="BX151" s="229">
        <v>-0.23549999999999999</v>
      </c>
      <c r="BY151" s="230">
        <v>1945</v>
      </c>
      <c r="BZ151" s="230">
        <v>1954</v>
      </c>
      <c r="CA151" s="228">
        <v>-8</v>
      </c>
      <c r="CB151" s="229">
        <v>-4.3E-3</v>
      </c>
      <c r="CC151" s="230">
        <v>1928</v>
      </c>
      <c r="CD151" s="230">
        <v>1939</v>
      </c>
      <c r="CE151" s="228">
        <v>-11</v>
      </c>
      <c r="CF151" s="229">
        <v>-5.7000000000000002E-3</v>
      </c>
      <c r="CG151" s="228">
        <v>16</v>
      </c>
      <c r="CH151" s="228">
        <v>13</v>
      </c>
      <c r="CI151" s="228">
        <v>3</v>
      </c>
      <c r="CJ151" s="229">
        <v>0.2243</v>
      </c>
      <c r="CK151" s="228">
        <v>1</v>
      </c>
      <c r="CL151" s="228">
        <v>2</v>
      </c>
      <c r="CM151" s="228">
        <v>0</v>
      </c>
      <c r="CN151" s="229">
        <v>-0.1212</v>
      </c>
      <c r="CO151" s="228">
        <v>284</v>
      </c>
      <c r="CP151" s="228">
        <v>199</v>
      </c>
      <c r="CQ151" s="228">
        <v>85</v>
      </c>
      <c r="CR151" s="229">
        <v>0.42959999999999998</v>
      </c>
      <c r="CS151" s="228">
        <v>296</v>
      </c>
      <c r="CT151" s="228">
        <v>232</v>
      </c>
      <c r="CU151" s="228">
        <v>64</v>
      </c>
      <c r="CV151" s="229">
        <v>0.2747</v>
      </c>
      <c r="CW151" s="230">
        <v>2525</v>
      </c>
      <c r="CX151" s="230">
        <v>2384</v>
      </c>
      <c r="CY151" s="228">
        <v>141</v>
      </c>
      <c r="CZ151" s="229">
        <v>5.8999999999999997E-2</v>
      </c>
      <c r="DA151" s="228">
        <v>44.59</v>
      </c>
      <c r="DB151" s="228">
        <v>43.43</v>
      </c>
      <c r="DC151" s="228">
        <v>1.1599999999999999</v>
      </c>
      <c r="DD151" s="228">
        <v>1.1599999999999999</v>
      </c>
      <c r="DE151" s="228">
        <v>32.729999999999997</v>
      </c>
      <c r="DF151" s="228">
        <v>32.81</v>
      </c>
      <c r="DG151" s="228">
        <v>11.86</v>
      </c>
      <c r="DH151" s="228">
        <v>-0.08</v>
      </c>
      <c r="DI151" s="228">
        <v>45.02</v>
      </c>
      <c r="DJ151" s="228">
        <v>43.31</v>
      </c>
      <c r="DK151" s="228">
        <v>1.71</v>
      </c>
      <c r="DL151" s="228">
        <v>1.71</v>
      </c>
      <c r="DM151" s="228">
        <v>43.79</v>
      </c>
      <c r="DN151" s="228">
        <v>43.59</v>
      </c>
      <c r="DO151" s="228">
        <v>0.2</v>
      </c>
      <c r="DP151" s="228">
        <v>0.2</v>
      </c>
      <c r="DQ151" s="228">
        <v>1.04</v>
      </c>
      <c r="DR151" s="228">
        <v>1.17</v>
      </c>
      <c r="DS151" s="228">
        <v>-0.13</v>
      </c>
      <c r="DT151" s="229">
        <v>-0.1111</v>
      </c>
      <c r="DU151" s="228">
        <v>550</v>
      </c>
      <c r="DV151" s="228">
        <v>510</v>
      </c>
      <c r="DW151" s="228">
        <v>0.53</v>
      </c>
      <c r="DX151" s="228">
        <v>0.8</v>
      </c>
      <c r="DY151" s="228">
        <v>-0.27</v>
      </c>
      <c r="DZ151" s="229">
        <v>-0.33750000000000002</v>
      </c>
      <c r="EA151" s="229">
        <v>8.6999999999999994E-3</v>
      </c>
      <c r="EB151" s="230">
        <v>274500</v>
      </c>
      <c r="EC151" s="229">
        <v>5.4999999999999997E-3</v>
      </c>
      <c r="ED151" s="229">
        <v>8.6999999999999994E-3</v>
      </c>
      <c r="EE151" s="228">
        <v>4.84</v>
      </c>
      <c r="EF151" s="229">
        <v>9.2999999999999992E-3</v>
      </c>
      <c r="EG151" s="230">
        <v>1452799</v>
      </c>
      <c r="EH151" s="230">
        <v>1464258</v>
      </c>
      <c r="EI151" s="229">
        <v>-7.7999999999999996E-3</v>
      </c>
      <c r="EJ151" s="229">
        <v>0.65620000000000001</v>
      </c>
      <c r="EK151" s="228">
        <v>433.88</v>
      </c>
      <c r="EL151" s="228">
        <v>216.17</v>
      </c>
      <c r="EM151" s="228">
        <v>159.46</v>
      </c>
      <c r="EN151" s="228">
        <v>64.989999999999995</v>
      </c>
      <c r="EO151" s="228">
        <v>809.51</v>
      </c>
      <c r="EP151" s="228">
        <v>876.24</v>
      </c>
      <c r="EQ151" s="228">
        <v>-66.72</v>
      </c>
      <c r="ER151" s="229">
        <v>-7.6100000000000001E-2</v>
      </c>
      <c r="ES151" s="228">
        <v>295.83</v>
      </c>
      <c r="ET151" s="228">
        <v>289.12</v>
      </c>
      <c r="EU151" s="231">
        <v>1945.36</v>
      </c>
      <c r="EV151" s="231">
        <v>50886533</v>
      </c>
      <c r="EW151" s="231">
        <v>2530.31</v>
      </c>
      <c r="EX151" s="231">
        <v>2385.17</v>
      </c>
      <c r="EY151" s="228">
        <v>145.13999999999999</v>
      </c>
      <c r="EZ151" s="229">
        <v>6.0900000000000003E-2</v>
      </c>
      <c r="FA151" s="229">
        <v>0.9506</v>
      </c>
      <c r="FB151" s="227" t="s">
        <v>556</v>
      </c>
      <c r="FC151">
        <f t="shared" si="3"/>
        <v>0</v>
      </c>
    </row>
    <row r="152" spans="1:159" ht="17.25" thickBot="1" x14ac:dyDescent="0.3">
      <c r="A152" s="226">
        <v>46064</v>
      </c>
      <c r="B152" s="227" t="s">
        <v>615</v>
      </c>
      <c r="C152" s="227" t="s">
        <v>575</v>
      </c>
      <c r="D152" s="228">
        <v>725</v>
      </c>
      <c r="E152" s="228">
        <v>13</v>
      </c>
      <c r="F152" s="231">
        <v>1163.2</v>
      </c>
      <c r="G152" s="231">
        <v>1164.3</v>
      </c>
      <c r="H152" s="228">
        <v>-1.1000000000000001</v>
      </c>
      <c r="I152" s="229">
        <v>-8.9999999999999998E-4</v>
      </c>
      <c r="J152" s="231">
        <v>1160</v>
      </c>
      <c r="K152" s="231">
        <v>1161.3</v>
      </c>
      <c r="L152" s="228">
        <v>-1.3</v>
      </c>
      <c r="M152" s="229">
        <v>-1.1000000000000001E-3</v>
      </c>
      <c r="N152" s="231">
        <v>1163.2</v>
      </c>
      <c r="O152" s="231">
        <v>1164.3</v>
      </c>
      <c r="P152" s="228">
        <v>-1.1000000000000001</v>
      </c>
      <c r="Q152" s="229">
        <v>-8.9999999999999998E-4</v>
      </c>
      <c r="R152" s="231">
        <v>1170.5999999999999</v>
      </c>
      <c r="S152" s="231">
        <v>1173.0999999999999</v>
      </c>
      <c r="T152" s="228">
        <v>-2.5</v>
      </c>
      <c r="U152" s="229">
        <v>-2.0999999999999999E-3</v>
      </c>
      <c r="V152" s="231">
        <v>1179.3</v>
      </c>
      <c r="W152" s="231">
        <v>1181.2</v>
      </c>
      <c r="X152" s="228">
        <v>-1.9</v>
      </c>
      <c r="Y152" s="229">
        <v>-1.6000000000000001E-3</v>
      </c>
      <c r="Z152" s="228">
        <v>3.2</v>
      </c>
      <c r="AA152" s="228">
        <v>3</v>
      </c>
      <c r="AB152" s="228">
        <v>0.2</v>
      </c>
      <c r="AC152" s="229">
        <v>2.8E-3</v>
      </c>
      <c r="AD152" s="228">
        <v>3.2</v>
      </c>
      <c r="AE152" s="228">
        <v>3</v>
      </c>
      <c r="AF152" s="228">
        <v>0.2</v>
      </c>
      <c r="AG152" s="229">
        <v>2.8E-3</v>
      </c>
      <c r="AH152" s="228">
        <v>10.6</v>
      </c>
      <c r="AI152" s="228">
        <v>11.8</v>
      </c>
      <c r="AJ152" s="228">
        <v>-1.2</v>
      </c>
      <c r="AK152" s="229">
        <v>9.1000000000000004E-3</v>
      </c>
      <c r="AL152" s="228">
        <v>19.3</v>
      </c>
      <c r="AM152" s="228">
        <v>19.899999999999999</v>
      </c>
      <c r="AN152" s="228">
        <v>-0.6</v>
      </c>
      <c r="AO152" s="229">
        <v>1.66E-2</v>
      </c>
      <c r="AP152" s="231">
        <v>1162.45</v>
      </c>
      <c r="AQ152" s="231">
        <v>1168.47</v>
      </c>
      <c r="AR152" s="228">
        <v>0</v>
      </c>
      <c r="AS152" s="228">
        <v>444</v>
      </c>
      <c r="AT152" s="228">
        <v>726</v>
      </c>
      <c r="AU152" s="228">
        <v>-282</v>
      </c>
      <c r="AV152" s="229">
        <v>-0.38800000000000001</v>
      </c>
      <c r="AW152" s="228">
        <v>399</v>
      </c>
      <c r="AX152" s="228">
        <v>673</v>
      </c>
      <c r="AY152" s="228">
        <v>-274</v>
      </c>
      <c r="AZ152" s="229">
        <v>-0.40670000000000001</v>
      </c>
      <c r="BA152" s="228">
        <v>42</v>
      </c>
      <c r="BB152" s="228">
        <v>48</v>
      </c>
      <c r="BC152" s="228">
        <v>-6</v>
      </c>
      <c r="BD152" s="229">
        <v>-0.12720000000000001</v>
      </c>
      <c r="BE152" s="228">
        <v>3</v>
      </c>
      <c r="BF152" s="228">
        <v>4</v>
      </c>
      <c r="BG152" s="228">
        <v>-2</v>
      </c>
      <c r="BH152" s="229">
        <v>-0.39219999999999999</v>
      </c>
      <c r="BI152" s="230">
        <v>1235</v>
      </c>
      <c r="BJ152" s="230">
        <v>2033</v>
      </c>
      <c r="BK152" s="228">
        <v>-798</v>
      </c>
      <c r="BL152" s="229">
        <v>-0.3926</v>
      </c>
      <c r="BM152" s="228">
        <v>426</v>
      </c>
      <c r="BN152" s="230">
        <v>1056</v>
      </c>
      <c r="BO152" s="228">
        <v>-629</v>
      </c>
      <c r="BP152" s="229">
        <v>-0.59599999999999997</v>
      </c>
      <c r="BQ152" s="230">
        <v>2106</v>
      </c>
      <c r="BR152" s="230">
        <v>3815</v>
      </c>
      <c r="BS152" s="230">
        <v>-1709</v>
      </c>
      <c r="BT152" s="229">
        <v>-0.44800000000000001</v>
      </c>
      <c r="BU152" s="230">
        <v>2711811</v>
      </c>
      <c r="BV152" s="230">
        <v>4511360</v>
      </c>
      <c r="BW152" s="230">
        <v>-1799549</v>
      </c>
      <c r="BX152" s="229">
        <v>-0.39889999999999998</v>
      </c>
      <c r="BY152" s="230">
        <v>2055</v>
      </c>
      <c r="BZ152" s="230">
        <v>1991</v>
      </c>
      <c r="CA152" s="228">
        <v>65</v>
      </c>
      <c r="CB152" s="229">
        <v>3.2399999999999998E-2</v>
      </c>
      <c r="CC152" s="230">
        <v>1985</v>
      </c>
      <c r="CD152" s="230">
        <v>1933</v>
      </c>
      <c r="CE152" s="228">
        <v>52</v>
      </c>
      <c r="CF152" s="229">
        <v>2.7E-2</v>
      </c>
      <c r="CG152" s="228">
        <v>62</v>
      </c>
      <c r="CH152" s="228">
        <v>50</v>
      </c>
      <c r="CI152" s="228">
        <v>12</v>
      </c>
      <c r="CJ152" s="229">
        <v>0.23269999999999999</v>
      </c>
      <c r="CK152" s="228">
        <v>8</v>
      </c>
      <c r="CL152" s="228">
        <v>8</v>
      </c>
      <c r="CM152" s="228">
        <v>1</v>
      </c>
      <c r="CN152" s="229">
        <v>8.6999999999999994E-2</v>
      </c>
      <c r="CO152" s="230">
        <v>1480</v>
      </c>
      <c r="CP152" s="230">
        <v>1426</v>
      </c>
      <c r="CQ152" s="228">
        <v>54</v>
      </c>
      <c r="CR152" s="229">
        <v>3.8199999999999998E-2</v>
      </c>
      <c r="CS152" s="228">
        <v>712</v>
      </c>
      <c r="CT152" s="228">
        <v>705</v>
      </c>
      <c r="CU152" s="228">
        <v>7</v>
      </c>
      <c r="CV152" s="229">
        <v>1.01E-2</v>
      </c>
      <c r="CW152" s="230">
        <v>4247</v>
      </c>
      <c r="CX152" s="230">
        <v>4121</v>
      </c>
      <c r="CY152" s="228">
        <v>126</v>
      </c>
      <c r="CZ152" s="229">
        <v>3.0599999999999999E-2</v>
      </c>
      <c r="DA152" s="228">
        <v>39.47</v>
      </c>
      <c r="DB152" s="228">
        <v>40</v>
      </c>
      <c r="DC152" s="228">
        <v>-0.53</v>
      </c>
      <c r="DD152" s="228">
        <v>-0.53</v>
      </c>
      <c r="DE152" s="228">
        <v>51.52</v>
      </c>
      <c r="DF152" s="228">
        <v>51.65</v>
      </c>
      <c r="DG152" s="228">
        <v>-12.05</v>
      </c>
      <c r="DH152" s="228">
        <v>-0.13</v>
      </c>
      <c r="DI152" s="228">
        <v>39.520000000000003</v>
      </c>
      <c r="DJ152" s="228">
        <v>40.17</v>
      </c>
      <c r="DK152" s="228">
        <v>-0.65</v>
      </c>
      <c r="DL152" s="228">
        <v>-0.65</v>
      </c>
      <c r="DM152" s="228">
        <v>39.33</v>
      </c>
      <c r="DN152" s="228">
        <v>39.65</v>
      </c>
      <c r="DO152" s="228">
        <v>-0.32</v>
      </c>
      <c r="DP152" s="228">
        <v>-0.32</v>
      </c>
      <c r="DQ152" s="228">
        <v>0.48</v>
      </c>
      <c r="DR152" s="228">
        <v>0.49</v>
      </c>
      <c r="DS152" s="228">
        <v>-0.01</v>
      </c>
      <c r="DT152" s="229">
        <v>-2.0400000000000001E-2</v>
      </c>
      <c r="DU152" s="231">
        <v>1200</v>
      </c>
      <c r="DV152" s="231">
        <v>1100</v>
      </c>
      <c r="DW152" s="228">
        <v>0.35</v>
      </c>
      <c r="DX152" s="228">
        <v>0.52</v>
      </c>
      <c r="DY152" s="228">
        <v>-0.17</v>
      </c>
      <c r="DZ152" s="229">
        <v>-0.32690000000000002</v>
      </c>
      <c r="EA152" s="229">
        <v>3.4099999999999998E-2</v>
      </c>
      <c r="EB152" s="230">
        <v>496625</v>
      </c>
      <c r="EC152" s="229">
        <v>6.4000000000000003E-3</v>
      </c>
      <c r="ED152" s="229">
        <v>3.4099999999999998E-2</v>
      </c>
      <c r="EE152" s="228">
        <v>6.02</v>
      </c>
      <c r="EF152" s="229">
        <v>5.1999999999999998E-3</v>
      </c>
      <c r="EG152" s="230">
        <v>1306795</v>
      </c>
      <c r="EH152" s="230">
        <v>2224522</v>
      </c>
      <c r="EI152" s="229">
        <v>-0.41260000000000002</v>
      </c>
      <c r="EJ152" s="229">
        <v>0.4819</v>
      </c>
      <c r="EK152" s="231">
        <v>1311.1</v>
      </c>
      <c r="EL152" s="228">
        <v>425.69</v>
      </c>
      <c r="EM152" s="228">
        <v>444.23</v>
      </c>
      <c r="EN152" s="228">
        <v>49.7</v>
      </c>
      <c r="EO152" s="231">
        <v>2181.02</v>
      </c>
      <c r="EP152" s="231">
        <v>3934.25</v>
      </c>
      <c r="EQ152" s="231">
        <v>-1753.22</v>
      </c>
      <c r="ER152" s="229">
        <v>-0.4456</v>
      </c>
      <c r="ES152" s="231">
        <v>1592.81</v>
      </c>
      <c r="ET152" s="228">
        <v>700.05</v>
      </c>
      <c r="EU152" s="231">
        <v>2055.85</v>
      </c>
      <c r="EV152" s="231">
        <v>95799519</v>
      </c>
      <c r="EW152" s="231">
        <v>4348.71</v>
      </c>
      <c r="EX152" s="231">
        <v>4223.9799999999996</v>
      </c>
      <c r="EY152" s="228">
        <v>124.73</v>
      </c>
      <c r="EZ152" s="229">
        <v>2.9499999999999998E-2</v>
      </c>
      <c r="FA152" s="229">
        <v>0.38109999999999999</v>
      </c>
      <c r="FB152" s="227" t="s">
        <v>567</v>
      </c>
      <c r="FC152">
        <f t="shared" si="3"/>
        <v>0</v>
      </c>
    </row>
    <row r="153" spans="1:159" ht="17.25" thickBot="1" x14ac:dyDescent="0.3">
      <c r="A153" s="226">
        <v>46064</v>
      </c>
      <c r="B153" s="227" t="s">
        <v>221</v>
      </c>
      <c r="C153" s="227" t="s">
        <v>529</v>
      </c>
      <c r="D153" s="228">
        <v>100</v>
      </c>
      <c r="E153" s="228">
        <v>13</v>
      </c>
      <c r="F153" s="231">
        <v>5714</v>
      </c>
      <c r="G153" s="231">
        <v>5870</v>
      </c>
      <c r="H153" s="228">
        <v>-156</v>
      </c>
      <c r="I153" s="229">
        <v>-2.6599999999999999E-2</v>
      </c>
      <c r="J153" s="231">
        <v>5724</v>
      </c>
      <c r="K153" s="231">
        <v>5872.5</v>
      </c>
      <c r="L153" s="228">
        <v>-148.5</v>
      </c>
      <c r="M153" s="229">
        <v>-2.53E-2</v>
      </c>
      <c r="N153" s="231">
        <v>5714</v>
      </c>
      <c r="O153" s="231">
        <v>5870</v>
      </c>
      <c r="P153" s="228">
        <v>-156</v>
      </c>
      <c r="Q153" s="229">
        <v>-2.6599999999999999E-2</v>
      </c>
      <c r="R153" s="231">
        <v>5726.5</v>
      </c>
      <c r="S153" s="231">
        <v>5898</v>
      </c>
      <c r="T153" s="228">
        <v>-171.5</v>
      </c>
      <c r="U153" s="229">
        <v>-2.9100000000000001E-2</v>
      </c>
      <c r="V153" s="231">
        <v>5769.5</v>
      </c>
      <c r="W153" s="231">
        <v>5936</v>
      </c>
      <c r="X153" s="228">
        <v>-166.5</v>
      </c>
      <c r="Y153" s="229">
        <v>-2.8000000000000001E-2</v>
      </c>
      <c r="Z153" s="228">
        <v>-10</v>
      </c>
      <c r="AA153" s="228">
        <v>-2.5</v>
      </c>
      <c r="AB153" s="228">
        <v>-7.5</v>
      </c>
      <c r="AC153" s="229">
        <v>-1.6999999999999999E-3</v>
      </c>
      <c r="AD153" s="228">
        <v>-10</v>
      </c>
      <c r="AE153" s="228">
        <v>-2.5</v>
      </c>
      <c r="AF153" s="228">
        <v>-7.5</v>
      </c>
      <c r="AG153" s="229">
        <v>-1.6999999999999999E-3</v>
      </c>
      <c r="AH153" s="228">
        <v>2.5</v>
      </c>
      <c r="AI153" s="228">
        <v>25.5</v>
      </c>
      <c r="AJ153" s="228">
        <v>-23</v>
      </c>
      <c r="AK153" s="229">
        <v>4.0000000000000002E-4</v>
      </c>
      <c r="AL153" s="228">
        <v>45.5</v>
      </c>
      <c r="AM153" s="228">
        <v>63.5</v>
      </c>
      <c r="AN153" s="228">
        <v>-18</v>
      </c>
      <c r="AO153" s="229">
        <v>7.9000000000000008E-3</v>
      </c>
      <c r="AP153" s="231">
        <v>5751.15</v>
      </c>
      <c r="AQ153" s="231">
        <v>5768.45</v>
      </c>
      <c r="AR153" s="228">
        <v>0</v>
      </c>
      <c r="AS153" s="228">
        <v>690</v>
      </c>
      <c r="AT153" s="228">
        <v>320</v>
      </c>
      <c r="AU153" s="228">
        <v>369</v>
      </c>
      <c r="AV153" s="229">
        <v>1.1539999999999999</v>
      </c>
      <c r="AW153" s="228">
        <v>625</v>
      </c>
      <c r="AX153" s="228">
        <v>291</v>
      </c>
      <c r="AY153" s="228">
        <v>334</v>
      </c>
      <c r="AZ153" s="229">
        <v>1.1459999999999999</v>
      </c>
      <c r="BA153" s="228">
        <v>59</v>
      </c>
      <c r="BB153" s="228">
        <v>27</v>
      </c>
      <c r="BC153" s="228">
        <v>32</v>
      </c>
      <c r="BD153" s="229">
        <v>1.1718999999999999</v>
      </c>
      <c r="BE153" s="228">
        <v>6</v>
      </c>
      <c r="BF153" s="228">
        <v>2</v>
      </c>
      <c r="BG153" s="228">
        <v>4</v>
      </c>
      <c r="BH153" s="229">
        <v>2.1934999999999998</v>
      </c>
      <c r="BI153" s="230">
        <v>1796</v>
      </c>
      <c r="BJ153" s="230">
        <v>1042</v>
      </c>
      <c r="BK153" s="228">
        <v>754</v>
      </c>
      <c r="BL153" s="229">
        <v>0.72299999999999998</v>
      </c>
      <c r="BM153" s="230">
        <v>1437</v>
      </c>
      <c r="BN153" s="228">
        <v>423</v>
      </c>
      <c r="BO153" s="230">
        <v>1014</v>
      </c>
      <c r="BP153" s="229">
        <v>2.3954</v>
      </c>
      <c r="BQ153" s="230">
        <v>3922</v>
      </c>
      <c r="BR153" s="230">
        <v>1786</v>
      </c>
      <c r="BS153" s="230">
        <v>2137</v>
      </c>
      <c r="BT153" s="229">
        <v>1.1966000000000001</v>
      </c>
      <c r="BU153" s="230">
        <v>1142555</v>
      </c>
      <c r="BV153" s="230">
        <v>384245</v>
      </c>
      <c r="BW153" s="230">
        <v>758310</v>
      </c>
      <c r="BX153" s="229">
        <v>1.9735</v>
      </c>
      <c r="BY153" s="230">
        <v>1399</v>
      </c>
      <c r="BZ153" s="230">
        <v>1249</v>
      </c>
      <c r="CA153" s="228">
        <v>150</v>
      </c>
      <c r="CB153" s="229">
        <v>0.12</v>
      </c>
      <c r="CC153" s="230">
        <v>1332</v>
      </c>
      <c r="CD153" s="230">
        <v>1201</v>
      </c>
      <c r="CE153" s="228">
        <v>131</v>
      </c>
      <c r="CF153" s="229">
        <v>0.10929999999999999</v>
      </c>
      <c r="CG153" s="228">
        <v>59</v>
      </c>
      <c r="CH153" s="228">
        <v>42</v>
      </c>
      <c r="CI153" s="228">
        <v>17</v>
      </c>
      <c r="CJ153" s="229">
        <v>0.40460000000000002</v>
      </c>
      <c r="CK153" s="228">
        <v>7</v>
      </c>
      <c r="CL153" s="228">
        <v>6</v>
      </c>
      <c r="CM153" s="228">
        <v>1</v>
      </c>
      <c r="CN153" s="229">
        <v>0.2427</v>
      </c>
      <c r="CO153" s="228">
        <v>999</v>
      </c>
      <c r="CP153" s="228">
        <v>853</v>
      </c>
      <c r="CQ153" s="228">
        <v>146</v>
      </c>
      <c r="CR153" s="229">
        <v>0.1716</v>
      </c>
      <c r="CS153" s="228">
        <v>510</v>
      </c>
      <c r="CT153" s="228">
        <v>471</v>
      </c>
      <c r="CU153" s="228">
        <v>39</v>
      </c>
      <c r="CV153" s="229">
        <v>8.3299999999999999E-2</v>
      </c>
      <c r="CW153" s="230">
        <v>2908</v>
      </c>
      <c r="CX153" s="230">
        <v>2572</v>
      </c>
      <c r="CY153" s="228">
        <v>335</v>
      </c>
      <c r="CZ153" s="229">
        <v>0.13039999999999999</v>
      </c>
      <c r="DA153" s="228">
        <v>39.79</v>
      </c>
      <c r="DB153" s="228">
        <v>35.58</v>
      </c>
      <c r="DC153" s="228">
        <v>4.21</v>
      </c>
      <c r="DD153" s="228">
        <v>4.21</v>
      </c>
      <c r="DE153" s="228">
        <v>39.19</v>
      </c>
      <c r="DF153" s="228">
        <v>39.119999999999997</v>
      </c>
      <c r="DG153" s="228">
        <v>0.6</v>
      </c>
      <c r="DH153" s="228">
        <v>7.0000000000000007E-2</v>
      </c>
      <c r="DI153" s="228">
        <v>39.44</v>
      </c>
      <c r="DJ153" s="228">
        <v>35.090000000000003</v>
      </c>
      <c r="DK153" s="228">
        <v>4.3499999999999996</v>
      </c>
      <c r="DL153" s="228">
        <v>4.3499999999999996</v>
      </c>
      <c r="DM153" s="228">
        <v>40.229999999999997</v>
      </c>
      <c r="DN153" s="228">
        <v>36.78</v>
      </c>
      <c r="DO153" s="228">
        <v>3.45</v>
      </c>
      <c r="DP153" s="228">
        <v>3.45</v>
      </c>
      <c r="DQ153" s="228">
        <v>0.51</v>
      </c>
      <c r="DR153" s="228">
        <v>0.55000000000000004</v>
      </c>
      <c r="DS153" s="228">
        <v>-0.04</v>
      </c>
      <c r="DT153" s="229">
        <v>-7.2700000000000001E-2</v>
      </c>
      <c r="DU153" s="231">
        <v>6000</v>
      </c>
      <c r="DV153" s="231">
        <v>5700</v>
      </c>
      <c r="DW153" s="228">
        <v>0.8</v>
      </c>
      <c r="DX153" s="228">
        <v>0.41</v>
      </c>
      <c r="DY153" s="228">
        <v>0.39</v>
      </c>
      <c r="DZ153" s="229">
        <v>0.95120000000000005</v>
      </c>
      <c r="EA153" s="229">
        <v>4.7600000000000003E-2</v>
      </c>
      <c r="EB153" s="230">
        <v>84200</v>
      </c>
      <c r="EC153" s="229">
        <v>2.2000000000000001E-3</v>
      </c>
      <c r="ED153" s="229">
        <v>4.7600000000000003E-2</v>
      </c>
      <c r="EE153" s="228">
        <v>17.3</v>
      </c>
      <c r="EF153" s="229">
        <v>3.0000000000000001E-3</v>
      </c>
      <c r="EG153" s="230">
        <v>829347</v>
      </c>
      <c r="EH153" s="230">
        <v>170466</v>
      </c>
      <c r="EI153" s="229">
        <v>3.8652000000000002</v>
      </c>
      <c r="EJ153" s="229">
        <v>0.72589999999999999</v>
      </c>
      <c r="EK153" s="231">
        <v>1920.82</v>
      </c>
      <c r="EL153" s="231">
        <v>1445.12</v>
      </c>
      <c r="EM153" s="228">
        <v>694.34</v>
      </c>
      <c r="EN153" s="228">
        <v>87.56</v>
      </c>
      <c r="EO153" s="231">
        <v>4060.28</v>
      </c>
      <c r="EP153" s="231">
        <v>1884</v>
      </c>
      <c r="EQ153" s="231">
        <v>2176.2800000000002</v>
      </c>
      <c r="ER153" s="229">
        <v>1.1551</v>
      </c>
      <c r="ES153" s="231">
        <v>1095.6500000000001</v>
      </c>
      <c r="ET153" s="228">
        <v>504.15</v>
      </c>
      <c r="EU153" s="231">
        <v>1399.05</v>
      </c>
      <c r="EV153" s="231">
        <v>15732422</v>
      </c>
      <c r="EW153" s="231">
        <v>2998.85</v>
      </c>
      <c r="EX153" s="231">
        <v>2698.37</v>
      </c>
      <c r="EY153" s="228">
        <v>300.48</v>
      </c>
      <c r="EZ153" s="229">
        <v>0.1114</v>
      </c>
      <c r="FA153" s="229">
        <v>0.32350000000000001</v>
      </c>
      <c r="FB153" s="227" t="s">
        <v>567</v>
      </c>
      <c r="FC153">
        <f t="shared" si="3"/>
        <v>0</v>
      </c>
    </row>
    <row r="154" spans="1:159" ht="17.25" thickBot="1" x14ac:dyDescent="0.3">
      <c r="A154" s="226">
        <v>46064</v>
      </c>
      <c r="B154" s="227" t="s">
        <v>193</v>
      </c>
      <c r="C154" s="227" t="s">
        <v>272</v>
      </c>
      <c r="D154" s="228">
        <v>1900</v>
      </c>
      <c r="E154" s="228">
        <v>13</v>
      </c>
      <c r="F154" s="228">
        <v>304.05</v>
      </c>
      <c r="G154" s="228">
        <v>304.5</v>
      </c>
      <c r="H154" s="228">
        <v>-0.45</v>
      </c>
      <c r="I154" s="229">
        <v>-1.5E-3</v>
      </c>
      <c r="J154" s="228">
        <v>303.89999999999998</v>
      </c>
      <c r="K154" s="228">
        <v>303.7</v>
      </c>
      <c r="L154" s="228">
        <v>0.2</v>
      </c>
      <c r="M154" s="229">
        <v>6.9999999999999999E-4</v>
      </c>
      <c r="N154" s="228">
        <v>304.05</v>
      </c>
      <c r="O154" s="228">
        <v>304.5</v>
      </c>
      <c r="P154" s="228">
        <v>-0.45</v>
      </c>
      <c r="Q154" s="229">
        <v>-1.5E-3</v>
      </c>
      <c r="R154" s="228">
        <v>306.25</v>
      </c>
      <c r="S154" s="228">
        <v>306.10000000000002</v>
      </c>
      <c r="T154" s="228">
        <v>0.15</v>
      </c>
      <c r="U154" s="229">
        <v>5.0000000000000001E-4</v>
      </c>
      <c r="V154" s="228">
        <v>306</v>
      </c>
      <c r="W154" s="228">
        <v>308</v>
      </c>
      <c r="X154" s="228">
        <v>-2</v>
      </c>
      <c r="Y154" s="229">
        <v>-6.4999999999999997E-3</v>
      </c>
      <c r="Z154" s="228">
        <v>0.15</v>
      </c>
      <c r="AA154" s="228">
        <v>0.8</v>
      </c>
      <c r="AB154" s="228">
        <v>-0.65</v>
      </c>
      <c r="AC154" s="229">
        <v>5.0000000000000001E-4</v>
      </c>
      <c r="AD154" s="228">
        <v>0.15</v>
      </c>
      <c r="AE154" s="228">
        <v>0.8</v>
      </c>
      <c r="AF154" s="228">
        <v>-0.65</v>
      </c>
      <c r="AG154" s="229">
        <v>5.0000000000000001E-4</v>
      </c>
      <c r="AH154" s="228">
        <v>2.35</v>
      </c>
      <c r="AI154" s="228">
        <v>2.4</v>
      </c>
      <c r="AJ154" s="228">
        <v>-0.05</v>
      </c>
      <c r="AK154" s="229">
        <v>7.7000000000000002E-3</v>
      </c>
      <c r="AL154" s="228">
        <v>2.1</v>
      </c>
      <c r="AM154" s="228">
        <v>4.3</v>
      </c>
      <c r="AN154" s="228">
        <v>-2.2000000000000002</v>
      </c>
      <c r="AO154" s="229">
        <v>6.8999999999999999E-3</v>
      </c>
      <c r="AP154" s="228">
        <v>303.29000000000002</v>
      </c>
      <c r="AQ154" s="228">
        <v>305.2</v>
      </c>
      <c r="AR154" s="228">
        <v>0</v>
      </c>
      <c r="AS154" s="228">
        <v>57</v>
      </c>
      <c r="AT154" s="228">
        <v>118</v>
      </c>
      <c r="AU154" s="228">
        <v>-61</v>
      </c>
      <c r="AV154" s="229">
        <v>-0.51470000000000005</v>
      </c>
      <c r="AW154" s="228">
        <v>54</v>
      </c>
      <c r="AX154" s="228">
        <v>102</v>
      </c>
      <c r="AY154" s="228">
        <v>-48</v>
      </c>
      <c r="AZ154" s="229">
        <v>-0.4733</v>
      </c>
      <c r="BA154" s="228">
        <v>4</v>
      </c>
      <c r="BB154" s="228">
        <v>16</v>
      </c>
      <c r="BC154" s="228">
        <v>-12</v>
      </c>
      <c r="BD154" s="229">
        <v>-0.77210000000000001</v>
      </c>
      <c r="BE154" s="228">
        <v>0</v>
      </c>
      <c r="BF154" s="228">
        <v>1</v>
      </c>
      <c r="BG154" s="228">
        <v>0</v>
      </c>
      <c r="BH154" s="229">
        <v>-0.8</v>
      </c>
      <c r="BI154" s="228">
        <v>310</v>
      </c>
      <c r="BJ154" s="228">
        <v>655</v>
      </c>
      <c r="BK154" s="228">
        <v>-345</v>
      </c>
      <c r="BL154" s="229">
        <v>-0.52629999999999999</v>
      </c>
      <c r="BM154" s="228">
        <v>142</v>
      </c>
      <c r="BN154" s="228">
        <v>152</v>
      </c>
      <c r="BO154" s="228">
        <v>-11</v>
      </c>
      <c r="BP154" s="229">
        <v>-7.0499999999999993E-2</v>
      </c>
      <c r="BQ154" s="228">
        <v>509</v>
      </c>
      <c r="BR154" s="228">
        <v>926</v>
      </c>
      <c r="BS154" s="228">
        <v>-416</v>
      </c>
      <c r="BT154" s="229">
        <v>-0.44979999999999998</v>
      </c>
      <c r="BU154" s="230">
        <v>1562225</v>
      </c>
      <c r="BV154" s="230">
        <v>2528596</v>
      </c>
      <c r="BW154" s="230">
        <v>-966371</v>
      </c>
      <c r="BX154" s="229">
        <v>-0.38219999999999998</v>
      </c>
      <c r="BY154" s="230">
        <v>1299</v>
      </c>
      <c r="BZ154" s="230">
        <v>1305</v>
      </c>
      <c r="CA154" s="228">
        <v>-6</v>
      </c>
      <c r="CB154" s="229">
        <v>-4.3E-3</v>
      </c>
      <c r="CC154" s="230">
        <v>1190</v>
      </c>
      <c r="CD154" s="230">
        <v>1196</v>
      </c>
      <c r="CE154" s="228">
        <v>-6</v>
      </c>
      <c r="CF154" s="229">
        <v>-4.8999999999999998E-3</v>
      </c>
      <c r="CG154" s="228">
        <v>107</v>
      </c>
      <c r="CH154" s="228">
        <v>106</v>
      </c>
      <c r="CI154" s="228">
        <v>0</v>
      </c>
      <c r="CJ154" s="229">
        <v>1.6000000000000001E-3</v>
      </c>
      <c r="CK154" s="228">
        <v>2</v>
      </c>
      <c r="CL154" s="228">
        <v>2</v>
      </c>
      <c r="CM154" s="228">
        <v>0</v>
      </c>
      <c r="CN154" s="229">
        <v>2.7E-2</v>
      </c>
      <c r="CO154" s="228">
        <v>513</v>
      </c>
      <c r="CP154" s="228">
        <v>476</v>
      </c>
      <c r="CQ154" s="228">
        <v>37</v>
      </c>
      <c r="CR154" s="229">
        <v>7.8799999999999995E-2</v>
      </c>
      <c r="CS154" s="228">
        <v>387</v>
      </c>
      <c r="CT154" s="228">
        <v>380</v>
      </c>
      <c r="CU154" s="228">
        <v>7</v>
      </c>
      <c r="CV154" s="229">
        <v>1.8599999999999998E-2</v>
      </c>
      <c r="CW154" s="230">
        <v>2199</v>
      </c>
      <c r="CX154" s="230">
        <v>2160</v>
      </c>
      <c r="CY154" s="228">
        <v>39</v>
      </c>
      <c r="CZ154" s="229">
        <v>1.7999999999999999E-2</v>
      </c>
      <c r="DA154" s="228">
        <v>34.75</v>
      </c>
      <c r="DB154" s="228">
        <v>33.909999999999997</v>
      </c>
      <c r="DC154" s="228">
        <v>0.84</v>
      </c>
      <c r="DD154" s="228">
        <v>0.84</v>
      </c>
      <c r="DE154" s="228">
        <v>31.32</v>
      </c>
      <c r="DF154" s="228">
        <v>31.4</v>
      </c>
      <c r="DG154" s="228">
        <v>3.43</v>
      </c>
      <c r="DH154" s="228">
        <v>-0.08</v>
      </c>
      <c r="DI154" s="228">
        <v>34.28</v>
      </c>
      <c r="DJ154" s="228">
        <v>33.659999999999997</v>
      </c>
      <c r="DK154" s="228">
        <v>0.62</v>
      </c>
      <c r="DL154" s="228">
        <v>0.62</v>
      </c>
      <c r="DM154" s="228">
        <v>35.79</v>
      </c>
      <c r="DN154" s="228">
        <v>35.01</v>
      </c>
      <c r="DO154" s="228">
        <v>0.78</v>
      </c>
      <c r="DP154" s="228">
        <v>0.78</v>
      </c>
      <c r="DQ154" s="228">
        <v>0.75</v>
      </c>
      <c r="DR154" s="228">
        <v>0.8</v>
      </c>
      <c r="DS154" s="228">
        <v>-0.05</v>
      </c>
      <c r="DT154" s="229">
        <v>-6.25E-2</v>
      </c>
      <c r="DU154" s="228">
        <v>300</v>
      </c>
      <c r="DV154" s="228">
        <v>300</v>
      </c>
      <c r="DW154" s="228">
        <v>0.46</v>
      </c>
      <c r="DX154" s="228">
        <v>0.23</v>
      </c>
      <c r="DY154" s="228">
        <v>0.23</v>
      </c>
      <c r="DZ154" s="229">
        <v>1</v>
      </c>
      <c r="EA154" s="229">
        <v>8.3799999999999999E-2</v>
      </c>
      <c r="EB154" s="230">
        <v>3572000</v>
      </c>
      <c r="EC154" s="229">
        <v>7.1999999999999998E-3</v>
      </c>
      <c r="ED154" s="229">
        <v>8.3799999999999999E-2</v>
      </c>
      <c r="EE154" s="228">
        <v>1.91</v>
      </c>
      <c r="EF154" s="229">
        <v>6.3E-3</v>
      </c>
      <c r="EG154" s="230">
        <v>994257</v>
      </c>
      <c r="EH154" s="230">
        <v>1396401</v>
      </c>
      <c r="EI154" s="229">
        <v>-0.28799999999999998</v>
      </c>
      <c r="EJ154" s="229">
        <v>0.63639999999999997</v>
      </c>
      <c r="EK154" s="228">
        <v>321.23</v>
      </c>
      <c r="EL154" s="228">
        <v>137.86000000000001</v>
      </c>
      <c r="EM154" s="228">
        <v>57.19</v>
      </c>
      <c r="EN154" s="228">
        <v>18.829999999999998</v>
      </c>
      <c r="EO154" s="228">
        <v>516.28</v>
      </c>
      <c r="EP154" s="228">
        <v>943.64</v>
      </c>
      <c r="EQ154" s="228">
        <v>-427.36</v>
      </c>
      <c r="ER154" s="229">
        <v>-0.45290000000000002</v>
      </c>
      <c r="ES154" s="228">
        <v>514.04</v>
      </c>
      <c r="ET154" s="228">
        <v>359.35</v>
      </c>
      <c r="EU154" s="231">
        <v>1300.08</v>
      </c>
      <c r="EV154" s="231">
        <v>108255733</v>
      </c>
      <c r="EW154" s="231">
        <v>2173.4699999999998</v>
      </c>
      <c r="EX154" s="231">
        <v>2134.37</v>
      </c>
      <c r="EY154" s="228">
        <v>39.1</v>
      </c>
      <c r="EZ154" s="229">
        <v>1.83E-2</v>
      </c>
      <c r="FA154" s="229">
        <v>0.66820000000000002</v>
      </c>
      <c r="FB154" s="227" t="s">
        <v>568</v>
      </c>
      <c r="FC154">
        <f t="shared" si="3"/>
        <v>0</v>
      </c>
    </row>
    <row r="155" spans="1:159" ht="17.25" thickBot="1" x14ac:dyDescent="0.3">
      <c r="A155" s="226">
        <v>46064</v>
      </c>
      <c r="B155" s="227" t="s">
        <v>175</v>
      </c>
      <c r="C155" s="227" t="s">
        <v>273</v>
      </c>
      <c r="D155" s="228">
        <v>1300</v>
      </c>
      <c r="E155" s="228">
        <v>13</v>
      </c>
      <c r="F155" s="228">
        <v>413.45</v>
      </c>
      <c r="G155" s="228">
        <v>410.65</v>
      </c>
      <c r="H155" s="228">
        <v>2.8</v>
      </c>
      <c r="I155" s="229">
        <v>6.7999999999999996E-3</v>
      </c>
      <c r="J155" s="228">
        <v>415.85</v>
      </c>
      <c r="K155" s="228">
        <v>413.25</v>
      </c>
      <c r="L155" s="228">
        <v>2.6</v>
      </c>
      <c r="M155" s="229">
        <v>6.3E-3</v>
      </c>
      <c r="N155" s="228">
        <v>413.45</v>
      </c>
      <c r="O155" s="228">
        <v>410.65</v>
      </c>
      <c r="P155" s="228">
        <v>2.8</v>
      </c>
      <c r="Q155" s="229">
        <v>6.7999999999999996E-3</v>
      </c>
      <c r="R155" s="228">
        <v>412.9</v>
      </c>
      <c r="S155" s="228">
        <v>410.25</v>
      </c>
      <c r="T155" s="228">
        <v>2.65</v>
      </c>
      <c r="U155" s="229">
        <v>6.4999999999999997E-3</v>
      </c>
      <c r="V155" s="228">
        <v>415.55</v>
      </c>
      <c r="W155" s="228">
        <v>413.6</v>
      </c>
      <c r="X155" s="228">
        <v>1.95</v>
      </c>
      <c r="Y155" s="229">
        <v>4.7000000000000002E-3</v>
      </c>
      <c r="Z155" s="228">
        <v>-2.4</v>
      </c>
      <c r="AA155" s="228">
        <v>-2.6</v>
      </c>
      <c r="AB155" s="228">
        <v>0.2</v>
      </c>
      <c r="AC155" s="229">
        <v>-5.7999999999999996E-3</v>
      </c>
      <c r="AD155" s="228">
        <v>-2.4</v>
      </c>
      <c r="AE155" s="228">
        <v>-2.6</v>
      </c>
      <c r="AF155" s="228">
        <v>0.2</v>
      </c>
      <c r="AG155" s="229">
        <v>-5.7999999999999996E-3</v>
      </c>
      <c r="AH155" s="228">
        <v>-2.95</v>
      </c>
      <c r="AI155" s="228">
        <v>-3</v>
      </c>
      <c r="AJ155" s="228">
        <v>0.05</v>
      </c>
      <c r="AK155" s="229">
        <v>-7.1000000000000004E-3</v>
      </c>
      <c r="AL155" s="228">
        <v>-0.3</v>
      </c>
      <c r="AM155" s="228">
        <v>0.35</v>
      </c>
      <c r="AN155" s="228">
        <v>-0.65</v>
      </c>
      <c r="AO155" s="229">
        <v>-6.9999999999999999E-4</v>
      </c>
      <c r="AP155" s="228">
        <v>411.51</v>
      </c>
      <c r="AQ155" s="228">
        <v>410.89</v>
      </c>
      <c r="AR155" s="228">
        <v>0</v>
      </c>
      <c r="AS155" s="228">
        <v>365</v>
      </c>
      <c r="AT155" s="228">
        <v>593</v>
      </c>
      <c r="AU155" s="228">
        <v>-229</v>
      </c>
      <c r="AV155" s="229">
        <v>-0.38579999999999998</v>
      </c>
      <c r="AW155" s="228">
        <v>318</v>
      </c>
      <c r="AX155" s="228">
        <v>469</v>
      </c>
      <c r="AY155" s="228">
        <v>-151</v>
      </c>
      <c r="AZ155" s="229">
        <v>-0.32200000000000001</v>
      </c>
      <c r="BA155" s="228">
        <v>43</v>
      </c>
      <c r="BB155" s="228">
        <v>121</v>
      </c>
      <c r="BC155" s="228">
        <v>-77</v>
      </c>
      <c r="BD155" s="229">
        <v>-0.64049999999999996</v>
      </c>
      <c r="BE155" s="228">
        <v>3</v>
      </c>
      <c r="BF155" s="228">
        <v>4</v>
      </c>
      <c r="BG155" s="228">
        <v>-1</v>
      </c>
      <c r="BH155" s="229">
        <v>-0.1857</v>
      </c>
      <c r="BI155" s="230">
        <v>1110</v>
      </c>
      <c r="BJ155" s="230">
        <v>1706</v>
      </c>
      <c r="BK155" s="228">
        <v>-597</v>
      </c>
      <c r="BL155" s="229">
        <v>-0.34960000000000002</v>
      </c>
      <c r="BM155" s="228">
        <v>560</v>
      </c>
      <c r="BN155" s="228">
        <v>866</v>
      </c>
      <c r="BO155" s="228">
        <v>-306</v>
      </c>
      <c r="BP155" s="229">
        <v>-0.35349999999999998</v>
      </c>
      <c r="BQ155" s="230">
        <v>2034</v>
      </c>
      <c r="BR155" s="230">
        <v>3166</v>
      </c>
      <c r="BS155" s="230">
        <v>-1132</v>
      </c>
      <c r="BT155" s="229">
        <v>-0.35749999999999998</v>
      </c>
      <c r="BU155" s="230">
        <v>3707155</v>
      </c>
      <c r="BV155" s="230">
        <v>8951150</v>
      </c>
      <c r="BW155" s="230">
        <v>-5243995</v>
      </c>
      <c r="BX155" s="229">
        <v>-0.58579999999999999</v>
      </c>
      <c r="BY155" s="230">
        <v>2821</v>
      </c>
      <c r="BZ155" s="230">
        <v>2822</v>
      </c>
      <c r="CA155" s="228">
        <v>0</v>
      </c>
      <c r="CB155" s="229">
        <v>-1E-4</v>
      </c>
      <c r="CC155" s="230">
        <v>2387</v>
      </c>
      <c r="CD155" s="230">
        <v>2393</v>
      </c>
      <c r="CE155" s="228">
        <v>-6</v>
      </c>
      <c r="CF155" s="229">
        <v>-2.5000000000000001E-3</v>
      </c>
      <c r="CG155" s="228">
        <v>417</v>
      </c>
      <c r="CH155" s="228">
        <v>412</v>
      </c>
      <c r="CI155" s="228">
        <v>5</v>
      </c>
      <c r="CJ155" s="229">
        <v>1.24E-2</v>
      </c>
      <c r="CK155" s="228">
        <v>17</v>
      </c>
      <c r="CL155" s="228">
        <v>17</v>
      </c>
      <c r="CM155" s="228">
        <v>1</v>
      </c>
      <c r="CN155" s="229">
        <v>3.85E-2</v>
      </c>
      <c r="CO155" s="230">
        <v>1387</v>
      </c>
      <c r="CP155" s="230">
        <v>1363</v>
      </c>
      <c r="CQ155" s="228">
        <v>24</v>
      </c>
      <c r="CR155" s="229">
        <v>1.77E-2</v>
      </c>
      <c r="CS155" s="228">
        <v>955</v>
      </c>
      <c r="CT155" s="228">
        <v>962</v>
      </c>
      <c r="CU155" s="228">
        <v>-7</v>
      </c>
      <c r="CV155" s="229">
        <v>-7.6E-3</v>
      </c>
      <c r="CW155" s="230">
        <v>5163</v>
      </c>
      <c r="CX155" s="230">
        <v>5146</v>
      </c>
      <c r="CY155" s="228">
        <v>17</v>
      </c>
      <c r="CZ155" s="229">
        <v>3.2000000000000002E-3</v>
      </c>
      <c r="DA155" s="228">
        <v>31.07</v>
      </c>
      <c r="DB155" s="228">
        <v>32.72</v>
      </c>
      <c r="DC155" s="228">
        <v>-1.65</v>
      </c>
      <c r="DD155" s="228">
        <v>-1.65</v>
      </c>
      <c r="DE155" s="228">
        <v>41</v>
      </c>
      <c r="DF155" s="228">
        <v>41.09</v>
      </c>
      <c r="DG155" s="228">
        <v>-9.93</v>
      </c>
      <c r="DH155" s="228">
        <v>-0.09</v>
      </c>
      <c r="DI155" s="228">
        <v>30.61</v>
      </c>
      <c r="DJ155" s="228">
        <v>32.729999999999997</v>
      </c>
      <c r="DK155" s="228">
        <v>-2.12</v>
      </c>
      <c r="DL155" s="228">
        <v>-2.12</v>
      </c>
      <c r="DM155" s="228">
        <v>31.99</v>
      </c>
      <c r="DN155" s="228">
        <v>32.71</v>
      </c>
      <c r="DO155" s="228">
        <v>-0.72</v>
      </c>
      <c r="DP155" s="228">
        <v>-0.72</v>
      </c>
      <c r="DQ155" s="228">
        <v>0.69</v>
      </c>
      <c r="DR155" s="228">
        <v>0.71</v>
      </c>
      <c r="DS155" s="228">
        <v>-0.02</v>
      </c>
      <c r="DT155" s="229">
        <v>-2.8199999999999999E-2</v>
      </c>
      <c r="DU155" s="228">
        <v>420</v>
      </c>
      <c r="DV155" s="228">
        <v>400</v>
      </c>
      <c r="DW155" s="228">
        <v>0.5</v>
      </c>
      <c r="DX155" s="228">
        <v>0.51</v>
      </c>
      <c r="DY155" s="228">
        <v>-0.01</v>
      </c>
      <c r="DZ155" s="229">
        <v>-1.9599999999999999E-2</v>
      </c>
      <c r="EA155" s="229">
        <v>0.15409999999999999</v>
      </c>
      <c r="EB155" s="230">
        <v>10372700</v>
      </c>
      <c r="EC155" s="229">
        <v>-1.2999999999999999E-3</v>
      </c>
      <c r="ED155" s="229">
        <v>0.15409999999999999</v>
      </c>
      <c r="EE155" s="228">
        <v>-0.62</v>
      </c>
      <c r="EF155" s="229">
        <v>-1.5E-3</v>
      </c>
      <c r="EG155" s="230">
        <v>1586295</v>
      </c>
      <c r="EH155" s="230">
        <v>4316439</v>
      </c>
      <c r="EI155" s="229">
        <v>-0.63249999999999995</v>
      </c>
      <c r="EJ155" s="229">
        <v>0.4279</v>
      </c>
      <c r="EK155" s="231">
        <v>1148.3499999999999</v>
      </c>
      <c r="EL155" s="228">
        <v>553.83000000000004</v>
      </c>
      <c r="EM155" s="228">
        <v>362.77</v>
      </c>
      <c r="EN155" s="228">
        <v>186</v>
      </c>
      <c r="EO155" s="231">
        <v>2064.9499999999998</v>
      </c>
      <c r="EP155" s="231">
        <v>3214.95</v>
      </c>
      <c r="EQ155" s="231">
        <v>-1150</v>
      </c>
      <c r="ER155" s="229">
        <v>-0.35770000000000002</v>
      </c>
      <c r="ES155" s="231">
        <v>1386.33</v>
      </c>
      <c r="ET155" s="228">
        <v>885.25</v>
      </c>
      <c r="EU155" s="231">
        <v>2820.74</v>
      </c>
      <c r="EV155" s="231">
        <v>217835555</v>
      </c>
      <c r="EW155" s="231">
        <v>5092.32</v>
      </c>
      <c r="EX155" s="231">
        <v>5053.97</v>
      </c>
      <c r="EY155" s="228">
        <v>38.35</v>
      </c>
      <c r="EZ155" s="229">
        <v>7.6E-3</v>
      </c>
      <c r="FA155" s="229">
        <v>0.57320000000000004</v>
      </c>
      <c r="FB155" s="227" t="s">
        <v>556</v>
      </c>
      <c r="FC155">
        <f t="shared" si="3"/>
        <v>0</v>
      </c>
    </row>
    <row r="156" spans="1:159" ht="17.25" thickBot="1" x14ac:dyDescent="0.3">
      <c r="A156" s="226">
        <v>46064</v>
      </c>
      <c r="B156" s="227" t="s">
        <v>184</v>
      </c>
      <c r="C156" s="227" t="s">
        <v>679</v>
      </c>
      <c r="D156" s="228">
        <v>950</v>
      </c>
      <c r="E156" s="228">
        <v>13</v>
      </c>
      <c r="F156" s="228">
        <v>618.15</v>
      </c>
      <c r="G156" s="228">
        <v>604.25</v>
      </c>
      <c r="H156" s="228">
        <v>13.9</v>
      </c>
      <c r="I156" s="229">
        <v>2.3E-2</v>
      </c>
      <c r="J156" s="228">
        <v>617.75</v>
      </c>
      <c r="K156" s="228">
        <v>601.79999999999995</v>
      </c>
      <c r="L156" s="228">
        <v>15.95</v>
      </c>
      <c r="M156" s="229">
        <v>2.6499999999999999E-2</v>
      </c>
      <c r="N156" s="228">
        <v>618.15</v>
      </c>
      <c r="O156" s="228">
        <v>604.25</v>
      </c>
      <c r="P156" s="228">
        <v>13.9</v>
      </c>
      <c r="Q156" s="229">
        <v>2.3E-2</v>
      </c>
      <c r="R156" s="228">
        <v>618.95000000000005</v>
      </c>
      <c r="S156" s="228">
        <v>605.54999999999995</v>
      </c>
      <c r="T156" s="228">
        <v>13.4</v>
      </c>
      <c r="U156" s="229">
        <v>2.2100000000000002E-2</v>
      </c>
      <c r="V156" s="228">
        <v>622</v>
      </c>
      <c r="W156" s="228">
        <v>605.20000000000005</v>
      </c>
      <c r="X156" s="228">
        <v>16.8</v>
      </c>
      <c r="Y156" s="229">
        <v>2.7799999999999998E-2</v>
      </c>
      <c r="Z156" s="228">
        <v>0.4</v>
      </c>
      <c r="AA156" s="228">
        <v>2.4500000000000002</v>
      </c>
      <c r="AB156" s="228">
        <v>-2.0499999999999998</v>
      </c>
      <c r="AC156" s="229">
        <v>5.9999999999999995E-4</v>
      </c>
      <c r="AD156" s="228">
        <v>0.4</v>
      </c>
      <c r="AE156" s="228">
        <v>2.4500000000000002</v>
      </c>
      <c r="AF156" s="228">
        <v>-2.0499999999999998</v>
      </c>
      <c r="AG156" s="229">
        <v>5.9999999999999995E-4</v>
      </c>
      <c r="AH156" s="228">
        <v>1.2</v>
      </c>
      <c r="AI156" s="228">
        <v>3.75</v>
      </c>
      <c r="AJ156" s="228">
        <v>-2.5499999999999998</v>
      </c>
      <c r="AK156" s="229">
        <v>1.9E-3</v>
      </c>
      <c r="AL156" s="228">
        <v>4.25</v>
      </c>
      <c r="AM156" s="228">
        <v>3.4</v>
      </c>
      <c r="AN156" s="228">
        <v>0.85</v>
      </c>
      <c r="AO156" s="229">
        <v>6.8999999999999999E-3</v>
      </c>
      <c r="AP156" s="228">
        <v>616.65</v>
      </c>
      <c r="AQ156" s="228">
        <v>618.04999999999995</v>
      </c>
      <c r="AR156" s="228">
        <v>0</v>
      </c>
      <c r="AS156" s="228">
        <v>276</v>
      </c>
      <c r="AT156" s="228">
        <v>320</v>
      </c>
      <c r="AU156" s="228">
        <v>-44</v>
      </c>
      <c r="AV156" s="229">
        <v>-0.1376</v>
      </c>
      <c r="AW156" s="228">
        <v>257</v>
      </c>
      <c r="AX156" s="228">
        <v>298</v>
      </c>
      <c r="AY156" s="228">
        <v>-41</v>
      </c>
      <c r="AZ156" s="229">
        <v>-0.13700000000000001</v>
      </c>
      <c r="BA156" s="228">
        <v>18</v>
      </c>
      <c r="BB156" s="228">
        <v>22</v>
      </c>
      <c r="BC156" s="228">
        <v>-4</v>
      </c>
      <c r="BD156" s="229">
        <v>-0.16300000000000001</v>
      </c>
      <c r="BE156" s="228">
        <v>1</v>
      </c>
      <c r="BF156" s="228">
        <v>1</v>
      </c>
      <c r="BG156" s="228">
        <v>0</v>
      </c>
      <c r="BH156" s="229">
        <v>0.5</v>
      </c>
      <c r="BI156" s="230">
        <v>1286</v>
      </c>
      <c r="BJ156" s="230">
        <v>1924</v>
      </c>
      <c r="BK156" s="228">
        <v>-637</v>
      </c>
      <c r="BL156" s="229">
        <v>-0.33129999999999998</v>
      </c>
      <c r="BM156" s="228">
        <v>532</v>
      </c>
      <c r="BN156" s="228">
        <v>608</v>
      </c>
      <c r="BO156" s="228">
        <v>-76</v>
      </c>
      <c r="BP156" s="229">
        <v>-0.12429999999999999</v>
      </c>
      <c r="BQ156" s="230">
        <v>2095</v>
      </c>
      <c r="BR156" s="230">
        <v>2852</v>
      </c>
      <c r="BS156" s="228">
        <v>-757</v>
      </c>
      <c r="BT156" s="229">
        <v>-0.26540000000000002</v>
      </c>
      <c r="BU156" s="230">
        <v>2824464</v>
      </c>
      <c r="BV156" s="230">
        <v>3507682</v>
      </c>
      <c r="BW156" s="230">
        <v>-683218</v>
      </c>
      <c r="BX156" s="229">
        <v>-0.1948</v>
      </c>
      <c r="BY156" s="228">
        <v>659</v>
      </c>
      <c r="BZ156" s="228">
        <v>685</v>
      </c>
      <c r="CA156" s="228">
        <v>-26</v>
      </c>
      <c r="CB156" s="229">
        <v>-3.7499999999999999E-2</v>
      </c>
      <c r="CC156" s="228">
        <v>618</v>
      </c>
      <c r="CD156" s="228">
        <v>644</v>
      </c>
      <c r="CE156" s="228">
        <v>-26</v>
      </c>
      <c r="CF156" s="229">
        <v>-4.0300000000000002E-2</v>
      </c>
      <c r="CG156" s="228">
        <v>39</v>
      </c>
      <c r="CH156" s="228">
        <v>39</v>
      </c>
      <c r="CI156" s="228">
        <v>0</v>
      </c>
      <c r="CJ156" s="229">
        <v>4.4999999999999997E-3</v>
      </c>
      <c r="CK156" s="228">
        <v>3</v>
      </c>
      <c r="CL156" s="228">
        <v>3</v>
      </c>
      <c r="CM156" s="228">
        <v>0</v>
      </c>
      <c r="CN156" s="229">
        <v>4.65E-2</v>
      </c>
      <c r="CO156" s="228">
        <v>432</v>
      </c>
      <c r="CP156" s="228">
        <v>489</v>
      </c>
      <c r="CQ156" s="228">
        <v>-57</v>
      </c>
      <c r="CR156" s="229">
        <v>-0.1171</v>
      </c>
      <c r="CS156" s="228">
        <v>364</v>
      </c>
      <c r="CT156" s="228">
        <v>364</v>
      </c>
      <c r="CU156" s="228">
        <v>0</v>
      </c>
      <c r="CV156" s="229">
        <v>-2.9999999999999997E-4</v>
      </c>
      <c r="CW156" s="230">
        <v>1456</v>
      </c>
      <c r="CX156" s="230">
        <v>1539</v>
      </c>
      <c r="CY156" s="228">
        <v>-83</v>
      </c>
      <c r="CZ156" s="229">
        <v>-5.3999999999999999E-2</v>
      </c>
      <c r="DA156" s="228">
        <v>41.36</v>
      </c>
      <c r="DB156" s="228">
        <v>42.06</v>
      </c>
      <c r="DC156" s="228">
        <v>-0.7</v>
      </c>
      <c r="DD156" s="228">
        <v>-0.7</v>
      </c>
      <c r="DE156" s="228">
        <v>63.25</v>
      </c>
      <c r="DF156" s="228">
        <v>63.33</v>
      </c>
      <c r="DG156" s="228">
        <v>-21.89</v>
      </c>
      <c r="DH156" s="228">
        <v>-0.08</v>
      </c>
      <c r="DI156" s="228">
        <v>40.799999999999997</v>
      </c>
      <c r="DJ156" s="228">
        <v>42.1</v>
      </c>
      <c r="DK156" s="228">
        <v>-1.3</v>
      </c>
      <c r="DL156" s="228">
        <v>-1.3</v>
      </c>
      <c r="DM156" s="228">
        <v>42.69</v>
      </c>
      <c r="DN156" s="228">
        <v>41.94</v>
      </c>
      <c r="DO156" s="228">
        <v>0.75</v>
      </c>
      <c r="DP156" s="228">
        <v>0.75</v>
      </c>
      <c r="DQ156" s="228">
        <v>0.84</v>
      </c>
      <c r="DR156" s="228">
        <v>0.74</v>
      </c>
      <c r="DS156" s="228">
        <v>0.1</v>
      </c>
      <c r="DT156" s="229">
        <v>0.1351</v>
      </c>
      <c r="DU156" s="228">
        <v>650</v>
      </c>
      <c r="DV156" s="228">
        <v>500</v>
      </c>
      <c r="DW156" s="228">
        <v>0.41</v>
      </c>
      <c r="DX156" s="228">
        <v>0.32</v>
      </c>
      <c r="DY156" s="228">
        <v>0.09</v>
      </c>
      <c r="DZ156" s="229">
        <v>0.28120000000000001</v>
      </c>
      <c r="EA156" s="229">
        <v>6.3299999999999995E-2</v>
      </c>
      <c r="EB156" s="230">
        <v>670700</v>
      </c>
      <c r="EC156" s="229">
        <v>1.2999999999999999E-3</v>
      </c>
      <c r="ED156" s="229">
        <v>6.3299999999999995E-2</v>
      </c>
      <c r="EE156" s="228">
        <v>1.4</v>
      </c>
      <c r="EF156" s="229">
        <v>2.3E-3</v>
      </c>
      <c r="EG156" s="230">
        <v>760449</v>
      </c>
      <c r="EH156" s="230">
        <v>985772</v>
      </c>
      <c r="EI156" s="229">
        <v>-0.2286</v>
      </c>
      <c r="EJ156" s="229">
        <v>0.26919999999999999</v>
      </c>
      <c r="EK156" s="231">
        <v>1345.14</v>
      </c>
      <c r="EL156" s="228">
        <v>509.37</v>
      </c>
      <c r="EM156" s="228">
        <v>275.5</v>
      </c>
      <c r="EN156" s="228">
        <v>45.33</v>
      </c>
      <c r="EO156" s="231">
        <v>2130.0100000000002</v>
      </c>
      <c r="EP156" s="231">
        <v>2873.44</v>
      </c>
      <c r="EQ156" s="228">
        <v>-743.43</v>
      </c>
      <c r="ER156" s="229">
        <v>-0.25869999999999999</v>
      </c>
      <c r="ES156" s="228">
        <v>430.72</v>
      </c>
      <c r="ET156" s="228">
        <v>325.14999999999998</v>
      </c>
      <c r="EU156" s="228">
        <v>659.54</v>
      </c>
      <c r="EV156" s="231">
        <v>24030912</v>
      </c>
      <c r="EW156" s="231">
        <v>1415.42</v>
      </c>
      <c r="EX156" s="231">
        <v>1476.2</v>
      </c>
      <c r="EY156" s="228">
        <v>-60.78</v>
      </c>
      <c r="EZ156" s="229">
        <v>-4.1200000000000001E-2</v>
      </c>
      <c r="FA156" s="229">
        <v>0.98009999999999997</v>
      </c>
      <c r="FB156" s="227" t="s">
        <v>556</v>
      </c>
      <c r="FC156">
        <f t="shared" si="3"/>
        <v>0</v>
      </c>
    </row>
    <row r="157" spans="1:159" ht="17.25" thickBot="1" x14ac:dyDescent="0.3">
      <c r="A157" s="226">
        <v>46064</v>
      </c>
      <c r="B157" s="227" t="s">
        <v>206</v>
      </c>
      <c r="C157" s="227" t="s">
        <v>645</v>
      </c>
      <c r="D157" s="228">
        <v>350</v>
      </c>
      <c r="E157" s="228">
        <v>13</v>
      </c>
      <c r="F157" s="231">
        <v>1787.6</v>
      </c>
      <c r="G157" s="231">
        <v>1764.6</v>
      </c>
      <c r="H157" s="228">
        <v>23</v>
      </c>
      <c r="I157" s="229">
        <v>1.2999999999999999E-2</v>
      </c>
      <c r="J157" s="231">
        <v>1784</v>
      </c>
      <c r="K157" s="231">
        <v>1758.7</v>
      </c>
      <c r="L157" s="228">
        <v>25.3</v>
      </c>
      <c r="M157" s="229">
        <v>1.44E-2</v>
      </c>
      <c r="N157" s="231">
        <v>1787.6</v>
      </c>
      <c r="O157" s="231">
        <v>1764.6</v>
      </c>
      <c r="P157" s="228">
        <v>23</v>
      </c>
      <c r="Q157" s="229">
        <v>1.2999999999999999E-2</v>
      </c>
      <c r="R157" s="231">
        <v>1793.8</v>
      </c>
      <c r="S157" s="231">
        <v>1772.2</v>
      </c>
      <c r="T157" s="228">
        <v>21.6</v>
      </c>
      <c r="U157" s="229">
        <v>1.2200000000000001E-2</v>
      </c>
      <c r="V157" s="231">
        <v>1810.7</v>
      </c>
      <c r="W157" s="231">
        <v>1769.6</v>
      </c>
      <c r="X157" s="228">
        <v>41.1</v>
      </c>
      <c r="Y157" s="229">
        <v>2.3199999999999998E-2</v>
      </c>
      <c r="Z157" s="228">
        <v>3.6</v>
      </c>
      <c r="AA157" s="228">
        <v>5.9</v>
      </c>
      <c r="AB157" s="228">
        <v>-2.2999999999999998</v>
      </c>
      <c r="AC157" s="229">
        <v>2E-3</v>
      </c>
      <c r="AD157" s="228">
        <v>3.6</v>
      </c>
      <c r="AE157" s="228">
        <v>5.9</v>
      </c>
      <c r="AF157" s="228">
        <v>-2.2999999999999998</v>
      </c>
      <c r="AG157" s="229">
        <v>2E-3</v>
      </c>
      <c r="AH157" s="228">
        <v>9.8000000000000007</v>
      </c>
      <c r="AI157" s="228">
        <v>13.5</v>
      </c>
      <c r="AJ157" s="228">
        <v>-3.7</v>
      </c>
      <c r="AK157" s="229">
        <v>5.4999999999999997E-3</v>
      </c>
      <c r="AL157" s="228">
        <v>26.7</v>
      </c>
      <c r="AM157" s="228">
        <v>10.9</v>
      </c>
      <c r="AN157" s="228">
        <v>15.8</v>
      </c>
      <c r="AO157" s="229">
        <v>1.4999999999999999E-2</v>
      </c>
      <c r="AP157" s="231">
        <v>1787.39</v>
      </c>
      <c r="AQ157" s="231">
        <v>1792.36</v>
      </c>
      <c r="AR157" s="228">
        <v>0</v>
      </c>
      <c r="AS157" s="228">
        <v>113</v>
      </c>
      <c r="AT157" s="228">
        <v>46</v>
      </c>
      <c r="AU157" s="228">
        <v>66</v>
      </c>
      <c r="AV157" s="229">
        <v>1.4305000000000001</v>
      </c>
      <c r="AW157" s="228">
        <v>109</v>
      </c>
      <c r="AX157" s="228">
        <v>44</v>
      </c>
      <c r="AY157" s="228">
        <v>65</v>
      </c>
      <c r="AZ157" s="229">
        <v>1.4689000000000001</v>
      </c>
      <c r="BA157" s="228">
        <v>3</v>
      </c>
      <c r="BB157" s="228">
        <v>2</v>
      </c>
      <c r="BC157" s="228">
        <v>1</v>
      </c>
      <c r="BD157" s="229">
        <v>0.30299999999999999</v>
      </c>
      <c r="BE157" s="228">
        <v>1</v>
      </c>
      <c r="BF157" s="228">
        <v>0</v>
      </c>
      <c r="BG157" s="228">
        <v>1</v>
      </c>
      <c r="BH157" s="229">
        <v>0</v>
      </c>
      <c r="BI157" s="228">
        <v>668</v>
      </c>
      <c r="BJ157" s="228">
        <v>259</v>
      </c>
      <c r="BK157" s="228">
        <v>409</v>
      </c>
      <c r="BL157" s="229">
        <v>1.5760000000000001</v>
      </c>
      <c r="BM157" s="228">
        <v>368</v>
      </c>
      <c r="BN157" s="228">
        <v>115</v>
      </c>
      <c r="BO157" s="228">
        <v>253</v>
      </c>
      <c r="BP157" s="229">
        <v>2.1970999999999998</v>
      </c>
      <c r="BQ157" s="230">
        <v>1149</v>
      </c>
      <c r="BR157" s="228">
        <v>421</v>
      </c>
      <c r="BS157" s="228">
        <v>728</v>
      </c>
      <c r="BT157" s="229">
        <v>1.73</v>
      </c>
      <c r="BU157" s="230">
        <v>763672</v>
      </c>
      <c r="BV157" s="230">
        <v>238019</v>
      </c>
      <c r="BW157" s="230">
        <v>525653</v>
      </c>
      <c r="BX157" s="229">
        <v>2.2084000000000001</v>
      </c>
      <c r="BY157" s="228">
        <v>878</v>
      </c>
      <c r="BZ157" s="228">
        <v>846</v>
      </c>
      <c r="CA157" s="228">
        <v>32</v>
      </c>
      <c r="CB157" s="229">
        <v>3.73E-2</v>
      </c>
      <c r="CC157" s="228">
        <v>868</v>
      </c>
      <c r="CD157" s="228">
        <v>837</v>
      </c>
      <c r="CE157" s="228">
        <v>31</v>
      </c>
      <c r="CF157" s="229">
        <v>3.6799999999999999E-2</v>
      </c>
      <c r="CG157" s="228">
        <v>10</v>
      </c>
      <c r="CH157" s="228">
        <v>9</v>
      </c>
      <c r="CI157" s="228">
        <v>1</v>
      </c>
      <c r="CJ157" s="229">
        <v>6.2100000000000002E-2</v>
      </c>
      <c r="CK157" s="228">
        <v>1</v>
      </c>
      <c r="CL157" s="228">
        <v>0</v>
      </c>
      <c r="CM157" s="228">
        <v>0</v>
      </c>
      <c r="CN157" s="229">
        <v>0.5</v>
      </c>
      <c r="CO157" s="228">
        <v>232</v>
      </c>
      <c r="CP157" s="228">
        <v>223</v>
      </c>
      <c r="CQ157" s="228">
        <v>9</v>
      </c>
      <c r="CR157" s="229">
        <v>4.0899999999999999E-2</v>
      </c>
      <c r="CS157" s="228">
        <v>168</v>
      </c>
      <c r="CT157" s="228">
        <v>128</v>
      </c>
      <c r="CU157" s="228">
        <v>40</v>
      </c>
      <c r="CV157" s="229">
        <v>0.3125</v>
      </c>
      <c r="CW157" s="230">
        <v>1278</v>
      </c>
      <c r="CX157" s="230">
        <v>1198</v>
      </c>
      <c r="CY157" s="228">
        <v>81</v>
      </c>
      <c r="CZ157" s="229">
        <v>6.7400000000000002E-2</v>
      </c>
      <c r="DA157" s="228">
        <v>24.92</v>
      </c>
      <c r="DB157" s="228">
        <v>24.51</v>
      </c>
      <c r="DC157" s="228">
        <v>0.41</v>
      </c>
      <c r="DD157" s="228">
        <v>0.41</v>
      </c>
      <c r="DE157" s="228">
        <v>39.07</v>
      </c>
      <c r="DF157" s="228">
        <v>39.119999999999997</v>
      </c>
      <c r="DG157" s="228">
        <v>-14.15</v>
      </c>
      <c r="DH157" s="228">
        <v>-0.05</v>
      </c>
      <c r="DI157" s="228">
        <v>24.49</v>
      </c>
      <c r="DJ157" s="228">
        <v>23.85</v>
      </c>
      <c r="DK157" s="228">
        <v>0.64</v>
      </c>
      <c r="DL157" s="228">
        <v>0.64</v>
      </c>
      <c r="DM157" s="228">
        <v>25.71</v>
      </c>
      <c r="DN157" s="228">
        <v>26.01</v>
      </c>
      <c r="DO157" s="228">
        <v>-0.3</v>
      </c>
      <c r="DP157" s="228">
        <v>-0.3</v>
      </c>
      <c r="DQ157" s="228">
        <v>0.72</v>
      </c>
      <c r="DR157" s="228">
        <v>0.56999999999999995</v>
      </c>
      <c r="DS157" s="228">
        <v>0.15</v>
      </c>
      <c r="DT157" s="229">
        <v>0.26319999999999999</v>
      </c>
      <c r="DU157" s="231">
        <v>1880</v>
      </c>
      <c r="DV157" s="231">
        <v>1700</v>
      </c>
      <c r="DW157" s="228">
        <v>0.55000000000000004</v>
      </c>
      <c r="DX157" s="228">
        <v>0.44</v>
      </c>
      <c r="DY157" s="228">
        <v>0.11</v>
      </c>
      <c r="DZ157" s="229">
        <v>0.25</v>
      </c>
      <c r="EA157" s="229">
        <v>1.1599999999999999E-2</v>
      </c>
      <c r="EB157" s="230">
        <v>52850</v>
      </c>
      <c r="EC157" s="229">
        <v>3.5000000000000001E-3</v>
      </c>
      <c r="ED157" s="229">
        <v>1.1599999999999999E-2</v>
      </c>
      <c r="EE157" s="228">
        <v>4.97</v>
      </c>
      <c r="EF157" s="229">
        <v>2.8E-3</v>
      </c>
      <c r="EG157" s="230">
        <v>509950</v>
      </c>
      <c r="EH157" s="230">
        <v>154714</v>
      </c>
      <c r="EI157" s="229">
        <v>2.2961</v>
      </c>
      <c r="EJ157" s="229">
        <v>0.66779999999999995</v>
      </c>
      <c r="EK157" s="228">
        <v>695.08</v>
      </c>
      <c r="EL157" s="228">
        <v>353.96</v>
      </c>
      <c r="EM157" s="228">
        <v>112.68</v>
      </c>
      <c r="EN157" s="228">
        <v>14.42</v>
      </c>
      <c r="EO157" s="231">
        <v>1161.72</v>
      </c>
      <c r="EP157" s="228">
        <v>422.69</v>
      </c>
      <c r="EQ157" s="228">
        <v>739.03</v>
      </c>
      <c r="ER157" s="229">
        <v>1.7484</v>
      </c>
      <c r="ES157" s="228">
        <v>239.41</v>
      </c>
      <c r="ET157" s="228">
        <v>158.38999999999999</v>
      </c>
      <c r="EU157" s="228">
        <v>877.9</v>
      </c>
      <c r="EV157" s="231">
        <v>19533471</v>
      </c>
      <c r="EW157" s="231">
        <v>1275.7</v>
      </c>
      <c r="EX157" s="231">
        <v>1183.02</v>
      </c>
      <c r="EY157" s="228">
        <v>92.68</v>
      </c>
      <c r="EZ157" s="229">
        <v>7.8299999999999995E-2</v>
      </c>
      <c r="FA157" s="229">
        <v>0.36609999999999998</v>
      </c>
      <c r="FB157" s="227" t="s">
        <v>555</v>
      </c>
      <c r="FC157">
        <f t="shared" si="3"/>
        <v>0</v>
      </c>
    </row>
    <row r="158" spans="1:159" ht="17.25" thickBot="1" x14ac:dyDescent="0.3">
      <c r="A158" s="226">
        <v>46064</v>
      </c>
      <c r="B158" s="227" t="s">
        <v>168</v>
      </c>
      <c r="C158" s="227" t="s">
        <v>274</v>
      </c>
      <c r="D158" s="228">
        <v>500</v>
      </c>
      <c r="E158" s="228">
        <v>13</v>
      </c>
      <c r="F158" s="231">
        <v>1480.5</v>
      </c>
      <c r="G158" s="231">
        <v>1479.8</v>
      </c>
      <c r="H158" s="228">
        <v>0.7</v>
      </c>
      <c r="I158" s="229">
        <v>5.0000000000000001E-4</v>
      </c>
      <c r="J158" s="231">
        <v>1480.1</v>
      </c>
      <c r="K158" s="231">
        <v>1478.9</v>
      </c>
      <c r="L158" s="228">
        <v>1.2</v>
      </c>
      <c r="M158" s="229">
        <v>8.0000000000000004E-4</v>
      </c>
      <c r="N158" s="231">
        <v>1480.5</v>
      </c>
      <c r="O158" s="231">
        <v>1479.8</v>
      </c>
      <c r="P158" s="228">
        <v>0.7</v>
      </c>
      <c r="Q158" s="229">
        <v>5.0000000000000001E-4</v>
      </c>
      <c r="R158" s="231">
        <v>1488.1</v>
      </c>
      <c r="S158" s="231">
        <v>1488.5</v>
      </c>
      <c r="T158" s="228">
        <v>-0.4</v>
      </c>
      <c r="U158" s="229">
        <v>-2.9999999999999997E-4</v>
      </c>
      <c r="V158" s="231">
        <v>1500.2</v>
      </c>
      <c r="W158" s="231">
        <v>1497.5</v>
      </c>
      <c r="X158" s="228">
        <v>2.7</v>
      </c>
      <c r="Y158" s="229">
        <v>1.8E-3</v>
      </c>
      <c r="Z158" s="228">
        <v>0.4</v>
      </c>
      <c r="AA158" s="228">
        <v>0.9</v>
      </c>
      <c r="AB158" s="228">
        <v>-0.5</v>
      </c>
      <c r="AC158" s="229">
        <v>2.9999999999999997E-4</v>
      </c>
      <c r="AD158" s="228">
        <v>0.4</v>
      </c>
      <c r="AE158" s="228">
        <v>0.9</v>
      </c>
      <c r="AF158" s="228">
        <v>-0.5</v>
      </c>
      <c r="AG158" s="229">
        <v>2.9999999999999997E-4</v>
      </c>
      <c r="AH158" s="228">
        <v>8</v>
      </c>
      <c r="AI158" s="228">
        <v>9.6</v>
      </c>
      <c r="AJ158" s="228">
        <v>-1.6</v>
      </c>
      <c r="AK158" s="229">
        <v>5.4000000000000003E-3</v>
      </c>
      <c r="AL158" s="228">
        <v>20.100000000000001</v>
      </c>
      <c r="AM158" s="228">
        <v>18.600000000000001</v>
      </c>
      <c r="AN158" s="228">
        <v>1.5</v>
      </c>
      <c r="AO158" s="229">
        <v>1.3599999999999999E-2</v>
      </c>
      <c r="AP158" s="231">
        <v>1484.03</v>
      </c>
      <c r="AQ158" s="231">
        <v>1494.56</v>
      </c>
      <c r="AR158" s="228">
        <v>0</v>
      </c>
      <c r="AS158" s="228">
        <v>156</v>
      </c>
      <c r="AT158" s="228">
        <v>111</v>
      </c>
      <c r="AU158" s="228">
        <v>45</v>
      </c>
      <c r="AV158" s="229">
        <v>0.40479999999999999</v>
      </c>
      <c r="AW158" s="228">
        <v>148</v>
      </c>
      <c r="AX158" s="228">
        <v>107</v>
      </c>
      <c r="AY158" s="228">
        <v>42</v>
      </c>
      <c r="AZ158" s="229">
        <v>0.38969999999999999</v>
      </c>
      <c r="BA158" s="228">
        <v>7</v>
      </c>
      <c r="BB158" s="228">
        <v>3</v>
      </c>
      <c r="BC158" s="228">
        <v>3</v>
      </c>
      <c r="BD158" s="229">
        <v>0.89359999999999995</v>
      </c>
      <c r="BE158" s="228">
        <v>1</v>
      </c>
      <c r="BF158" s="228">
        <v>1</v>
      </c>
      <c r="BG158" s="228">
        <v>0</v>
      </c>
      <c r="BH158" s="229">
        <v>0.25</v>
      </c>
      <c r="BI158" s="228">
        <v>246</v>
      </c>
      <c r="BJ158" s="228">
        <v>197</v>
      </c>
      <c r="BK158" s="228">
        <v>49</v>
      </c>
      <c r="BL158" s="229">
        <v>0.251</v>
      </c>
      <c r="BM158" s="228">
        <v>102</v>
      </c>
      <c r="BN158" s="228">
        <v>120</v>
      </c>
      <c r="BO158" s="228">
        <v>-18</v>
      </c>
      <c r="BP158" s="229">
        <v>-0.14779999999999999</v>
      </c>
      <c r="BQ158" s="228">
        <v>505</v>
      </c>
      <c r="BR158" s="228">
        <v>428</v>
      </c>
      <c r="BS158" s="228">
        <v>77</v>
      </c>
      <c r="BT158" s="229">
        <v>0.17879999999999999</v>
      </c>
      <c r="BU158" s="230">
        <v>445922</v>
      </c>
      <c r="BV158" s="230">
        <v>518654</v>
      </c>
      <c r="BW158" s="230">
        <v>-72732</v>
      </c>
      <c r="BX158" s="229">
        <v>-0.14019999999999999</v>
      </c>
      <c r="BY158" s="230">
        <v>1252</v>
      </c>
      <c r="BZ158" s="230">
        <v>1280</v>
      </c>
      <c r="CA158" s="228">
        <v>-28</v>
      </c>
      <c r="CB158" s="229">
        <v>-2.2100000000000002E-2</v>
      </c>
      <c r="CC158" s="230">
        <v>1238</v>
      </c>
      <c r="CD158" s="230">
        <v>1267</v>
      </c>
      <c r="CE158" s="228">
        <v>-29</v>
      </c>
      <c r="CF158" s="229">
        <v>-2.3099999999999999E-2</v>
      </c>
      <c r="CG158" s="228">
        <v>13</v>
      </c>
      <c r="CH158" s="228">
        <v>11</v>
      </c>
      <c r="CI158" s="228">
        <v>1</v>
      </c>
      <c r="CJ158" s="229">
        <v>9.74E-2</v>
      </c>
      <c r="CK158" s="228">
        <v>2</v>
      </c>
      <c r="CL158" s="228">
        <v>2</v>
      </c>
      <c r="CM158" s="228">
        <v>0</v>
      </c>
      <c r="CN158" s="229">
        <v>-6.4500000000000002E-2</v>
      </c>
      <c r="CO158" s="228">
        <v>288</v>
      </c>
      <c r="CP158" s="228">
        <v>283</v>
      </c>
      <c r="CQ158" s="228">
        <v>5</v>
      </c>
      <c r="CR158" s="229">
        <v>1.72E-2</v>
      </c>
      <c r="CS158" s="228">
        <v>218</v>
      </c>
      <c r="CT158" s="228">
        <v>226</v>
      </c>
      <c r="CU158" s="228">
        <v>-8</v>
      </c>
      <c r="CV158" s="229">
        <v>-3.5299999999999998E-2</v>
      </c>
      <c r="CW158" s="230">
        <v>1759</v>
      </c>
      <c r="CX158" s="230">
        <v>1790</v>
      </c>
      <c r="CY158" s="228">
        <v>-31</v>
      </c>
      <c r="CZ158" s="229">
        <v>-1.7500000000000002E-2</v>
      </c>
      <c r="DA158" s="228">
        <v>21.29</v>
      </c>
      <c r="DB158" s="228">
        <v>21.23</v>
      </c>
      <c r="DC158" s="228">
        <v>0.06</v>
      </c>
      <c r="DD158" s="228">
        <v>0.06</v>
      </c>
      <c r="DE158" s="228">
        <v>21.29</v>
      </c>
      <c r="DF158" s="228">
        <v>21.34</v>
      </c>
      <c r="DG158" s="228">
        <v>0</v>
      </c>
      <c r="DH158" s="228">
        <v>-0.05</v>
      </c>
      <c r="DI158" s="228">
        <v>20.82</v>
      </c>
      <c r="DJ158" s="228">
        <v>20.38</v>
      </c>
      <c r="DK158" s="228">
        <v>0.44</v>
      </c>
      <c r="DL158" s="228">
        <v>0.44</v>
      </c>
      <c r="DM158" s="228">
        <v>22.42</v>
      </c>
      <c r="DN158" s="228">
        <v>22.63</v>
      </c>
      <c r="DO158" s="228">
        <v>-0.21</v>
      </c>
      <c r="DP158" s="228">
        <v>-0.21</v>
      </c>
      <c r="DQ158" s="228">
        <v>0.76</v>
      </c>
      <c r="DR158" s="228">
        <v>0.8</v>
      </c>
      <c r="DS158" s="228">
        <v>-0.04</v>
      </c>
      <c r="DT158" s="229">
        <v>-0.05</v>
      </c>
      <c r="DU158" s="231">
        <v>1560</v>
      </c>
      <c r="DV158" s="231">
        <v>1400</v>
      </c>
      <c r="DW158" s="228">
        <v>0.42</v>
      </c>
      <c r="DX158" s="228">
        <v>0.61</v>
      </c>
      <c r="DY158" s="228">
        <v>-0.19</v>
      </c>
      <c r="DZ158" s="229">
        <v>-0.3115</v>
      </c>
      <c r="EA158" s="229">
        <v>1.17E-2</v>
      </c>
      <c r="EB158" s="230">
        <v>92500</v>
      </c>
      <c r="EC158" s="229">
        <v>5.1000000000000004E-3</v>
      </c>
      <c r="ED158" s="229">
        <v>1.17E-2</v>
      </c>
      <c r="EE158" s="228">
        <v>10.53</v>
      </c>
      <c r="EF158" s="229">
        <v>7.1000000000000004E-3</v>
      </c>
      <c r="EG158" s="230">
        <v>288567</v>
      </c>
      <c r="EH158" s="230">
        <v>273509</v>
      </c>
      <c r="EI158" s="229">
        <v>5.5100000000000003E-2</v>
      </c>
      <c r="EJ158" s="229">
        <v>0.64710000000000001</v>
      </c>
      <c r="EK158" s="228">
        <v>254.04</v>
      </c>
      <c r="EL158" s="228">
        <v>99.8</v>
      </c>
      <c r="EM158" s="228">
        <v>156.1</v>
      </c>
      <c r="EN158" s="228">
        <v>26.92</v>
      </c>
      <c r="EO158" s="228">
        <v>509.95</v>
      </c>
      <c r="EP158" s="228">
        <v>431.07</v>
      </c>
      <c r="EQ158" s="228">
        <v>78.88</v>
      </c>
      <c r="ER158" s="229">
        <v>0.183</v>
      </c>
      <c r="ES158" s="228">
        <v>294.33</v>
      </c>
      <c r="ET158" s="228">
        <v>207.43</v>
      </c>
      <c r="EU158" s="231">
        <v>1252.3</v>
      </c>
      <c r="EV158" s="231">
        <v>31214205</v>
      </c>
      <c r="EW158" s="231">
        <v>1754.06</v>
      </c>
      <c r="EX158" s="231">
        <v>1783.95</v>
      </c>
      <c r="EY158" s="228">
        <v>-29.89</v>
      </c>
      <c r="EZ158" s="229">
        <v>-1.6799999999999999E-2</v>
      </c>
      <c r="FA158" s="229">
        <v>0.38059999999999999</v>
      </c>
      <c r="FB158" s="227" t="s">
        <v>556</v>
      </c>
      <c r="FC158">
        <f t="shared" si="3"/>
        <v>0</v>
      </c>
    </row>
    <row r="159" spans="1:159" ht="17.25" thickBot="1" x14ac:dyDescent="0.3">
      <c r="A159" s="226">
        <v>46064</v>
      </c>
      <c r="B159" s="227" t="s">
        <v>498</v>
      </c>
      <c r="C159" s="227" t="s">
        <v>483</v>
      </c>
      <c r="D159" s="228">
        <v>175</v>
      </c>
      <c r="E159" s="228">
        <v>13</v>
      </c>
      <c r="F159" s="231">
        <v>3276.4</v>
      </c>
      <c r="G159" s="231">
        <v>3158.9</v>
      </c>
      <c r="H159" s="228">
        <v>117.5</v>
      </c>
      <c r="I159" s="229">
        <v>3.7199999999999997E-2</v>
      </c>
      <c r="J159" s="231">
        <v>3281.1</v>
      </c>
      <c r="K159" s="231">
        <v>3190.6</v>
      </c>
      <c r="L159" s="228">
        <v>90.5</v>
      </c>
      <c r="M159" s="229">
        <v>2.8400000000000002E-2</v>
      </c>
      <c r="N159" s="231">
        <v>3276.4</v>
      </c>
      <c r="O159" s="231">
        <v>3158.9</v>
      </c>
      <c r="P159" s="228">
        <v>117.5</v>
      </c>
      <c r="Q159" s="229">
        <v>3.7199999999999997E-2</v>
      </c>
      <c r="R159" s="231">
        <v>3233.8</v>
      </c>
      <c r="S159" s="231">
        <v>3117.1</v>
      </c>
      <c r="T159" s="228">
        <v>116.7</v>
      </c>
      <c r="U159" s="229">
        <v>3.7400000000000003E-2</v>
      </c>
      <c r="V159" s="231">
        <v>3217.2</v>
      </c>
      <c r="W159" s="231">
        <v>3098.8</v>
      </c>
      <c r="X159" s="228">
        <v>118.4</v>
      </c>
      <c r="Y159" s="229">
        <v>3.8199999999999998E-2</v>
      </c>
      <c r="Z159" s="228">
        <v>-4.7</v>
      </c>
      <c r="AA159" s="228">
        <v>-31.7</v>
      </c>
      <c r="AB159" s="228">
        <v>27</v>
      </c>
      <c r="AC159" s="229">
        <v>-1.4E-3</v>
      </c>
      <c r="AD159" s="228">
        <v>-4.7</v>
      </c>
      <c r="AE159" s="228">
        <v>-31.7</v>
      </c>
      <c r="AF159" s="228">
        <v>27</v>
      </c>
      <c r="AG159" s="229">
        <v>-1.4E-3</v>
      </c>
      <c r="AH159" s="228">
        <v>-47.3</v>
      </c>
      <c r="AI159" s="228">
        <v>-73.5</v>
      </c>
      <c r="AJ159" s="228">
        <v>26.2</v>
      </c>
      <c r="AK159" s="229">
        <v>-1.44E-2</v>
      </c>
      <c r="AL159" s="228">
        <v>-63.9</v>
      </c>
      <c r="AM159" s="228">
        <v>-91.8</v>
      </c>
      <c r="AN159" s="228">
        <v>27.9</v>
      </c>
      <c r="AO159" s="229">
        <v>-1.95E-2</v>
      </c>
      <c r="AP159" s="231">
        <v>3234.18</v>
      </c>
      <c r="AQ159" s="231">
        <v>3185.93</v>
      </c>
      <c r="AR159" s="228">
        <v>0</v>
      </c>
      <c r="AS159" s="228">
        <v>893</v>
      </c>
      <c r="AT159" s="228">
        <v>361</v>
      </c>
      <c r="AU159" s="228">
        <v>532</v>
      </c>
      <c r="AV159" s="229">
        <v>1.4726999999999999</v>
      </c>
      <c r="AW159" s="228">
        <v>804</v>
      </c>
      <c r="AX159" s="228">
        <v>287</v>
      </c>
      <c r="AY159" s="228">
        <v>517</v>
      </c>
      <c r="AZ159" s="229">
        <v>1.7983</v>
      </c>
      <c r="BA159" s="228">
        <v>76</v>
      </c>
      <c r="BB159" s="228">
        <v>62</v>
      </c>
      <c r="BC159" s="228">
        <v>15</v>
      </c>
      <c r="BD159" s="229">
        <v>0.23400000000000001</v>
      </c>
      <c r="BE159" s="228">
        <v>12</v>
      </c>
      <c r="BF159" s="228">
        <v>12</v>
      </c>
      <c r="BG159" s="228">
        <v>1</v>
      </c>
      <c r="BH159" s="229">
        <v>4.8500000000000001E-2</v>
      </c>
      <c r="BI159" s="230">
        <v>1575</v>
      </c>
      <c r="BJ159" s="228">
        <v>319</v>
      </c>
      <c r="BK159" s="230">
        <v>1256</v>
      </c>
      <c r="BL159" s="229">
        <v>3.9337</v>
      </c>
      <c r="BM159" s="230">
        <v>1027</v>
      </c>
      <c r="BN159" s="228">
        <v>261</v>
      </c>
      <c r="BO159" s="228">
        <v>766</v>
      </c>
      <c r="BP159" s="229">
        <v>2.9386999999999999</v>
      </c>
      <c r="BQ159" s="230">
        <v>3495</v>
      </c>
      <c r="BR159" s="228">
        <v>941</v>
      </c>
      <c r="BS159" s="230">
        <v>2554</v>
      </c>
      <c r="BT159" s="229">
        <v>2.7136</v>
      </c>
      <c r="BU159" s="230">
        <v>538370</v>
      </c>
      <c r="BV159" s="230">
        <v>363198</v>
      </c>
      <c r="BW159" s="230">
        <v>175172</v>
      </c>
      <c r="BX159" s="229">
        <v>0.48230000000000001</v>
      </c>
      <c r="BY159" s="230">
        <v>1253</v>
      </c>
      <c r="BZ159" s="230">
        <v>1185</v>
      </c>
      <c r="CA159" s="228">
        <v>67</v>
      </c>
      <c r="CB159" s="229">
        <v>5.6899999999999999E-2</v>
      </c>
      <c r="CC159" s="230">
        <v>1109</v>
      </c>
      <c r="CD159" s="230">
        <v>1044</v>
      </c>
      <c r="CE159" s="228">
        <v>65</v>
      </c>
      <c r="CF159" s="229">
        <v>6.2199999999999998E-2</v>
      </c>
      <c r="CG159" s="228">
        <v>122</v>
      </c>
      <c r="CH159" s="228">
        <v>122</v>
      </c>
      <c r="CI159" s="228">
        <v>0</v>
      </c>
      <c r="CJ159" s="229">
        <v>-3.8E-3</v>
      </c>
      <c r="CK159" s="228">
        <v>22</v>
      </c>
      <c r="CL159" s="228">
        <v>19</v>
      </c>
      <c r="CM159" s="228">
        <v>3</v>
      </c>
      <c r="CN159" s="229">
        <v>0.15340000000000001</v>
      </c>
      <c r="CO159" s="228">
        <v>369</v>
      </c>
      <c r="CP159" s="228">
        <v>237</v>
      </c>
      <c r="CQ159" s="228">
        <v>132</v>
      </c>
      <c r="CR159" s="229">
        <v>0.55820000000000003</v>
      </c>
      <c r="CS159" s="228">
        <v>579</v>
      </c>
      <c r="CT159" s="228">
        <v>254</v>
      </c>
      <c r="CU159" s="228">
        <v>326</v>
      </c>
      <c r="CV159" s="229">
        <v>1.2847</v>
      </c>
      <c r="CW159" s="230">
        <v>2202</v>
      </c>
      <c r="CX159" s="230">
        <v>1676</v>
      </c>
      <c r="CY159" s="228">
        <v>525</v>
      </c>
      <c r="CZ159" s="229">
        <v>0.3135</v>
      </c>
      <c r="DA159" s="228">
        <v>52.74</v>
      </c>
      <c r="DB159" s="228">
        <v>38.659999999999997</v>
      </c>
      <c r="DC159" s="228">
        <v>14.08</v>
      </c>
      <c r="DD159" s="228">
        <v>14.08</v>
      </c>
      <c r="DE159" s="228">
        <v>29.21</v>
      </c>
      <c r="DF159" s="228">
        <v>28.86</v>
      </c>
      <c r="DG159" s="228">
        <v>23.53</v>
      </c>
      <c r="DH159" s="228">
        <v>0.35</v>
      </c>
      <c r="DI159" s="228">
        <v>51.17</v>
      </c>
      <c r="DJ159" s="228">
        <v>37.89</v>
      </c>
      <c r="DK159" s="228">
        <v>13.28</v>
      </c>
      <c r="DL159" s="228">
        <v>13.28</v>
      </c>
      <c r="DM159" s="228">
        <v>55.15</v>
      </c>
      <c r="DN159" s="228">
        <v>39.61</v>
      </c>
      <c r="DO159" s="228">
        <v>15.54</v>
      </c>
      <c r="DP159" s="228">
        <v>15.54</v>
      </c>
      <c r="DQ159" s="228">
        <v>1.57</v>
      </c>
      <c r="DR159" s="228">
        <v>1.07</v>
      </c>
      <c r="DS159" s="228">
        <v>0.5</v>
      </c>
      <c r="DT159" s="229">
        <v>0.46729999999999999</v>
      </c>
      <c r="DU159" s="231">
        <v>3400</v>
      </c>
      <c r="DV159" s="231">
        <v>3100</v>
      </c>
      <c r="DW159" s="228">
        <v>0.65</v>
      </c>
      <c r="DX159" s="228">
        <v>0.82</v>
      </c>
      <c r="DY159" s="228">
        <v>-0.17</v>
      </c>
      <c r="DZ159" s="229">
        <v>-0.20730000000000001</v>
      </c>
      <c r="EA159" s="229">
        <v>0.11509999999999999</v>
      </c>
      <c r="EB159" s="230">
        <v>432425</v>
      </c>
      <c r="EC159" s="229">
        <v>-1.2999999999999999E-2</v>
      </c>
      <c r="ED159" s="229">
        <v>0.11509999999999999</v>
      </c>
      <c r="EE159" s="228">
        <v>-48.25</v>
      </c>
      <c r="EF159" s="229">
        <v>-1.49E-2</v>
      </c>
      <c r="EG159" s="230">
        <v>215406</v>
      </c>
      <c r="EH159" s="230">
        <v>202242</v>
      </c>
      <c r="EI159" s="229">
        <v>6.5100000000000005E-2</v>
      </c>
      <c r="EJ159" s="229">
        <v>0.40010000000000001</v>
      </c>
      <c r="EK159" s="231">
        <v>1632.93</v>
      </c>
      <c r="EL159" s="231">
        <v>1000.94</v>
      </c>
      <c r="EM159" s="228">
        <v>880.43</v>
      </c>
      <c r="EN159" s="228">
        <v>35.729999999999997</v>
      </c>
      <c r="EO159" s="231">
        <v>3514.3</v>
      </c>
      <c r="EP159" s="228">
        <v>924.79</v>
      </c>
      <c r="EQ159" s="231">
        <v>2589.5100000000002</v>
      </c>
      <c r="ER159" s="229">
        <v>2.8001</v>
      </c>
      <c r="ES159" s="228">
        <v>372.33</v>
      </c>
      <c r="ET159" s="228">
        <v>551.09</v>
      </c>
      <c r="EU159" s="231">
        <v>1250.8800000000001</v>
      </c>
      <c r="EV159" s="231">
        <v>10712372</v>
      </c>
      <c r="EW159" s="231">
        <v>2174.3000000000002</v>
      </c>
      <c r="EX159" s="231">
        <v>1616.96</v>
      </c>
      <c r="EY159" s="228">
        <v>557.34</v>
      </c>
      <c r="EZ159" s="229">
        <v>0.34470000000000001</v>
      </c>
      <c r="FA159" s="229">
        <v>0.62729999999999997</v>
      </c>
      <c r="FB159" s="227" t="s">
        <v>555</v>
      </c>
      <c r="FC159">
        <f t="shared" si="3"/>
        <v>0</v>
      </c>
    </row>
    <row r="160" spans="1:159" ht="17.25" thickBot="1" x14ac:dyDescent="0.3">
      <c r="A160" s="226">
        <v>46064</v>
      </c>
      <c r="B160" s="227" t="s">
        <v>172</v>
      </c>
      <c r="C160" s="227" t="s">
        <v>275</v>
      </c>
      <c r="D160" s="228">
        <v>8000</v>
      </c>
      <c r="E160" s="228">
        <v>13</v>
      </c>
      <c r="F160" s="228">
        <v>123.27</v>
      </c>
      <c r="G160" s="228">
        <v>123.37</v>
      </c>
      <c r="H160" s="228">
        <v>-0.1</v>
      </c>
      <c r="I160" s="229">
        <v>-8.0000000000000004E-4</v>
      </c>
      <c r="J160" s="228">
        <v>122.91</v>
      </c>
      <c r="K160" s="228">
        <v>122.96</v>
      </c>
      <c r="L160" s="228">
        <v>-0.05</v>
      </c>
      <c r="M160" s="229">
        <v>-4.0000000000000002E-4</v>
      </c>
      <c r="N160" s="228">
        <v>123.27</v>
      </c>
      <c r="O160" s="228">
        <v>123.37</v>
      </c>
      <c r="P160" s="228">
        <v>-0.1</v>
      </c>
      <c r="Q160" s="229">
        <v>-8.0000000000000004E-4</v>
      </c>
      <c r="R160" s="228">
        <v>124.03</v>
      </c>
      <c r="S160" s="228">
        <v>124.11</v>
      </c>
      <c r="T160" s="228">
        <v>-0.08</v>
      </c>
      <c r="U160" s="229">
        <v>-5.9999999999999995E-4</v>
      </c>
      <c r="V160" s="228">
        <v>124.8</v>
      </c>
      <c r="W160" s="228">
        <v>124.98</v>
      </c>
      <c r="X160" s="228">
        <v>-0.18</v>
      </c>
      <c r="Y160" s="229">
        <v>-1.4E-3</v>
      </c>
      <c r="Z160" s="228">
        <v>0.36</v>
      </c>
      <c r="AA160" s="228">
        <v>0.41</v>
      </c>
      <c r="AB160" s="228">
        <v>-0.05</v>
      </c>
      <c r="AC160" s="229">
        <v>2.8999999999999998E-3</v>
      </c>
      <c r="AD160" s="228">
        <v>0.36</v>
      </c>
      <c r="AE160" s="228">
        <v>0.41</v>
      </c>
      <c r="AF160" s="228">
        <v>-0.05</v>
      </c>
      <c r="AG160" s="229">
        <v>2.8999999999999998E-3</v>
      </c>
      <c r="AH160" s="228">
        <v>1.1200000000000001</v>
      </c>
      <c r="AI160" s="228">
        <v>1.1499999999999999</v>
      </c>
      <c r="AJ160" s="228">
        <v>-0.03</v>
      </c>
      <c r="AK160" s="229">
        <v>9.1000000000000004E-3</v>
      </c>
      <c r="AL160" s="228">
        <v>1.89</v>
      </c>
      <c r="AM160" s="228">
        <v>2.02</v>
      </c>
      <c r="AN160" s="228">
        <v>-0.13</v>
      </c>
      <c r="AO160" s="229">
        <v>1.54E-2</v>
      </c>
      <c r="AP160" s="228">
        <v>122.87</v>
      </c>
      <c r="AQ160" s="228">
        <v>123.62</v>
      </c>
      <c r="AR160" s="228">
        <v>0</v>
      </c>
      <c r="AS160" s="228">
        <v>554</v>
      </c>
      <c r="AT160" s="228">
        <v>297</v>
      </c>
      <c r="AU160" s="228">
        <v>257</v>
      </c>
      <c r="AV160" s="229">
        <v>0.86609999999999998</v>
      </c>
      <c r="AW160" s="228">
        <v>472</v>
      </c>
      <c r="AX160" s="228">
        <v>248</v>
      </c>
      <c r="AY160" s="228">
        <v>224</v>
      </c>
      <c r="AZ160" s="229">
        <v>0.90380000000000005</v>
      </c>
      <c r="BA160" s="228">
        <v>73</v>
      </c>
      <c r="BB160" s="228">
        <v>45</v>
      </c>
      <c r="BC160" s="228">
        <v>28</v>
      </c>
      <c r="BD160" s="229">
        <v>0.61170000000000002</v>
      </c>
      <c r="BE160" s="228">
        <v>8</v>
      </c>
      <c r="BF160" s="228">
        <v>3</v>
      </c>
      <c r="BG160" s="228">
        <v>5</v>
      </c>
      <c r="BH160" s="229">
        <v>1.5455000000000001</v>
      </c>
      <c r="BI160" s="230">
        <v>1793</v>
      </c>
      <c r="BJ160" s="228">
        <v>776</v>
      </c>
      <c r="BK160" s="230">
        <v>1018</v>
      </c>
      <c r="BL160" s="229">
        <v>1.3119000000000001</v>
      </c>
      <c r="BM160" s="228">
        <v>847</v>
      </c>
      <c r="BN160" s="228">
        <v>324</v>
      </c>
      <c r="BO160" s="228">
        <v>523</v>
      </c>
      <c r="BP160" s="229">
        <v>1.6173</v>
      </c>
      <c r="BQ160" s="230">
        <v>3194</v>
      </c>
      <c r="BR160" s="230">
        <v>1396</v>
      </c>
      <c r="BS160" s="230">
        <v>1798</v>
      </c>
      <c r="BT160" s="229">
        <v>1.2879</v>
      </c>
      <c r="BU160" s="230">
        <v>15061669</v>
      </c>
      <c r="BV160" s="230">
        <v>13112578</v>
      </c>
      <c r="BW160" s="230">
        <v>1949091</v>
      </c>
      <c r="BX160" s="229">
        <v>0.14860000000000001</v>
      </c>
      <c r="BY160" s="230">
        <v>2832</v>
      </c>
      <c r="BZ160" s="230">
        <v>2840</v>
      </c>
      <c r="CA160" s="228">
        <v>-8</v>
      </c>
      <c r="CB160" s="229">
        <v>-2.7000000000000001E-3</v>
      </c>
      <c r="CC160" s="230">
        <v>2644</v>
      </c>
      <c r="CD160" s="230">
        <v>2672</v>
      </c>
      <c r="CE160" s="228">
        <v>-28</v>
      </c>
      <c r="CF160" s="229">
        <v>-1.04E-2</v>
      </c>
      <c r="CG160" s="228">
        <v>166</v>
      </c>
      <c r="CH160" s="228">
        <v>148</v>
      </c>
      <c r="CI160" s="228">
        <v>17</v>
      </c>
      <c r="CJ160" s="229">
        <v>0.1171</v>
      </c>
      <c r="CK160" s="228">
        <v>23</v>
      </c>
      <c r="CL160" s="228">
        <v>20</v>
      </c>
      <c r="CM160" s="228">
        <v>3</v>
      </c>
      <c r="CN160" s="229">
        <v>0.1429</v>
      </c>
      <c r="CO160" s="230">
        <v>1716</v>
      </c>
      <c r="CP160" s="230">
        <v>1702</v>
      </c>
      <c r="CQ160" s="228">
        <v>14</v>
      </c>
      <c r="CR160" s="229">
        <v>8.0999999999999996E-3</v>
      </c>
      <c r="CS160" s="230">
        <v>1012</v>
      </c>
      <c r="CT160" s="228">
        <v>970</v>
      </c>
      <c r="CU160" s="228">
        <v>42</v>
      </c>
      <c r="CV160" s="229">
        <v>4.3700000000000003E-2</v>
      </c>
      <c r="CW160" s="230">
        <v>5560</v>
      </c>
      <c r="CX160" s="230">
        <v>5511</v>
      </c>
      <c r="CY160" s="228">
        <v>48</v>
      </c>
      <c r="CZ160" s="229">
        <v>8.8000000000000005E-3</v>
      </c>
      <c r="DA160" s="228">
        <v>28.88</v>
      </c>
      <c r="DB160" s="228">
        <v>28.29</v>
      </c>
      <c r="DC160" s="228">
        <v>0.59</v>
      </c>
      <c r="DD160" s="228">
        <v>0.59</v>
      </c>
      <c r="DE160" s="228">
        <v>34.950000000000003</v>
      </c>
      <c r="DF160" s="228">
        <v>35.04</v>
      </c>
      <c r="DG160" s="228">
        <v>-6.07</v>
      </c>
      <c r="DH160" s="228">
        <v>-0.09</v>
      </c>
      <c r="DI160" s="228">
        <v>29.16</v>
      </c>
      <c r="DJ160" s="228">
        <v>28.76</v>
      </c>
      <c r="DK160" s="228">
        <v>0.4</v>
      </c>
      <c r="DL160" s="228">
        <v>0.4</v>
      </c>
      <c r="DM160" s="228">
        <v>28.27</v>
      </c>
      <c r="DN160" s="228">
        <v>27.18</v>
      </c>
      <c r="DO160" s="228">
        <v>1.0900000000000001</v>
      </c>
      <c r="DP160" s="228">
        <v>1.0900000000000001</v>
      </c>
      <c r="DQ160" s="228">
        <v>0.59</v>
      </c>
      <c r="DR160" s="228">
        <v>0.56999999999999995</v>
      </c>
      <c r="DS160" s="228">
        <v>0.02</v>
      </c>
      <c r="DT160" s="229">
        <v>3.5099999999999999E-2</v>
      </c>
      <c r="DU160" s="228">
        <v>125</v>
      </c>
      <c r="DV160" s="228">
        <v>120</v>
      </c>
      <c r="DW160" s="228">
        <v>0.47</v>
      </c>
      <c r="DX160" s="228">
        <v>0.42</v>
      </c>
      <c r="DY160" s="228">
        <v>0.05</v>
      </c>
      <c r="DZ160" s="229">
        <v>0.11899999999999999</v>
      </c>
      <c r="EA160" s="229">
        <v>6.6500000000000004E-2</v>
      </c>
      <c r="EB160" s="230">
        <v>13648000</v>
      </c>
      <c r="EC160" s="229">
        <v>6.1999999999999998E-3</v>
      </c>
      <c r="ED160" s="229">
        <v>6.6500000000000004E-2</v>
      </c>
      <c r="EE160" s="228">
        <v>0.75</v>
      </c>
      <c r="EF160" s="229">
        <v>6.1000000000000004E-3</v>
      </c>
      <c r="EG160" s="230">
        <v>6113735</v>
      </c>
      <c r="EH160" s="230">
        <v>6181918</v>
      </c>
      <c r="EI160" s="229">
        <v>-1.0999999999999999E-2</v>
      </c>
      <c r="EJ160" s="229">
        <v>0.40589999999999998</v>
      </c>
      <c r="EK160" s="231">
        <v>1874.6</v>
      </c>
      <c r="EL160" s="228">
        <v>830.14</v>
      </c>
      <c r="EM160" s="228">
        <v>552.65</v>
      </c>
      <c r="EN160" s="228">
        <v>47.48</v>
      </c>
      <c r="EO160" s="231">
        <v>3257.39</v>
      </c>
      <c r="EP160" s="231">
        <v>1435.12</v>
      </c>
      <c r="EQ160" s="231">
        <v>1822.27</v>
      </c>
      <c r="ER160" s="229">
        <v>1.2698</v>
      </c>
      <c r="ES160" s="231">
        <v>1811.84</v>
      </c>
      <c r="ET160" s="228">
        <v>989.5</v>
      </c>
      <c r="EU160" s="231">
        <v>2833.56</v>
      </c>
      <c r="EV160" s="231">
        <v>515822637</v>
      </c>
      <c r="EW160" s="231">
        <v>5634.9</v>
      </c>
      <c r="EX160" s="231">
        <v>5594.04</v>
      </c>
      <c r="EY160" s="228">
        <v>40.86</v>
      </c>
      <c r="EZ160" s="229">
        <v>7.3000000000000001E-3</v>
      </c>
      <c r="FA160" s="229">
        <v>0.87439999999999996</v>
      </c>
      <c r="FB160" s="227" t="s">
        <v>568</v>
      </c>
      <c r="FC160">
        <f t="shared" si="3"/>
        <v>0</v>
      </c>
    </row>
    <row r="161" spans="1:159" ht="17.25" thickBot="1" x14ac:dyDescent="0.3">
      <c r="A161" s="226">
        <v>46064</v>
      </c>
      <c r="B161" s="227" t="s">
        <v>175</v>
      </c>
      <c r="C161" s="227" t="s">
        <v>669</v>
      </c>
      <c r="D161" s="228">
        <v>650</v>
      </c>
      <c r="E161" s="228">
        <v>13</v>
      </c>
      <c r="F161" s="228">
        <v>855.1</v>
      </c>
      <c r="G161" s="228">
        <v>855.5</v>
      </c>
      <c r="H161" s="228">
        <v>-0.4</v>
      </c>
      <c r="I161" s="229">
        <v>-5.0000000000000001E-4</v>
      </c>
      <c r="J161" s="228">
        <v>854.9</v>
      </c>
      <c r="K161" s="228">
        <v>854.75</v>
      </c>
      <c r="L161" s="228">
        <v>0.15</v>
      </c>
      <c r="M161" s="229">
        <v>2.0000000000000001E-4</v>
      </c>
      <c r="N161" s="228">
        <v>855.1</v>
      </c>
      <c r="O161" s="228">
        <v>855.5</v>
      </c>
      <c r="P161" s="228">
        <v>-0.4</v>
      </c>
      <c r="Q161" s="229">
        <v>-5.0000000000000001E-4</v>
      </c>
      <c r="R161" s="228">
        <v>860.5</v>
      </c>
      <c r="S161" s="228">
        <v>861.05</v>
      </c>
      <c r="T161" s="228">
        <v>-0.55000000000000004</v>
      </c>
      <c r="U161" s="229">
        <v>-5.9999999999999995E-4</v>
      </c>
      <c r="V161" s="228">
        <v>863.9</v>
      </c>
      <c r="W161" s="228">
        <v>866</v>
      </c>
      <c r="X161" s="228">
        <v>-2.1</v>
      </c>
      <c r="Y161" s="229">
        <v>-2.3999999999999998E-3</v>
      </c>
      <c r="Z161" s="228">
        <v>0.2</v>
      </c>
      <c r="AA161" s="228">
        <v>0.75</v>
      </c>
      <c r="AB161" s="228">
        <v>-0.55000000000000004</v>
      </c>
      <c r="AC161" s="229">
        <v>2.0000000000000001E-4</v>
      </c>
      <c r="AD161" s="228">
        <v>0.2</v>
      </c>
      <c r="AE161" s="228">
        <v>0.75</v>
      </c>
      <c r="AF161" s="228">
        <v>-0.55000000000000004</v>
      </c>
      <c r="AG161" s="229">
        <v>2.0000000000000001E-4</v>
      </c>
      <c r="AH161" s="228">
        <v>5.6</v>
      </c>
      <c r="AI161" s="228">
        <v>6.3</v>
      </c>
      <c r="AJ161" s="228">
        <v>-0.7</v>
      </c>
      <c r="AK161" s="229">
        <v>6.6E-3</v>
      </c>
      <c r="AL161" s="228">
        <v>9</v>
      </c>
      <c r="AM161" s="228">
        <v>11.25</v>
      </c>
      <c r="AN161" s="228">
        <v>-2.25</v>
      </c>
      <c r="AO161" s="229">
        <v>1.0500000000000001E-2</v>
      </c>
      <c r="AP161" s="228">
        <v>853.24</v>
      </c>
      <c r="AQ161" s="228">
        <v>857.51</v>
      </c>
      <c r="AR161" s="228">
        <v>0</v>
      </c>
      <c r="AS161" s="228">
        <v>106</v>
      </c>
      <c r="AT161" s="228">
        <v>178</v>
      </c>
      <c r="AU161" s="228">
        <v>-72</v>
      </c>
      <c r="AV161" s="229">
        <v>-0.40589999999999998</v>
      </c>
      <c r="AW161" s="228">
        <v>100</v>
      </c>
      <c r="AX161" s="228">
        <v>168</v>
      </c>
      <c r="AY161" s="228">
        <v>-68</v>
      </c>
      <c r="AZ161" s="229">
        <v>-0.40350000000000003</v>
      </c>
      <c r="BA161" s="228">
        <v>6</v>
      </c>
      <c r="BB161" s="228">
        <v>10</v>
      </c>
      <c r="BC161" s="228">
        <v>-4</v>
      </c>
      <c r="BD161" s="229">
        <v>-0.42859999999999998</v>
      </c>
      <c r="BE161" s="228">
        <v>0</v>
      </c>
      <c r="BF161" s="228">
        <v>1</v>
      </c>
      <c r="BG161" s="228">
        <v>0</v>
      </c>
      <c r="BH161" s="229">
        <v>-0.66669999999999996</v>
      </c>
      <c r="BI161" s="228">
        <v>115</v>
      </c>
      <c r="BJ161" s="228">
        <v>277</v>
      </c>
      <c r="BK161" s="228">
        <v>-162</v>
      </c>
      <c r="BL161" s="229">
        <v>-0.58489999999999998</v>
      </c>
      <c r="BM161" s="228">
        <v>31</v>
      </c>
      <c r="BN161" s="228">
        <v>93</v>
      </c>
      <c r="BO161" s="228">
        <v>-62</v>
      </c>
      <c r="BP161" s="229">
        <v>-0.6643</v>
      </c>
      <c r="BQ161" s="228">
        <v>252</v>
      </c>
      <c r="BR161" s="228">
        <v>548</v>
      </c>
      <c r="BS161" s="228">
        <v>-296</v>
      </c>
      <c r="BT161" s="229">
        <v>-0.54010000000000002</v>
      </c>
      <c r="BU161" s="230">
        <v>1085684</v>
      </c>
      <c r="BV161" s="230">
        <v>1462347</v>
      </c>
      <c r="BW161" s="230">
        <v>-376663</v>
      </c>
      <c r="BX161" s="229">
        <v>-0.2576</v>
      </c>
      <c r="BY161" s="230">
        <v>1209</v>
      </c>
      <c r="BZ161" s="230">
        <v>1219</v>
      </c>
      <c r="CA161" s="228">
        <v>-10</v>
      </c>
      <c r="CB161" s="229">
        <v>-8.3000000000000001E-3</v>
      </c>
      <c r="CC161" s="230">
        <v>1184</v>
      </c>
      <c r="CD161" s="230">
        <v>1196</v>
      </c>
      <c r="CE161" s="228">
        <v>-12</v>
      </c>
      <c r="CF161" s="229">
        <v>-1.01E-2</v>
      </c>
      <c r="CG161" s="228">
        <v>22</v>
      </c>
      <c r="CH161" s="228">
        <v>21</v>
      </c>
      <c r="CI161" s="228">
        <v>2</v>
      </c>
      <c r="CJ161" s="229">
        <v>8.9200000000000002E-2</v>
      </c>
      <c r="CK161" s="228">
        <v>3</v>
      </c>
      <c r="CL161" s="228">
        <v>3</v>
      </c>
      <c r="CM161" s="228">
        <v>0</v>
      </c>
      <c r="CN161" s="229">
        <v>5.7700000000000001E-2</v>
      </c>
      <c r="CO161" s="228">
        <v>241</v>
      </c>
      <c r="CP161" s="228">
        <v>243</v>
      </c>
      <c r="CQ161" s="228">
        <v>-1</v>
      </c>
      <c r="CR161" s="229">
        <v>-5.7000000000000002E-3</v>
      </c>
      <c r="CS161" s="228">
        <v>217</v>
      </c>
      <c r="CT161" s="228">
        <v>218</v>
      </c>
      <c r="CU161" s="228">
        <v>-1</v>
      </c>
      <c r="CV161" s="229">
        <v>-5.4000000000000003E-3</v>
      </c>
      <c r="CW161" s="230">
        <v>1667</v>
      </c>
      <c r="CX161" s="230">
        <v>1680</v>
      </c>
      <c r="CY161" s="228">
        <v>-13</v>
      </c>
      <c r="CZ161" s="229">
        <v>-7.4999999999999997E-3</v>
      </c>
      <c r="DA161" s="228">
        <v>33.08</v>
      </c>
      <c r="DB161" s="228">
        <v>33.549999999999997</v>
      </c>
      <c r="DC161" s="228">
        <v>-0.47</v>
      </c>
      <c r="DD161" s="228">
        <v>-0.47</v>
      </c>
      <c r="DE161" s="228">
        <v>45.93</v>
      </c>
      <c r="DF161" s="228">
        <v>46.05</v>
      </c>
      <c r="DG161" s="228">
        <v>-12.85</v>
      </c>
      <c r="DH161" s="228">
        <v>-0.12</v>
      </c>
      <c r="DI161" s="228">
        <v>32.42</v>
      </c>
      <c r="DJ161" s="228">
        <v>32.909999999999997</v>
      </c>
      <c r="DK161" s="228">
        <v>-0.49</v>
      </c>
      <c r="DL161" s="228">
        <v>-0.49</v>
      </c>
      <c r="DM161" s="228">
        <v>35.51</v>
      </c>
      <c r="DN161" s="228">
        <v>35.46</v>
      </c>
      <c r="DO161" s="228">
        <v>0.05</v>
      </c>
      <c r="DP161" s="228">
        <v>0.05</v>
      </c>
      <c r="DQ161" s="228">
        <v>0.9</v>
      </c>
      <c r="DR161" s="228">
        <v>0.9</v>
      </c>
      <c r="DS161" s="228">
        <v>0</v>
      </c>
      <c r="DT161" s="229">
        <v>0</v>
      </c>
      <c r="DU161" s="228">
        <v>870</v>
      </c>
      <c r="DV161" s="228">
        <v>800</v>
      </c>
      <c r="DW161" s="228">
        <v>0.27</v>
      </c>
      <c r="DX161" s="228">
        <v>0.34</v>
      </c>
      <c r="DY161" s="228">
        <v>-7.0000000000000007E-2</v>
      </c>
      <c r="DZ161" s="229">
        <v>-0.2059</v>
      </c>
      <c r="EA161" s="229">
        <v>2.1100000000000001E-2</v>
      </c>
      <c r="EB161" s="230">
        <v>274300</v>
      </c>
      <c r="EC161" s="229">
        <v>6.3E-3</v>
      </c>
      <c r="ED161" s="229">
        <v>2.1100000000000001E-2</v>
      </c>
      <c r="EE161" s="228">
        <v>4.2699999999999996</v>
      </c>
      <c r="EF161" s="229">
        <v>5.0000000000000001E-3</v>
      </c>
      <c r="EG161" s="230">
        <v>655698</v>
      </c>
      <c r="EH161" s="230">
        <v>782355</v>
      </c>
      <c r="EI161" s="229">
        <v>-0.16189999999999999</v>
      </c>
      <c r="EJ161" s="229">
        <v>0.60389999999999999</v>
      </c>
      <c r="EK161" s="228">
        <v>119.96</v>
      </c>
      <c r="EL161" s="228">
        <v>31.27</v>
      </c>
      <c r="EM161" s="228">
        <v>105.79</v>
      </c>
      <c r="EN161" s="228">
        <v>24.49</v>
      </c>
      <c r="EO161" s="228">
        <v>257.02999999999997</v>
      </c>
      <c r="EP161" s="228">
        <v>561.48</v>
      </c>
      <c r="EQ161" s="228">
        <v>-304.45</v>
      </c>
      <c r="ER161" s="229">
        <v>-0.54220000000000002</v>
      </c>
      <c r="ES161" s="228">
        <v>251.03</v>
      </c>
      <c r="ET161" s="228">
        <v>206.08</v>
      </c>
      <c r="EU161" s="231">
        <v>1209.18</v>
      </c>
      <c r="EV161" s="231">
        <v>28118603</v>
      </c>
      <c r="EW161" s="231">
        <v>1666.29</v>
      </c>
      <c r="EX161" s="231">
        <v>1679.46</v>
      </c>
      <c r="EY161" s="228">
        <v>-13.17</v>
      </c>
      <c r="EZ161" s="229">
        <v>-7.7999999999999996E-3</v>
      </c>
      <c r="FA161" s="229">
        <v>0.69330000000000003</v>
      </c>
      <c r="FB161" s="227" t="s">
        <v>568</v>
      </c>
      <c r="FC161">
        <f t="shared" si="3"/>
        <v>0</v>
      </c>
    </row>
    <row r="162" spans="1:159" ht="17.25" thickBot="1" x14ac:dyDescent="0.3">
      <c r="A162" s="226">
        <v>46064</v>
      </c>
      <c r="B162" s="227" t="s">
        <v>615</v>
      </c>
      <c r="C162" s="227" t="s">
        <v>573</v>
      </c>
      <c r="D162" s="228">
        <v>350</v>
      </c>
      <c r="E162" s="228">
        <v>13</v>
      </c>
      <c r="F162" s="231">
        <v>1556.1</v>
      </c>
      <c r="G162" s="231">
        <v>1513.2</v>
      </c>
      <c r="H162" s="228">
        <v>42.9</v>
      </c>
      <c r="I162" s="229">
        <v>2.8400000000000002E-2</v>
      </c>
      <c r="J162" s="231">
        <v>1554.6</v>
      </c>
      <c r="K162" s="231">
        <v>1504.6</v>
      </c>
      <c r="L162" s="228">
        <v>50</v>
      </c>
      <c r="M162" s="229">
        <v>3.32E-2</v>
      </c>
      <c r="N162" s="231">
        <v>1556.1</v>
      </c>
      <c r="O162" s="231">
        <v>1513.2</v>
      </c>
      <c r="P162" s="228">
        <v>42.9</v>
      </c>
      <c r="Q162" s="229">
        <v>2.8400000000000002E-2</v>
      </c>
      <c r="R162" s="231">
        <v>1561.5</v>
      </c>
      <c r="S162" s="231">
        <v>1519.6</v>
      </c>
      <c r="T162" s="228">
        <v>41.9</v>
      </c>
      <c r="U162" s="229">
        <v>2.76E-2</v>
      </c>
      <c r="V162" s="231">
        <v>1573.8</v>
      </c>
      <c r="W162" s="231">
        <v>1528</v>
      </c>
      <c r="X162" s="228">
        <v>45.8</v>
      </c>
      <c r="Y162" s="229">
        <v>0.03</v>
      </c>
      <c r="Z162" s="228">
        <v>1.5</v>
      </c>
      <c r="AA162" s="228">
        <v>8.6</v>
      </c>
      <c r="AB162" s="228">
        <v>-7.1</v>
      </c>
      <c r="AC162" s="229">
        <v>1E-3</v>
      </c>
      <c r="AD162" s="228">
        <v>1.5</v>
      </c>
      <c r="AE162" s="228">
        <v>8.6</v>
      </c>
      <c r="AF162" s="228">
        <v>-7.1</v>
      </c>
      <c r="AG162" s="229">
        <v>1E-3</v>
      </c>
      <c r="AH162" s="228">
        <v>6.9</v>
      </c>
      <c r="AI162" s="228">
        <v>15</v>
      </c>
      <c r="AJ162" s="228">
        <v>-8.1</v>
      </c>
      <c r="AK162" s="229">
        <v>4.4000000000000003E-3</v>
      </c>
      <c r="AL162" s="228">
        <v>19.2</v>
      </c>
      <c r="AM162" s="228">
        <v>23.4</v>
      </c>
      <c r="AN162" s="228">
        <v>-4.2</v>
      </c>
      <c r="AO162" s="229">
        <v>1.24E-2</v>
      </c>
      <c r="AP162" s="231">
        <v>1546.65</v>
      </c>
      <c r="AQ162" s="231">
        <v>1551.61</v>
      </c>
      <c r="AR162" s="228">
        <v>0</v>
      </c>
      <c r="AS162" s="228">
        <v>315</v>
      </c>
      <c r="AT162" s="228">
        <v>847</v>
      </c>
      <c r="AU162" s="228">
        <v>-532</v>
      </c>
      <c r="AV162" s="229">
        <v>-0.62839999999999996</v>
      </c>
      <c r="AW162" s="228">
        <v>301</v>
      </c>
      <c r="AX162" s="228">
        <v>809</v>
      </c>
      <c r="AY162" s="228">
        <v>-508</v>
      </c>
      <c r="AZ162" s="229">
        <v>-0.62760000000000005</v>
      </c>
      <c r="BA162" s="228">
        <v>12</v>
      </c>
      <c r="BB162" s="228">
        <v>34</v>
      </c>
      <c r="BC162" s="228">
        <v>-22</v>
      </c>
      <c r="BD162" s="229">
        <v>-0.64380000000000004</v>
      </c>
      <c r="BE162" s="228">
        <v>1</v>
      </c>
      <c r="BF162" s="228">
        <v>3</v>
      </c>
      <c r="BG162" s="228">
        <v>-2</v>
      </c>
      <c r="BH162" s="229">
        <v>-0.65569999999999995</v>
      </c>
      <c r="BI162" s="228">
        <v>867</v>
      </c>
      <c r="BJ162" s="230">
        <v>1970</v>
      </c>
      <c r="BK162" s="230">
        <v>-1103</v>
      </c>
      <c r="BL162" s="229">
        <v>-0.55979999999999996</v>
      </c>
      <c r="BM162" s="228">
        <v>364</v>
      </c>
      <c r="BN162" s="230">
        <v>1249</v>
      </c>
      <c r="BO162" s="228">
        <v>-885</v>
      </c>
      <c r="BP162" s="229">
        <v>-0.70850000000000002</v>
      </c>
      <c r="BQ162" s="230">
        <v>1546</v>
      </c>
      <c r="BR162" s="230">
        <v>4065</v>
      </c>
      <c r="BS162" s="230">
        <v>-2520</v>
      </c>
      <c r="BT162" s="229">
        <v>-0.61980000000000002</v>
      </c>
      <c r="BU162" s="230">
        <v>1673476</v>
      </c>
      <c r="BV162" s="230">
        <v>6026102</v>
      </c>
      <c r="BW162" s="230">
        <v>-4352626</v>
      </c>
      <c r="BX162" s="229">
        <v>-0.72230000000000005</v>
      </c>
      <c r="BY162" s="230">
        <v>1480</v>
      </c>
      <c r="BZ162" s="230">
        <v>1504</v>
      </c>
      <c r="CA162" s="228">
        <v>-24</v>
      </c>
      <c r="CB162" s="229">
        <v>-1.6E-2</v>
      </c>
      <c r="CC162" s="230">
        <v>1426</v>
      </c>
      <c r="CD162" s="230">
        <v>1450</v>
      </c>
      <c r="CE162" s="228">
        <v>-24</v>
      </c>
      <c r="CF162" s="229">
        <v>-1.6500000000000001E-2</v>
      </c>
      <c r="CG162" s="228">
        <v>50</v>
      </c>
      <c r="CH162" s="228">
        <v>50</v>
      </c>
      <c r="CI162" s="228">
        <v>1</v>
      </c>
      <c r="CJ162" s="229">
        <v>1.21E-2</v>
      </c>
      <c r="CK162" s="228">
        <v>4</v>
      </c>
      <c r="CL162" s="228">
        <v>4</v>
      </c>
      <c r="CM162" s="228">
        <v>-1</v>
      </c>
      <c r="CN162" s="229">
        <v>-0.1646</v>
      </c>
      <c r="CO162" s="228">
        <v>592</v>
      </c>
      <c r="CP162" s="228">
        <v>647</v>
      </c>
      <c r="CQ162" s="228">
        <v>-55</v>
      </c>
      <c r="CR162" s="229">
        <v>-8.43E-2</v>
      </c>
      <c r="CS162" s="228">
        <v>449</v>
      </c>
      <c r="CT162" s="228">
        <v>453</v>
      </c>
      <c r="CU162" s="228">
        <v>-4</v>
      </c>
      <c r="CV162" s="229">
        <v>-8.5000000000000006E-3</v>
      </c>
      <c r="CW162" s="230">
        <v>2521</v>
      </c>
      <c r="CX162" s="230">
        <v>2603</v>
      </c>
      <c r="CY162" s="228">
        <v>-82</v>
      </c>
      <c r="CZ162" s="229">
        <v>-3.1699999999999999E-2</v>
      </c>
      <c r="DA162" s="228">
        <v>44.88</v>
      </c>
      <c r="DB162" s="228">
        <v>47.54</v>
      </c>
      <c r="DC162" s="228">
        <v>-2.66</v>
      </c>
      <c r="DD162" s="228">
        <v>-2.66</v>
      </c>
      <c r="DE162" s="228">
        <v>47.29</v>
      </c>
      <c r="DF162" s="228">
        <v>47.2</v>
      </c>
      <c r="DG162" s="228">
        <v>-2.41</v>
      </c>
      <c r="DH162" s="228">
        <v>0.09</v>
      </c>
      <c r="DI162" s="228">
        <v>43.82</v>
      </c>
      <c r="DJ162" s="228">
        <v>46.85</v>
      </c>
      <c r="DK162" s="228">
        <v>-3.03</v>
      </c>
      <c r="DL162" s="228">
        <v>-3.03</v>
      </c>
      <c r="DM162" s="228">
        <v>47.41</v>
      </c>
      <c r="DN162" s="228">
        <v>48.64</v>
      </c>
      <c r="DO162" s="228">
        <v>-1.23</v>
      </c>
      <c r="DP162" s="228">
        <v>-1.23</v>
      </c>
      <c r="DQ162" s="228">
        <v>0.76</v>
      </c>
      <c r="DR162" s="228">
        <v>0.7</v>
      </c>
      <c r="DS162" s="228">
        <v>0.06</v>
      </c>
      <c r="DT162" s="229">
        <v>8.5699999999999998E-2</v>
      </c>
      <c r="DU162" s="231">
        <v>1600</v>
      </c>
      <c r="DV162" s="231">
        <v>1500</v>
      </c>
      <c r="DW162" s="228">
        <v>0.42</v>
      </c>
      <c r="DX162" s="228">
        <v>0.63</v>
      </c>
      <c r="DY162" s="228">
        <v>-0.21</v>
      </c>
      <c r="DZ162" s="229">
        <v>-0.33329999999999999</v>
      </c>
      <c r="EA162" s="229">
        <v>3.6400000000000002E-2</v>
      </c>
      <c r="EB162" s="230">
        <v>346500</v>
      </c>
      <c r="EC162" s="229">
        <v>3.5000000000000001E-3</v>
      </c>
      <c r="ED162" s="229">
        <v>3.6400000000000002E-2</v>
      </c>
      <c r="EE162" s="228">
        <v>4.96</v>
      </c>
      <c r="EF162" s="229">
        <v>3.2000000000000002E-3</v>
      </c>
      <c r="EG162" s="230">
        <v>817386</v>
      </c>
      <c r="EH162" s="230">
        <v>2924287</v>
      </c>
      <c r="EI162" s="229">
        <v>-0.72050000000000003</v>
      </c>
      <c r="EJ162" s="229">
        <v>0.4884</v>
      </c>
      <c r="EK162" s="228">
        <v>913.83</v>
      </c>
      <c r="EL162" s="228">
        <v>350.89</v>
      </c>
      <c r="EM162" s="228">
        <v>312.72000000000003</v>
      </c>
      <c r="EN162" s="228">
        <v>164.67</v>
      </c>
      <c r="EO162" s="231">
        <v>1577.44</v>
      </c>
      <c r="EP162" s="231">
        <v>4062.39</v>
      </c>
      <c r="EQ162" s="231">
        <v>-2484.96</v>
      </c>
      <c r="ER162" s="229">
        <v>-0.61170000000000002</v>
      </c>
      <c r="ES162" s="228">
        <v>621.36</v>
      </c>
      <c r="ET162" s="228">
        <v>426.26</v>
      </c>
      <c r="EU162" s="231">
        <v>1479.99</v>
      </c>
      <c r="EV162" s="231">
        <v>60642005</v>
      </c>
      <c r="EW162" s="231">
        <v>2527.61</v>
      </c>
      <c r="EX162" s="231">
        <v>2568.14</v>
      </c>
      <c r="EY162" s="228">
        <v>-40.53</v>
      </c>
      <c r="EZ162" s="229">
        <v>-1.5800000000000002E-2</v>
      </c>
      <c r="FA162" s="229">
        <v>0.2671</v>
      </c>
      <c r="FB162" s="227" t="s">
        <v>556</v>
      </c>
      <c r="FC162">
        <f t="shared" si="3"/>
        <v>0</v>
      </c>
    </row>
    <row r="163" spans="1:159" ht="17.25" thickBot="1" x14ac:dyDescent="0.3">
      <c r="A163" s="226">
        <v>46064</v>
      </c>
      <c r="B163" s="227" t="s">
        <v>184</v>
      </c>
      <c r="C163" s="227" t="s">
        <v>519</v>
      </c>
      <c r="D163" s="228">
        <v>125</v>
      </c>
      <c r="E163" s="228">
        <v>13</v>
      </c>
      <c r="F163" s="231">
        <v>7820</v>
      </c>
      <c r="G163" s="231">
        <v>7769.5</v>
      </c>
      <c r="H163" s="228">
        <v>50.5</v>
      </c>
      <c r="I163" s="229">
        <v>6.4999999999999997E-3</v>
      </c>
      <c r="J163" s="231">
        <v>7814</v>
      </c>
      <c r="K163" s="231">
        <v>7742.5</v>
      </c>
      <c r="L163" s="228">
        <v>71.5</v>
      </c>
      <c r="M163" s="229">
        <v>9.1999999999999998E-3</v>
      </c>
      <c r="N163" s="231">
        <v>7820</v>
      </c>
      <c r="O163" s="231">
        <v>7769.5</v>
      </c>
      <c r="P163" s="228">
        <v>50.5</v>
      </c>
      <c r="Q163" s="229">
        <v>6.4999999999999997E-3</v>
      </c>
      <c r="R163" s="231">
        <v>7865</v>
      </c>
      <c r="S163" s="231">
        <v>7809</v>
      </c>
      <c r="T163" s="228">
        <v>56</v>
      </c>
      <c r="U163" s="229">
        <v>7.1999999999999998E-3</v>
      </c>
      <c r="V163" s="231">
        <v>7882.5</v>
      </c>
      <c r="W163" s="231">
        <v>7840</v>
      </c>
      <c r="X163" s="228">
        <v>42.5</v>
      </c>
      <c r="Y163" s="229">
        <v>5.4000000000000003E-3</v>
      </c>
      <c r="Z163" s="228">
        <v>6</v>
      </c>
      <c r="AA163" s="228">
        <v>27</v>
      </c>
      <c r="AB163" s="228">
        <v>-21</v>
      </c>
      <c r="AC163" s="229">
        <v>8.0000000000000004E-4</v>
      </c>
      <c r="AD163" s="228">
        <v>6</v>
      </c>
      <c r="AE163" s="228">
        <v>27</v>
      </c>
      <c r="AF163" s="228">
        <v>-21</v>
      </c>
      <c r="AG163" s="229">
        <v>8.0000000000000004E-4</v>
      </c>
      <c r="AH163" s="228">
        <v>51</v>
      </c>
      <c r="AI163" s="228">
        <v>66.5</v>
      </c>
      <c r="AJ163" s="228">
        <v>-15.5</v>
      </c>
      <c r="AK163" s="229">
        <v>6.4999999999999997E-3</v>
      </c>
      <c r="AL163" s="228">
        <v>68.5</v>
      </c>
      <c r="AM163" s="228">
        <v>97.5</v>
      </c>
      <c r="AN163" s="228">
        <v>-29</v>
      </c>
      <c r="AO163" s="229">
        <v>8.8000000000000005E-3</v>
      </c>
      <c r="AP163" s="231">
        <v>7805.52</v>
      </c>
      <c r="AQ163" s="231">
        <v>7849.71</v>
      </c>
      <c r="AR163" s="228">
        <v>0</v>
      </c>
      <c r="AS163" s="228">
        <v>165</v>
      </c>
      <c r="AT163" s="228">
        <v>248</v>
      </c>
      <c r="AU163" s="228">
        <v>-83</v>
      </c>
      <c r="AV163" s="229">
        <v>-0.33410000000000001</v>
      </c>
      <c r="AW163" s="228">
        <v>156</v>
      </c>
      <c r="AX163" s="228">
        <v>239</v>
      </c>
      <c r="AY163" s="228">
        <v>-83</v>
      </c>
      <c r="AZ163" s="229">
        <v>-0.34649999999999997</v>
      </c>
      <c r="BA163" s="228">
        <v>9</v>
      </c>
      <c r="BB163" s="228">
        <v>9</v>
      </c>
      <c r="BC163" s="228">
        <v>0</v>
      </c>
      <c r="BD163" s="229">
        <v>2.3E-2</v>
      </c>
      <c r="BE163" s="228">
        <v>0</v>
      </c>
      <c r="BF163" s="228">
        <v>1</v>
      </c>
      <c r="BG163" s="228">
        <v>0</v>
      </c>
      <c r="BH163" s="229">
        <v>-0.42859999999999998</v>
      </c>
      <c r="BI163" s="228">
        <v>715</v>
      </c>
      <c r="BJ163" s="228">
        <v>719</v>
      </c>
      <c r="BK163" s="228">
        <v>-4</v>
      </c>
      <c r="BL163" s="229">
        <v>-5.4000000000000003E-3</v>
      </c>
      <c r="BM163" s="228">
        <v>505</v>
      </c>
      <c r="BN163" s="228">
        <v>541</v>
      </c>
      <c r="BO163" s="228">
        <v>-36</v>
      </c>
      <c r="BP163" s="229">
        <v>-6.7199999999999996E-2</v>
      </c>
      <c r="BQ163" s="230">
        <v>1385</v>
      </c>
      <c r="BR163" s="230">
        <v>1509</v>
      </c>
      <c r="BS163" s="228">
        <v>-123</v>
      </c>
      <c r="BT163" s="229">
        <v>-8.1699999999999995E-2</v>
      </c>
      <c r="BU163" s="230">
        <v>123159</v>
      </c>
      <c r="BV163" s="230">
        <v>135890</v>
      </c>
      <c r="BW163" s="230">
        <v>-12731</v>
      </c>
      <c r="BX163" s="229">
        <v>-9.3700000000000006E-2</v>
      </c>
      <c r="BY163" s="230">
        <v>2321</v>
      </c>
      <c r="BZ163" s="230">
        <v>2320</v>
      </c>
      <c r="CA163" s="228">
        <v>1</v>
      </c>
      <c r="CB163" s="229">
        <v>2.9999999999999997E-4</v>
      </c>
      <c r="CC163" s="230">
        <v>2277</v>
      </c>
      <c r="CD163" s="230">
        <v>2279</v>
      </c>
      <c r="CE163" s="228">
        <v>-2</v>
      </c>
      <c r="CF163" s="229">
        <v>-8.0000000000000004E-4</v>
      </c>
      <c r="CG163" s="228">
        <v>36</v>
      </c>
      <c r="CH163" s="228">
        <v>34</v>
      </c>
      <c r="CI163" s="228">
        <v>3</v>
      </c>
      <c r="CJ163" s="229">
        <v>7.8299999999999995E-2</v>
      </c>
      <c r="CK163" s="228">
        <v>8</v>
      </c>
      <c r="CL163" s="228">
        <v>8</v>
      </c>
      <c r="CM163" s="228">
        <v>0</v>
      </c>
      <c r="CN163" s="229">
        <v>-1.2500000000000001E-2</v>
      </c>
      <c r="CO163" s="228">
        <v>866</v>
      </c>
      <c r="CP163" s="228">
        <v>879</v>
      </c>
      <c r="CQ163" s="228">
        <v>-13</v>
      </c>
      <c r="CR163" s="229">
        <v>-1.5299999999999999E-2</v>
      </c>
      <c r="CS163" s="228">
        <v>652</v>
      </c>
      <c r="CT163" s="228">
        <v>620</v>
      </c>
      <c r="CU163" s="228">
        <v>32</v>
      </c>
      <c r="CV163" s="229">
        <v>5.1700000000000003E-2</v>
      </c>
      <c r="CW163" s="230">
        <v>3838</v>
      </c>
      <c r="CX163" s="230">
        <v>3819</v>
      </c>
      <c r="CY163" s="228">
        <v>19</v>
      </c>
      <c r="CZ163" s="229">
        <v>5.0000000000000001E-3</v>
      </c>
      <c r="DA163" s="228">
        <v>29.26</v>
      </c>
      <c r="DB163" s="228">
        <v>30.38</v>
      </c>
      <c r="DC163" s="228">
        <v>-1.1200000000000001</v>
      </c>
      <c r="DD163" s="228">
        <v>-1.1200000000000001</v>
      </c>
      <c r="DE163" s="228">
        <v>39.67</v>
      </c>
      <c r="DF163" s="228">
        <v>39.75</v>
      </c>
      <c r="DG163" s="228">
        <v>-10.41</v>
      </c>
      <c r="DH163" s="228">
        <v>-0.08</v>
      </c>
      <c r="DI163" s="228">
        <v>26.69</v>
      </c>
      <c r="DJ163" s="228">
        <v>27.4</v>
      </c>
      <c r="DK163" s="228">
        <v>-0.71</v>
      </c>
      <c r="DL163" s="228">
        <v>-0.71</v>
      </c>
      <c r="DM163" s="228">
        <v>32.9</v>
      </c>
      <c r="DN163" s="228">
        <v>34.35</v>
      </c>
      <c r="DO163" s="228">
        <v>-1.45</v>
      </c>
      <c r="DP163" s="228">
        <v>-1.45</v>
      </c>
      <c r="DQ163" s="228">
        <v>0.75</v>
      </c>
      <c r="DR163" s="228">
        <v>0.71</v>
      </c>
      <c r="DS163" s="228">
        <v>0.04</v>
      </c>
      <c r="DT163" s="229">
        <v>5.6300000000000003E-2</v>
      </c>
      <c r="DU163" s="231">
        <v>8200</v>
      </c>
      <c r="DV163" s="231">
        <v>7500</v>
      </c>
      <c r="DW163" s="228">
        <v>0.71</v>
      </c>
      <c r="DX163" s="228">
        <v>0.75</v>
      </c>
      <c r="DY163" s="228">
        <v>-0.04</v>
      </c>
      <c r="DZ163" s="229">
        <v>-5.33E-2</v>
      </c>
      <c r="EA163" s="229">
        <v>1.9E-2</v>
      </c>
      <c r="EB163" s="230">
        <v>53125</v>
      </c>
      <c r="EC163" s="229">
        <v>5.7999999999999996E-3</v>
      </c>
      <c r="ED163" s="229">
        <v>1.9E-2</v>
      </c>
      <c r="EE163" s="228">
        <v>44.19</v>
      </c>
      <c r="EF163" s="229">
        <v>5.7000000000000002E-3</v>
      </c>
      <c r="EG163" s="230">
        <v>65091</v>
      </c>
      <c r="EH163" s="230">
        <v>71042</v>
      </c>
      <c r="EI163" s="229">
        <v>-8.3799999999999999E-2</v>
      </c>
      <c r="EJ163" s="229">
        <v>0.52849999999999997</v>
      </c>
      <c r="EK163" s="228">
        <v>735.81</v>
      </c>
      <c r="EL163" s="228">
        <v>459.85</v>
      </c>
      <c r="EM163" s="228">
        <v>165.14</v>
      </c>
      <c r="EN163" s="228">
        <v>33.22</v>
      </c>
      <c r="EO163" s="231">
        <v>1360.79</v>
      </c>
      <c r="EP163" s="231">
        <v>1490.02</v>
      </c>
      <c r="EQ163" s="228">
        <v>-129.22999999999999</v>
      </c>
      <c r="ER163" s="229">
        <v>-8.6699999999999999E-2</v>
      </c>
      <c r="ES163" s="228">
        <v>863.13</v>
      </c>
      <c r="ET163" s="228">
        <v>596.26</v>
      </c>
      <c r="EU163" s="231">
        <v>2321.15</v>
      </c>
      <c r="EV163" s="231">
        <v>8688405</v>
      </c>
      <c r="EW163" s="231">
        <v>3780.53</v>
      </c>
      <c r="EX163" s="231">
        <v>3746.72</v>
      </c>
      <c r="EY163" s="228">
        <v>33.81</v>
      </c>
      <c r="EZ163" s="229">
        <v>8.9999999999999993E-3</v>
      </c>
      <c r="FA163" s="229">
        <v>0.56489999999999996</v>
      </c>
      <c r="FB163" s="227" t="s">
        <v>555</v>
      </c>
      <c r="FC163">
        <f t="shared" si="3"/>
        <v>0</v>
      </c>
    </row>
    <row r="164" spans="1:159" ht="17.25" thickBot="1" x14ac:dyDescent="0.3">
      <c r="A164" s="226">
        <v>46064</v>
      </c>
      <c r="B164" s="227" t="s">
        <v>161</v>
      </c>
      <c r="C164" s="227" t="s">
        <v>276</v>
      </c>
      <c r="D164" s="228">
        <v>1900</v>
      </c>
      <c r="E164" s="228">
        <v>13</v>
      </c>
      <c r="F164" s="228">
        <v>294.55</v>
      </c>
      <c r="G164" s="228">
        <v>294.39999999999998</v>
      </c>
      <c r="H164" s="228">
        <v>0.15</v>
      </c>
      <c r="I164" s="229">
        <v>5.0000000000000001E-4</v>
      </c>
      <c r="J164" s="228">
        <v>294.45</v>
      </c>
      <c r="K164" s="228">
        <v>294.35000000000002</v>
      </c>
      <c r="L164" s="228">
        <v>0.1</v>
      </c>
      <c r="M164" s="229">
        <v>2.9999999999999997E-4</v>
      </c>
      <c r="N164" s="228">
        <v>294.55</v>
      </c>
      <c r="O164" s="228">
        <v>294.39999999999998</v>
      </c>
      <c r="P164" s="228">
        <v>0.15</v>
      </c>
      <c r="Q164" s="229">
        <v>5.0000000000000001E-4</v>
      </c>
      <c r="R164" s="228">
        <v>296.39999999999998</v>
      </c>
      <c r="S164" s="228">
        <v>296</v>
      </c>
      <c r="T164" s="228">
        <v>0.4</v>
      </c>
      <c r="U164" s="229">
        <v>1.4E-3</v>
      </c>
      <c r="V164" s="228">
        <v>298.39999999999998</v>
      </c>
      <c r="W164" s="228">
        <v>298.39999999999998</v>
      </c>
      <c r="X164" s="228">
        <v>0</v>
      </c>
      <c r="Y164" s="229">
        <v>0</v>
      </c>
      <c r="Z164" s="228">
        <v>0.1</v>
      </c>
      <c r="AA164" s="228">
        <v>0.05</v>
      </c>
      <c r="AB164" s="228">
        <v>0.05</v>
      </c>
      <c r="AC164" s="229">
        <v>2.9999999999999997E-4</v>
      </c>
      <c r="AD164" s="228">
        <v>0.1</v>
      </c>
      <c r="AE164" s="228">
        <v>0.05</v>
      </c>
      <c r="AF164" s="228">
        <v>0.05</v>
      </c>
      <c r="AG164" s="229">
        <v>2.9999999999999997E-4</v>
      </c>
      <c r="AH164" s="228">
        <v>1.95</v>
      </c>
      <c r="AI164" s="228">
        <v>1.65</v>
      </c>
      <c r="AJ164" s="228">
        <v>0.3</v>
      </c>
      <c r="AK164" s="229">
        <v>6.6E-3</v>
      </c>
      <c r="AL164" s="228">
        <v>3.95</v>
      </c>
      <c r="AM164" s="228">
        <v>4.05</v>
      </c>
      <c r="AN164" s="228">
        <v>-0.1</v>
      </c>
      <c r="AO164" s="229">
        <v>1.34E-2</v>
      </c>
      <c r="AP164" s="228">
        <v>294.08</v>
      </c>
      <c r="AQ164" s="228">
        <v>295.95</v>
      </c>
      <c r="AR164" s="228">
        <v>0</v>
      </c>
      <c r="AS164" s="228">
        <v>262</v>
      </c>
      <c r="AT164" s="228">
        <v>341</v>
      </c>
      <c r="AU164" s="228">
        <v>-79</v>
      </c>
      <c r="AV164" s="229">
        <v>-0.2326</v>
      </c>
      <c r="AW164" s="228">
        <v>234</v>
      </c>
      <c r="AX164" s="228">
        <v>319</v>
      </c>
      <c r="AY164" s="228">
        <v>-86</v>
      </c>
      <c r="AZ164" s="229">
        <v>-0.26889999999999997</v>
      </c>
      <c r="BA164" s="228">
        <v>25</v>
      </c>
      <c r="BB164" s="228">
        <v>19</v>
      </c>
      <c r="BC164" s="228">
        <v>6</v>
      </c>
      <c r="BD164" s="229">
        <v>0.28860000000000002</v>
      </c>
      <c r="BE164" s="228">
        <v>3</v>
      </c>
      <c r="BF164" s="228">
        <v>2</v>
      </c>
      <c r="BG164" s="228">
        <v>1</v>
      </c>
      <c r="BH164" s="229">
        <v>0.46339999999999998</v>
      </c>
      <c r="BI164" s="230">
        <v>1493</v>
      </c>
      <c r="BJ164" s="230">
        <v>2172</v>
      </c>
      <c r="BK164" s="228">
        <v>-679</v>
      </c>
      <c r="BL164" s="229">
        <v>-0.31259999999999999</v>
      </c>
      <c r="BM164" s="228">
        <v>676</v>
      </c>
      <c r="BN164" s="228">
        <v>913</v>
      </c>
      <c r="BO164" s="228">
        <v>-236</v>
      </c>
      <c r="BP164" s="229">
        <v>-0.25900000000000001</v>
      </c>
      <c r="BQ164" s="230">
        <v>2431</v>
      </c>
      <c r="BR164" s="230">
        <v>3426</v>
      </c>
      <c r="BS164" s="228">
        <v>-995</v>
      </c>
      <c r="BT164" s="229">
        <v>-0.29039999999999999</v>
      </c>
      <c r="BU164" s="230">
        <v>11140501</v>
      </c>
      <c r="BV164" s="230">
        <v>22671273</v>
      </c>
      <c r="BW164" s="230">
        <v>-11530772</v>
      </c>
      <c r="BX164" s="229">
        <v>-0.50860000000000005</v>
      </c>
      <c r="BY164" s="230">
        <v>2455</v>
      </c>
      <c r="BZ164" s="230">
        <v>2499</v>
      </c>
      <c r="CA164" s="228">
        <v>-44</v>
      </c>
      <c r="CB164" s="229">
        <v>-1.78E-2</v>
      </c>
      <c r="CC164" s="230">
        <v>2355</v>
      </c>
      <c r="CD164" s="230">
        <v>2404</v>
      </c>
      <c r="CE164" s="228">
        <v>-48</v>
      </c>
      <c r="CF164" s="229">
        <v>-2.01E-2</v>
      </c>
      <c r="CG164" s="228">
        <v>86</v>
      </c>
      <c r="CH164" s="228">
        <v>83</v>
      </c>
      <c r="CI164" s="228">
        <v>2</v>
      </c>
      <c r="CJ164" s="229">
        <v>2.8299999999999999E-2</v>
      </c>
      <c r="CK164" s="228">
        <v>14</v>
      </c>
      <c r="CL164" s="228">
        <v>12</v>
      </c>
      <c r="CM164" s="228">
        <v>2</v>
      </c>
      <c r="CN164" s="229">
        <v>0.1222</v>
      </c>
      <c r="CO164" s="230">
        <v>2015</v>
      </c>
      <c r="CP164" s="230">
        <v>2004</v>
      </c>
      <c r="CQ164" s="228">
        <v>12</v>
      </c>
      <c r="CR164" s="229">
        <v>5.7999999999999996E-3</v>
      </c>
      <c r="CS164" s="230">
        <v>1226</v>
      </c>
      <c r="CT164" s="230">
        <v>1231</v>
      </c>
      <c r="CU164" s="228">
        <v>-5</v>
      </c>
      <c r="CV164" s="229">
        <v>-3.8E-3</v>
      </c>
      <c r="CW164" s="230">
        <v>5696</v>
      </c>
      <c r="CX164" s="230">
        <v>5734</v>
      </c>
      <c r="CY164" s="228">
        <v>-38</v>
      </c>
      <c r="CZ164" s="229">
        <v>-6.4999999999999997E-3</v>
      </c>
      <c r="DA164" s="228">
        <v>22.55</v>
      </c>
      <c r="DB164" s="228">
        <v>22.91</v>
      </c>
      <c r="DC164" s="228">
        <v>-0.36</v>
      </c>
      <c r="DD164" s="228">
        <v>-0.36</v>
      </c>
      <c r="DE164" s="228">
        <v>29.28</v>
      </c>
      <c r="DF164" s="228">
        <v>29.35</v>
      </c>
      <c r="DG164" s="228">
        <v>-6.73</v>
      </c>
      <c r="DH164" s="228">
        <v>-7.0000000000000007E-2</v>
      </c>
      <c r="DI164" s="228">
        <v>22.2</v>
      </c>
      <c r="DJ164" s="228">
        <v>22.29</v>
      </c>
      <c r="DK164" s="228">
        <v>-0.09</v>
      </c>
      <c r="DL164" s="228">
        <v>-0.09</v>
      </c>
      <c r="DM164" s="228">
        <v>23.31</v>
      </c>
      <c r="DN164" s="228">
        <v>24.41</v>
      </c>
      <c r="DO164" s="228">
        <v>-1.1000000000000001</v>
      </c>
      <c r="DP164" s="228">
        <v>-1.1000000000000001</v>
      </c>
      <c r="DQ164" s="228">
        <v>0.61</v>
      </c>
      <c r="DR164" s="228">
        <v>0.61</v>
      </c>
      <c r="DS164" s="228">
        <v>0</v>
      </c>
      <c r="DT164" s="229">
        <v>0</v>
      </c>
      <c r="DU164" s="228">
        <v>300</v>
      </c>
      <c r="DV164" s="228">
        <v>280</v>
      </c>
      <c r="DW164" s="228">
        <v>0.45</v>
      </c>
      <c r="DX164" s="228">
        <v>0.42</v>
      </c>
      <c r="DY164" s="228">
        <v>0.03</v>
      </c>
      <c r="DZ164" s="229">
        <v>7.1400000000000005E-2</v>
      </c>
      <c r="EA164" s="229">
        <v>4.0500000000000001E-2</v>
      </c>
      <c r="EB164" s="230">
        <v>3243300</v>
      </c>
      <c r="EC164" s="229">
        <v>6.3E-3</v>
      </c>
      <c r="ED164" s="229">
        <v>4.0500000000000001E-2</v>
      </c>
      <c r="EE164" s="228">
        <v>1.87</v>
      </c>
      <c r="EF164" s="229">
        <v>6.4000000000000003E-3</v>
      </c>
      <c r="EG164" s="230">
        <v>7437724</v>
      </c>
      <c r="EH164" s="230">
        <v>16577005</v>
      </c>
      <c r="EI164" s="229">
        <v>-0.55130000000000001</v>
      </c>
      <c r="EJ164" s="229">
        <v>0.66759999999999997</v>
      </c>
      <c r="EK164" s="231">
        <v>1534.53</v>
      </c>
      <c r="EL164" s="228">
        <v>658.97</v>
      </c>
      <c r="EM164" s="228">
        <v>261.42</v>
      </c>
      <c r="EN164" s="228">
        <v>73.56</v>
      </c>
      <c r="EO164" s="231">
        <v>2454.91</v>
      </c>
      <c r="EP164" s="231">
        <v>3447.29</v>
      </c>
      <c r="EQ164" s="228">
        <v>-992.38</v>
      </c>
      <c r="ER164" s="229">
        <v>-0.28789999999999999</v>
      </c>
      <c r="ES164" s="231">
        <v>1982.03</v>
      </c>
      <c r="ET164" s="231">
        <v>1107.9100000000001</v>
      </c>
      <c r="EU164" s="231">
        <v>2455.38</v>
      </c>
      <c r="EV164" s="231">
        <v>678857930</v>
      </c>
      <c r="EW164" s="231">
        <v>5545.31</v>
      </c>
      <c r="EX164" s="231">
        <v>5574.5</v>
      </c>
      <c r="EY164" s="228">
        <v>-29.19</v>
      </c>
      <c r="EZ164" s="229">
        <v>-5.1999999999999998E-3</v>
      </c>
      <c r="FA164" s="229">
        <v>0.28489999999999999</v>
      </c>
      <c r="FB164" s="227" t="s">
        <v>556</v>
      </c>
      <c r="FC164">
        <f t="shared" si="3"/>
        <v>0</v>
      </c>
    </row>
    <row r="165" spans="1:159" ht="17.25" thickBot="1" x14ac:dyDescent="0.3">
      <c r="A165" s="226">
        <v>46064</v>
      </c>
      <c r="B165" s="227" t="s">
        <v>184</v>
      </c>
      <c r="C165" s="227" t="s">
        <v>686</v>
      </c>
      <c r="D165" s="228">
        <v>50</v>
      </c>
      <c r="E165" s="228">
        <v>13</v>
      </c>
      <c r="F165" s="231">
        <v>22762</v>
      </c>
      <c r="G165" s="231">
        <v>22539</v>
      </c>
      <c r="H165" s="228">
        <v>223</v>
      </c>
      <c r="I165" s="229">
        <v>9.9000000000000008E-3</v>
      </c>
      <c r="J165" s="231">
        <v>22731</v>
      </c>
      <c r="K165" s="231">
        <v>22457</v>
      </c>
      <c r="L165" s="228">
        <v>274</v>
      </c>
      <c r="M165" s="229">
        <v>1.2200000000000001E-2</v>
      </c>
      <c r="N165" s="231">
        <v>22762</v>
      </c>
      <c r="O165" s="231">
        <v>22539</v>
      </c>
      <c r="P165" s="228">
        <v>223</v>
      </c>
      <c r="Q165" s="229">
        <v>9.9000000000000008E-3</v>
      </c>
      <c r="R165" s="231">
        <v>22845</v>
      </c>
      <c r="S165" s="231">
        <v>22618</v>
      </c>
      <c r="T165" s="228">
        <v>227</v>
      </c>
      <c r="U165" s="229">
        <v>0.01</v>
      </c>
      <c r="V165" s="231">
        <v>22915</v>
      </c>
      <c r="W165" s="231">
        <v>22680</v>
      </c>
      <c r="X165" s="228">
        <v>235</v>
      </c>
      <c r="Y165" s="229">
        <v>1.04E-2</v>
      </c>
      <c r="Z165" s="228">
        <v>31</v>
      </c>
      <c r="AA165" s="228">
        <v>82</v>
      </c>
      <c r="AB165" s="228">
        <v>-51</v>
      </c>
      <c r="AC165" s="229">
        <v>1.4E-3</v>
      </c>
      <c r="AD165" s="228">
        <v>31</v>
      </c>
      <c r="AE165" s="228">
        <v>82</v>
      </c>
      <c r="AF165" s="228">
        <v>-51</v>
      </c>
      <c r="AG165" s="229">
        <v>1.4E-3</v>
      </c>
      <c r="AH165" s="228">
        <v>114</v>
      </c>
      <c r="AI165" s="228">
        <v>161</v>
      </c>
      <c r="AJ165" s="228">
        <v>-47</v>
      </c>
      <c r="AK165" s="229">
        <v>5.0000000000000001E-3</v>
      </c>
      <c r="AL165" s="228">
        <v>184</v>
      </c>
      <c r="AM165" s="228">
        <v>223</v>
      </c>
      <c r="AN165" s="228">
        <v>-39</v>
      </c>
      <c r="AO165" s="229">
        <v>8.0999999999999996E-3</v>
      </c>
      <c r="AP165" s="231">
        <v>22723.279999999999</v>
      </c>
      <c r="AQ165" s="231">
        <v>22798.49</v>
      </c>
      <c r="AR165" s="228">
        <v>0</v>
      </c>
      <c r="AS165" s="228">
        <v>183</v>
      </c>
      <c r="AT165" s="228">
        <v>205</v>
      </c>
      <c r="AU165" s="228">
        <v>-22</v>
      </c>
      <c r="AV165" s="229">
        <v>-0.1081</v>
      </c>
      <c r="AW165" s="228">
        <v>170</v>
      </c>
      <c r="AX165" s="228">
        <v>193</v>
      </c>
      <c r="AY165" s="228">
        <v>-23</v>
      </c>
      <c r="AZ165" s="229">
        <v>-0.11840000000000001</v>
      </c>
      <c r="BA165" s="228">
        <v>11</v>
      </c>
      <c r="BB165" s="228">
        <v>11</v>
      </c>
      <c r="BC165" s="228">
        <v>-1</v>
      </c>
      <c r="BD165" s="229">
        <v>-5.0999999999999997E-2</v>
      </c>
      <c r="BE165" s="228">
        <v>2</v>
      </c>
      <c r="BF165" s="228">
        <v>1</v>
      </c>
      <c r="BG165" s="228">
        <v>1</v>
      </c>
      <c r="BH165" s="229">
        <v>1.2222</v>
      </c>
      <c r="BI165" s="228">
        <v>733</v>
      </c>
      <c r="BJ165" s="228">
        <v>678</v>
      </c>
      <c r="BK165" s="228">
        <v>55</v>
      </c>
      <c r="BL165" s="229">
        <v>8.1100000000000005E-2</v>
      </c>
      <c r="BM165" s="228">
        <v>458</v>
      </c>
      <c r="BN165" s="228">
        <v>803</v>
      </c>
      <c r="BO165" s="228">
        <v>-344</v>
      </c>
      <c r="BP165" s="229">
        <v>-0.42899999999999999</v>
      </c>
      <c r="BQ165" s="230">
        <v>1374</v>
      </c>
      <c r="BR165" s="230">
        <v>1686</v>
      </c>
      <c r="BS165" s="228">
        <v>-312</v>
      </c>
      <c r="BT165" s="229">
        <v>-0.18490000000000001</v>
      </c>
      <c r="BU165" s="230">
        <v>127746</v>
      </c>
      <c r="BV165" s="230">
        <v>129777</v>
      </c>
      <c r="BW165" s="230">
        <v>-2031</v>
      </c>
      <c r="BX165" s="229">
        <v>-1.5599999999999999E-2</v>
      </c>
      <c r="BY165" s="228">
        <v>841</v>
      </c>
      <c r="BZ165" s="228">
        <v>859</v>
      </c>
      <c r="CA165" s="228">
        <v>-19</v>
      </c>
      <c r="CB165" s="229">
        <v>-2.1600000000000001E-2</v>
      </c>
      <c r="CC165" s="228">
        <v>795</v>
      </c>
      <c r="CD165" s="228">
        <v>816</v>
      </c>
      <c r="CE165" s="228">
        <v>-21</v>
      </c>
      <c r="CF165" s="229">
        <v>-2.53E-2</v>
      </c>
      <c r="CG165" s="228">
        <v>34</v>
      </c>
      <c r="CH165" s="228">
        <v>33</v>
      </c>
      <c r="CI165" s="228">
        <v>1</v>
      </c>
      <c r="CJ165" s="229">
        <v>3.8300000000000001E-2</v>
      </c>
      <c r="CK165" s="228">
        <v>12</v>
      </c>
      <c r="CL165" s="228">
        <v>11</v>
      </c>
      <c r="CM165" s="228">
        <v>1</v>
      </c>
      <c r="CN165" s="229">
        <v>7.3700000000000002E-2</v>
      </c>
      <c r="CO165" s="228">
        <v>617</v>
      </c>
      <c r="CP165" s="228">
        <v>626</v>
      </c>
      <c r="CQ165" s="228">
        <v>-9</v>
      </c>
      <c r="CR165" s="229">
        <v>-1.4200000000000001E-2</v>
      </c>
      <c r="CS165" s="228">
        <v>759</v>
      </c>
      <c r="CT165" s="228">
        <v>763</v>
      </c>
      <c r="CU165" s="228">
        <v>-4</v>
      </c>
      <c r="CV165" s="229">
        <v>-5.1999999999999998E-3</v>
      </c>
      <c r="CW165" s="230">
        <v>2217</v>
      </c>
      <c r="CX165" s="230">
        <v>2249</v>
      </c>
      <c r="CY165" s="228">
        <v>-31</v>
      </c>
      <c r="CZ165" s="229">
        <v>-1.4E-2</v>
      </c>
      <c r="DA165" s="228">
        <v>44.01</v>
      </c>
      <c r="DB165" s="228">
        <v>49.72</v>
      </c>
      <c r="DC165" s="228">
        <v>-5.71</v>
      </c>
      <c r="DD165" s="228">
        <v>-5.71</v>
      </c>
      <c r="DE165" s="228">
        <v>60.01</v>
      </c>
      <c r="DF165" s="228">
        <v>60.13</v>
      </c>
      <c r="DG165" s="228">
        <v>-16</v>
      </c>
      <c r="DH165" s="228">
        <v>-0.12</v>
      </c>
      <c r="DI165" s="228">
        <v>40.619999999999997</v>
      </c>
      <c r="DJ165" s="228">
        <v>40.950000000000003</v>
      </c>
      <c r="DK165" s="228">
        <v>-0.33</v>
      </c>
      <c r="DL165" s="228">
        <v>-0.33</v>
      </c>
      <c r="DM165" s="228">
        <v>49.43</v>
      </c>
      <c r="DN165" s="228">
        <v>57.12</v>
      </c>
      <c r="DO165" s="228">
        <v>-7.69</v>
      </c>
      <c r="DP165" s="228">
        <v>-7.69</v>
      </c>
      <c r="DQ165" s="228">
        <v>1.23</v>
      </c>
      <c r="DR165" s="228">
        <v>1.22</v>
      </c>
      <c r="DS165" s="228">
        <v>0.01</v>
      </c>
      <c r="DT165" s="229">
        <v>8.2000000000000007E-3</v>
      </c>
      <c r="DU165" s="231">
        <v>22000</v>
      </c>
      <c r="DV165" s="231">
        <v>21000</v>
      </c>
      <c r="DW165" s="228">
        <v>0.63</v>
      </c>
      <c r="DX165" s="228">
        <v>1.18</v>
      </c>
      <c r="DY165" s="228">
        <v>-0.55000000000000004</v>
      </c>
      <c r="DZ165" s="229">
        <v>-0.46610000000000001</v>
      </c>
      <c r="EA165" s="229">
        <v>5.4100000000000002E-2</v>
      </c>
      <c r="EB165" s="230">
        <v>19100</v>
      </c>
      <c r="EC165" s="229">
        <v>3.5999999999999999E-3</v>
      </c>
      <c r="ED165" s="229">
        <v>5.4100000000000002E-2</v>
      </c>
      <c r="EE165" s="228">
        <v>75.209999999999994</v>
      </c>
      <c r="EF165" s="229">
        <v>3.3E-3</v>
      </c>
      <c r="EG165" s="230">
        <v>41838</v>
      </c>
      <c r="EH165" s="230">
        <v>40872</v>
      </c>
      <c r="EI165" s="229">
        <v>2.3599999999999999E-2</v>
      </c>
      <c r="EJ165" s="229">
        <v>0.32750000000000001</v>
      </c>
      <c r="EK165" s="228">
        <v>768</v>
      </c>
      <c r="EL165" s="228">
        <v>421.32</v>
      </c>
      <c r="EM165" s="228">
        <v>182.86</v>
      </c>
      <c r="EN165" s="228">
        <v>56.53</v>
      </c>
      <c r="EO165" s="231">
        <v>1372.18</v>
      </c>
      <c r="EP165" s="231">
        <v>1604.47</v>
      </c>
      <c r="EQ165" s="228">
        <v>-232.29</v>
      </c>
      <c r="ER165" s="229">
        <v>-0.14480000000000001</v>
      </c>
      <c r="ES165" s="228">
        <v>596.27</v>
      </c>
      <c r="ET165" s="228">
        <v>657.57</v>
      </c>
      <c r="EU165" s="228">
        <v>840.92</v>
      </c>
      <c r="EV165" s="231">
        <v>1917916</v>
      </c>
      <c r="EW165" s="231">
        <v>2094.75</v>
      </c>
      <c r="EX165" s="231">
        <v>2110.14</v>
      </c>
      <c r="EY165" s="228">
        <v>-15.39</v>
      </c>
      <c r="EZ165" s="229">
        <v>-7.3000000000000001E-3</v>
      </c>
      <c r="FA165" s="229">
        <v>0.50790000000000002</v>
      </c>
      <c r="FB165" s="227" t="s">
        <v>556</v>
      </c>
      <c r="FC165">
        <f t="shared" si="3"/>
        <v>0</v>
      </c>
    </row>
    <row r="166" spans="1:159" ht="17.25" thickBot="1" x14ac:dyDescent="0.3">
      <c r="A166" s="226">
        <v>46064</v>
      </c>
      <c r="B166" s="227" t="s">
        <v>170</v>
      </c>
      <c r="C166" s="227" t="s">
        <v>677</v>
      </c>
      <c r="D166" s="228">
        <v>2625</v>
      </c>
      <c r="E166" s="228">
        <v>13</v>
      </c>
      <c r="F166" s="228">
        <v>163.9</v>
      </c>
      <c r="G166" s="228">
        <v>163.21</v>
      </c>
      <c r="H166" s="228">
        <v>0.69</v>
      </c>
      <c r="I166" s="229">
        <v>4.1999999999999997E-3</v>
      </c>
      <c r="J166" s="228">
        <v>164.36</v>
      </c>
      <c r="K166" s="228">
        <v>163.41999999999999</v>
      </c>
      <c r="L166" s="228">
        <v>0.94</v>
      </c>
      <c r="M166" s="229">
        <v>5.7999999999999996E-3</v>
      </c>
      <c r="N166" s="228">
        <v>163.9</v>
      </c>
      <c r="O166" s="228">
        <v>163.21</v>
      </c>
      <c r="P166" s="228">
        <v>0.69</v>
      </c>
      <c r="Q166" s="229">
        <v>4.1999999999999997E-3</v>
      </c>
      <c r="R166" s="228">
        <v>162.68</v>
      </c>
      <c r="S166" s="228">
        <v>162.06</v>
      </c>
      <c r="T166" s="228">
        <v>0.62</v>
      </c>
      <c r="U166" s="229">
        <v>3.8E-3</v>
      </c>
      <c r="V166" s="228">
        <v>162.34</v>
      </c>
      <c r="W166" s="228">
        <v>161.27000000000001</v>
      </c>
      <c r="X166" s="228">
        <v>1.07</v>
      </c>
      <c r="Y166" s="229">
        <v>6.6E-3</v>
      </c>
      <c r="Z166" s="228">
        <v>-0.46</v>
      </c>
      <c r="AA166" s="228">
        <v>-0.21</v>
      </c>
      <c r="AB166" s="228">
        <v>-0.25</v>
      </c>
      <c r="AC166" s="229">
        <v>-2.8E-3</v>
      </c>
      <c r="AD166" s="228">
        <v>-0.46</v>
      </c>
      <c r="AE166" s="228">
        <v>-0.21</v>
      </c>
      <c r="AF166" s="228">
        <v>-0.25</v>
      </c>
      <c r="AG166" s="229">
        <v>-2.8E-3</v>
      </c>
      <c r="AH166" s="228">
        <v>-1.68</v>
      </c>
      <c r="AI166" s="228">
        <v>-1.36</v>
      </c>
      <c r="AJ166" s="228">
        <v>-0.32</v>
      </c>
      <c r="AK166" s="229">
        <v>-1.0200000000000001E-2</v>
      </c>
      <c r="AL166" s="228">
        <v>-2.02</v>
      </c>
      <c r="AM166" s="228">
        <v>-2.15</v>
      </c>
      <c r="AN166" s="228">
        <v>0.13</v>
      </c>
      <c r="AO166" s="229">
        <v>-1.23E-2</v>
      </c>
      <c r="AP166" s="228">
        <v>163.33000000000001</v>
      </c>
      <c r="AQ166" s="228">
        <v>161.88999999999999</v>
      </c>
      <c r="AR166" s="228">
        <v>0</v>
      </c>
      <c r="AS166" s="228">
        <v>74</v>
      </c>
      <c r="AT166" s="228">
        <v>109</v>
      </c>
      <c r="AU166" s="228">
        <v>-35</v>
      </c>
      <c r="AV166" s="229">
        <v>-0.32119999999999999</v>
      </c>
      <c r="AW166" s="228">
        <v>54</v>
      </c>
      <c r="AX166" s="228">
        <v>74</v>
      </c>
      <c r="AY166" s="228">
        <v>-20</v>
      </c>
      <c r="AZ166" s="229">
        <v>-0.26700000000000002</v>
      </c>
      <c r="BA166" s="228">
        <v>19</v>
      </c>
      <c r="BB166" s="228">
        <v>32</v>
      </c>
      <c r="BC166" s="228">
        <v>-13</v>
      </c>
      <c r="BD166" s="229">
        <v>-0.40050000000000002</v>
      </c>
      <c r="BE166" s="228">
        <v>1</v>
      </c>
      <c r="BF166" s="228">
        <v>3</v>
      </c>
      <c r="BG166" s="228">
        <v>-3</v>
      </c>
      <c r="BH166" s="229">
        <v>-0.77629999999999999</v>
      </c>
      <c r="BI166" s="228">
        <v>69</v>
      </c>
      <c r="BJ166" s="228">
        <v>204</v>
      </c>
      <c r="BK166" s="228">
        <v>-135</v>
      </c>
      <c r="BL166" s="229">
        <v>-0.66359999999999997</v>
      </c>
      <c r="BM166" s="228">
        <v>19</v>
      </c>
      <c r="BN166" s="228">
        <v>70</v>
      </c>
      <c r="BO166" s="228">
        <v>-51</v>
      </c>
      <c r="BP166" s="229">
        <v>-0.7238</v>
      </c>
      <c r="BQ166" s="228">
        <v>162</v>
      </c>
      <c r="BR166" s="228">
        <v>383</v>
      </c>
      <c r="BS166" s="228">
        <v>-221</v>
      </c>
      <c r="BT166" s="229">
        <v>-0.57709999999999995</v>
      </c>
      <c r="BU166" s="230">
        <v>1721747</v>
      </c>
      <c r="BV166" s="230">
        <v>6696967</v>
      </c>
      <c r="BW166" s="230">
        <v>-4975220</v>
      </c>
      <c r="BX166" s="229">
        <v>-0.7429</v>
      </c>
      <c r="BY166" s="228">
        <v>406</v>
      </c>
      <c r="BZ166" s="228">
        <v>397</v>
      </c>
      <c r="CA166" s="228">
        <v>8</v>
      </c>
      <c r="CB166" s="229">
        <v>2.1100000000000001E-2</v>
      </c>
      <c r="CC166" s="228">
        <v>329</v>
      </c>
      <c r="CD166" s="228">
        <v>328</v>
      </c>
      <c r="CE166" s="228">
        <v>1</v>
      </c>
      <c r="CF166" s="229">
        <v>3.3999999999999998E-3</v>
      </c>
      <c r="CG166" s="228">
        <v>71</v>
      </c>
      <c r="CH166" s="228">
        <v>64</v>
      </c>
      <c r="CI166" s="228">
        <v>7</v>
      </c>
      <c r="CJ166" s="229">
        <v>0.1055</v>
      </c>
      <c r="CK166" s="228">
        <v>6</v>
      </c>
      <c r="CL166" s="228">
        <v>5</v>
      </c>
      <c r="CM166" s="228">
        <v>0</v>
      </c>
      <c r="CN166" s="229">
        <v>9.2399999999999996E-2</v>
      </c>
      <c r="CO166" s="228">
        <v>174</v>
      </c>
      <c r="CP166" s="228">
        <v>171</v>
      </c>
      <c r="CQ166" s="228">
        <v>2</v>
      </c>
      <c r="CR166" s="229">
        <v>1.46E-2</v>
      </c>
      <c r="CS166" s="228">
        <v>110</v>
      </c>
      <c r="CT166" s="228">
        <v>112</v>
      </c>
      <c r="CU166" s="228">
        <v>-2</v>
      </c>
      <c r="CV166" s="229">
        <v>-1.38E-2</v>
      </c>
      <c r="CW166" s="228">
        <v>690</v>
      </c>
      <c r="CX166" s="228">
        <v>681</v>
      </c>
      <c r="CY166" s="228">
        <v>9</v>
      </c>
      <c r="CZ166" s="229">
        <v>1.37E-2</v>
      </c>
      <c r="DA166" s="228">
        <v>38.78</v>
      </c>
      <c r="DB166" s="228">
        <v>39.64</v>
      </c>
      <c r="DC166" s="228">
        <v>-0.86</v>
      </c>
      <c r="DD166" s="228">
        <v>-0.86</v>
      </c>
      <c r="DE166" s="228">
        <v>42.78</v>
      </c>
      <c r="DF166" s="228">
        <v>42.89</v>
      </c>
      <c r="DG166" s="228">
        <v>-4</v>
      </c>
      <c r="DH166" s="228">
        <v>-0.11</v>
      </c>
      <c r="DI166" s="228">
        <v>38.369999999999997</v>
      </c>
      <c r="DJ166" s="228">
        <v>38.93</v>
      </c>
      <c r="DK166" s="228">
        <v>-0.56000000000000005</v>
      </c>
      <c r="DL166" s="228">
        <v>-0.56000000000000005</v>
      </c>
      <c r="DM166" s="228">
        <v>40.22</v>
      </c>
      <c r="DN166" s="228">
        <v>41.73</v>
      </c>
      <c r="DO166" s="228">
        <v>-1.51</v>
      </c>
      <c r="DP166" s="228">
        <v>-1.51</v>
      </c>
      <c r="DQ166" s="228">
        <v>0.63</v>
      </c>
      <c r="DR166" s="228">
        <v>0.65</v>
      </c>
      <c r="DS166" s="228">
        <v>-0.02</v>
      </c>
      <c r="DT166" s="229">
        <v>-3.0800000000000001E-2</v>
      </c>
      <c r="DU166" s="228">
        <v>170</v>
      </c>
      <c r="DV166" s="228">
        <v>150</v>
      </c>
      <c r="DW166" s="228">
        <v>0.28000000000000003</v>
      </c>
      <c r="DX166" s="228">
        <v>0.34</v>
      </c>
      <c r="DY166" s="228">
        <v>-0.06</v>
      </c>
      <c r="DZ166" s="229">
        <v>-0.17649999999999999</v>
      </c>
      <c r="EA166" s="229">
        <v>0.1893</v>
      </c>
      <c r="EB166" s="230">
        <v>4242000</v>
      </c>
      <c r="EC166" s="229">
        <v>-7.4000000000000003E-3</v>
      </c>
      <c r="ED166" s="229">
        <v>0.1893</v>
      </c>
      <c r="EE166" s="228">
        <v>-1.44</v>
      </c>
      <c r="EF166" s="229">
        <v>-8.8000000000000005E-3</v>
      </c>
      <c r="EG166" s="230">
        <v>662635</v>
      </c>
      <c r="EH166" s="230">
        <v>3144894</v>
      </c>
      <c r="EI166" s="229">
        <v>-0.7893</v>
      </c>
      <c r="EJ166" s="229">
        <v>0.38490000000000002</v>
      </c>
      <c r="EK166" s="228">
        <v>72.05</v>
      </c>
      <c r="EL166" s="228">
        <v>18.760000000000002</v>
      </c>
      <c r="EM166" s="228">
        <v>73.569999999999993</v>
      </c>
      <c r="EN166" s="228">
        <v>19.84</v>
      </c>
      <c r="EO166" s="228">
        <v>164.38</v>
      </c>
      <c r="EP166" s="228">
        <v>389.4</v>
      </c>
      <c r="EQ166" s="228">
        <v>-225.02</v>
      </c>
      <c r="ER166" s="229">
        <v>-0.57789999999999997</v>
      </c>
      <c r="ES166" s="228">
        <v>179.2</v>
      </c>
      <c r="ET166" s="228">
        <v>104.67</v>
      </c>
      <c r="EU166" s="228">
        <v>405.17</v>
      </c>
      <c r="EV166" s="231">
        <v>107697729</v>
      </c>
      <c r="EW166" s="228">
        <v>689.04</v>
      </c>
      <c r="EX166" s="228">
        <v>677.9</v>
      </c>
      <c r="EY166" s="228">
        <v>11.14</v>
      </c>
      <c r="EZ166" s="229">
        <v>1.6400000000000001E-2</v>
      </c>
      <c r="FA166" s="229">
        <v>0.39090000000000003</v>
      </c>
      <c r="FB166" s="227" t="s">
        <v>555</v>
      </c>
      <c r="FC166">
        <f t="shared" si="3"/>
        <v>0</v>
      </c>
    </row>
    <row r="167" spans="1:159" ht="17.25" thickBot="1" x14ac:dyDescent="0.3">
      <c r="A167" s="226">
        <v>46064</v>
      </c>
      <c r="B167" s="227" t="s">
        <v>184</v>
      </c>
      <c r="C167" s="227" t="s">
        <v>689</v>
      </c>
      <c r="D167" s="228">
        <v>575</v>
      </c>
      <c r="E167" s="228">
        <v>13</v>
      </c>
      <c r="F167" s="228">
        <v>780.3</v>
      </c>
      <c r="G167" s="228">
        <v>825.4</v>
      </c>
      <c r="H167" s="228">
        <v>-45.1</v>
      </c>
      <c r="I167" s="229">
        <v>-5.4600000000000003E-2</v>
      </c>
      <c r="J167" s="228">
        <v>780.65</v>
      </c>
      <c r="K167" s="228">
        <v>823.85</v>
      </c>
      <c r="L167" s="228">
        <v>-43.2</v>
      </c>
      <c r="M167" s="229">
        <v>-5.2400000000000002E-2</v>
      </c>
      <c r="N167" s="228">
        <v>780.3</v>
      </c>
      <c r="O167" s="228">
        <v>825.4</v>
      </c>
      <c r="P167" s="228">
        <v>-45.1</v>
      </c>
      <c r="Q167" s="229">
        <v>-5.4600000000000003E-2</v>
      </c>
      <c r="R167" s="228">
        <v>778.9</v>
      </c>
      <c r="S167" s="228">
        <v>824.75</v>
      </c>
      <c r="T167" s="228">
        <v>-45.85</v>
      </c>
      <c r="U167" s="229">
        <v>-5.5599999999999997E-2</v>
      </c>
      <c r="V167" s="228">
        <v>780.45</v>
      </c>
      <c r="W167" s="228">
        <v>829.65</v>
      </c>
      <c r="X167" s="228">
        <v>-49.2</v>
      </c>
      <c r="Y167" s="229">
        <v>-5.9299999999999999E-2</v>
      </c>
      <c r="Z167" s="228">
        <v>-0.35</v>
      </c>
      <c r="AA167" s="228">
        <v>1.55</v>
      </c>
      <c r="AB167" s="228">
        <v>-1.9</v>
      </c>
      <c r="AC167" s="229">
        <v>-4.0000000000000002E-4</v>
      </c>
      <c r="AD167" s="228">
        <v>-0.35</v>
      </c>
      <c r="AE167" s="228">
        <v>1.55</v>
      </c>
      <c r="AF167" s="228">
        <v>-1.9</v>
      </c>
      <c r="AG167" s="229">
        <v>-4.0000000000000002E-4</v>
      </c>
      <c r="AH167" s="228">
        <v>-1.75</v>
      </c>
      <c r="AI167" s="228">
        <v>0.9</v>
      </c>
      <c r="AJ167" s="228">
        <v>-2.65</v>
      </c>
      <c r="AK167" s="229">
        <v>-2.2000000000000001E-3</v>
      </c>
      <c r="AL167" s="228">
        <v>-0.2</v>
      </c>
      <c r="AM167" s="228">
        <v>5.8</v>
      </c>
      <c r="AN167" s="228">
        <v>-6</v>
      </c>
      <c r="AO167" s="229">
        <v>-2.9999999999999997E-4</v>
      </c>
      <c r="AP167" s="228">
        <v>791.08</v>
      </c>
      <c r="AQ167" s="228">
        <v>788.21</v>
      </c>
      <c r="AR167" s="228">
        <v>0</v>
      </c>
      <c r="AS167" s="228">
        <v>340</v>
      </c>
      <c r="AT167" s="228">
        <v>204</v>
      </c>
      <c r="AU167" s="228">
        <v>136</v>
      </c>
      <c r="AV167" s="229">
        <v>0.66559999999999997</v>
      </c>
      <c r="AW167" s="228">
        <v>308</v>
      </c>
      <c r="AX167" s="228">
        <v>197</v>
      </c>
      <c r="AY167" s="228">
        <v>111</v>
      </c>
      <c r="AZ167" s="229">
        <v>0.5605</v>
      </c>
      <c r="BA167" s="228">
        <v>29</v>
      </c>
      <c r="BB167" s="228">
        <v>6</v>
      </c>
      <c r="BC167" s="228">
        <v>23</v>
      </c>
      <c r="BD167" s="229">
        <v>3.9394</v>
      </c>
      <c r="BE167" s="228">
        <v>3</v>
      </c>
      <c r="BF167" s="228">
        <v>1</v>
      </c>
      <c r="BG167" s="228">
        <v>2</v>
      </c>
      <c r="BH167" s="229">
        <v>2.3332999999999999</v>
      </c>
      <c r="BI167" s="228">
        <v>854</v>
      </c>
      <c r="BJ167" s="228">
        <v>577</v>
      </c>
      <c r="BK167" s="228">
        <v>276</v>
      </c>
      <c r="BL167" s="229">
        <v>0.47899999999999998</v>
      </c>
      <c r="BM167" s="228">
        <v>500</v>
      </c>
      <c r="BN167" s="228">
        <v>143</v>
      </c>
      <c r="BO167" s="228">
        <v>357</v>
      </c>
      <c r="BP167" s="229">
        <v>2.4983</v>
      </c>
      <c r="BQ167" s="230">
        <v>1693</v>
      </c>
      <c r="BR167" s="228">
        <v>924</v>
      </c>
      <c r="BS167" s="228">
        <v>769</v>
      </c>
      <c r="BT167" s="229">
        <v>0.8327</v>
      </c>
      <c r="BU167" s="230">
        <v>3876337</v>
      </c>
      <c r="BV167" s="230">
        <v>1277319</v>
      </c>
      <c r="BW167" s="230">
        <v>2599018</v>
      </c>
      <c r="BX167" s="229">
        <v>2.0347</v>
      </c>
      <c r="BY167" s="228">
        <v>495</v>
      </c>
      <c r="BZ167" s="228">
        <v>481</v>
      </c>
      <c r="CA167" s="228">
        <v>14</v>
      </c>
      <c r="CB167" s="229">
        <v>2.9100000000000001E-2</v>
      </c>
      <c r="CC167" s="228">
        <v>470</v>
      </c>
      <c r="CD167" s="228">
        <v>465</v>
      </c>
      <c r="CE167" s="228">
        <v>5</v>
      </c>
      <c r="CF167" s="229">
        <v>1.1299999999999999E-2</v>
      </c>
      <c r="CG167" s="228">
        <v>22</v>
      </c>
      <c r="CH167" s="228">
        <v>14</v>
      </c>
      <c r="CI167" s="228">
        <v>8</v>
      </c>
      <c r="CJ167" s="229">
        <v>0.53920000000000001</v>
      </c>
      <c r="CK167" s="228">
        <v>3</v>
      </c>
      <c r="CL167" s="228">
        <v>2</v>
      </c>
      <c r="CM167" s="228">
        <v>1</v>
      </c>
      <c r="CN167" s="229">
        <v>0.434</v>
      </c>
      <c r="CO167" s="228">
        <v>300</v>
      </c>
      <c r="CP167" s="228">
        <v>259</v>
      </c>
      <c r="CQ167" s="228">
        <v>41</v>
      </c>
      <c r="CR167" s="229">
        <v>0.15759999999999999</v>
      </c>
      <c r="CS167" s="228">
        <v>137</v>
      </c>
      <c r="CT167" s="228">
        <v>123</v>
      </c>
      <c r="CU167" s="228">
        <v>14</v>
      </c>
      <c r="CV167" s="229">
        <v>0.11700000000000001</v>
      </c>
      <c r="CW167" s="228">
        <v>932</v>
      </c>
      <c r="CX167" s="228">
        <v>863</v>
      </c>
      <c r="CY167" s="228">
        <v>69</v>
      </c>
      <c r="CZ167" s="229">
        <v>8.0100000000000005E-2</v>
      </c>
      <c r="DA167" s="228">
        <v>53.81</v>
      </c>
      <c r="DB167" s="228">
        <v>52</v>
      </c>
      <c r="DC167" s="228">
        <v>1.81</v>
      </c>
      <c r="DD167" s="228">
        <v>1.81</v>
      </c>
      <c r="DE167" s="228">
        <v>48.8</v>
      </c>
      <c r="DF167" s="228">
        <v>48.32</v>
      </c>
      <c r="DG167" s="228">
        <v>5.01</v>
      </c>
      <c r="DH167" s="228">
        <v>0.48</v>
      </c>
      <c r="DI167" s="228">
        <v>54.22</v>
      </c>
      <c r="DJ167" s="228">
        <v>52.49</v>
      </c>
      <c r="DK167" s="228">
        <v>1.73</v>
      </c>
      <c r="DL167" s="228">
        <v>1.73</v>
      </c>
      <c r="DM167" s="228">
        <v>53.1</v>
      </c>
      <c r="DN167" s="228">
        <v>50.03</v>
      </c>
      <c r="DO167" s="228">
        <v>3.07</v>
      </c>
      <c r="DP167" s="228">
        <v>3.07</v>
      </c>
      <c r="DQ167" s="228">
        <v>0.46</v>
      </c>
      <c r="DR167" s="228">
        <v>0.47</v>
      </c>
      <c r="DS167" s="228">
        <v>-0.01</v>
      </c>
      <c r="DT167" s="229">
        <v>-2.1299999999999999E-2</v>
      </c>
      <c r="DU167" s="228">
        <v>800</v>
      </c>
      <c r="DV167" s="228">
        <v>720</v>
      </c>
      <c r="DW167" s="228">
        <v>0.59</v>
      </c>
      <c r="DX167" s="228">
        <v>0.25</v>
      </c>
      <c r="DY167" s="228">
        <v>0.34</v>
      </c>
      <c r="DZ167" s="229">
        <v>1.36</v>
      </c>
      <c r="EA167" s="229">
        <v>5.1400000000000001E-2</v>
      </c>
      <c r="EB167" s="230">
        <v>213900</v>
      </c>
      <c r="EC167" s="229">
        <v>-1.8E-3</v>
      </c>
      <c r="ED167" s="229">
        <v>5.1400000000000001E-2</v>
      </c>
      <c r="EE167" s="228">
        <v>-2.87</v>
      </c>
      <c r="EF167" s="229">
        <v>-3.5999999999999999E-3</v>
      </c>
      <c r="EG167" s="230">
        <v>1182956</v>
      </c>
      <c r="EH167" s="230">
        <v>297214</v>
      </c>
      <c r="EI167" s="229">
        <v>2.9801000000000002</v>
      </c>
      <c r="EJ167" s="229">
        <v>0.30520000000000003</v>
      </c>
      <c r="EK167" s="228">
        <v>938.1</v>
      </c>
      <c r="EL167" s="228">
        <v>507.72</v>
      </c>
      <c r="EM167" s="228">
        <v>344.31</v>
      </c>
      <c r="EN167" s="228">
        <v>36.57</v>
      </c>
      <c r="EO167" s="231">
        <v>1790.13</v>
      </c>
      <c r="EP167" s="231">
        <v>1011.77</v>
      </c>
      <c r="EQ167" s="228">
        <v>778.36</v>
      </c>
      <c r="ER167" s="229">
        <v>0.76929999999999998</v>
      </c>
      <c r="ES167" s="228">
        <v>316.12</v>
      </c>
      <c r="ET167" s="228">
        <v>130.62</v>
      </c>
      <c r="EU167" s="228">
        <v>495.16</v>
      </c>
      <c r="EV167" s="231">
        <v>23923093</v>
      </c>
      <c r="EW167" s="228">
        <v>941.9</v>
      </c>
      <c r="EX167" s="228">
        <v>901.7</v>
      </c>
      <c r="EY167" s="228">
        <v>40.200000000000003</v>
      </c>
      <c r="EZ167" s="229">
        <v>4.4600000000000001E-2</v>
      </c>
      <c r="FA167" s="229">
        <v>0.49919999999999998</v>
      </c>
      <c r="FB167" s="227" t="s">
        <v>567</v>
      </c>
      <c r="FC167">
        <f t="shared" si="3"/>
        <v>0</v>
      </c>
    </row>
    <row r="168" spans="1:159" ht="17.25" thickBot="1" x14ac:dyDescent="0.3">
      <c r="A168" s="226">
        <v>46064</v>
      </c>
      <c r="B168" s="227" t="s">
        <v>206</v>
      </c>
      <c r="C168" s="227" t="s">
        <v>605</v>
      </c>
      <c r="D168" s="228">
        <v>450</v>
      </c>
      <c r="E168" s="228">
        <v>13</v>
      </c>
      <c r="F168" s="231">
        <v>1598.1</v>
      </c>
      <c r="G168" s="231">
        <v>1591.9</v>
      </c>
      <c r="H168" s="228">
        <v>6.2</v>
      </c>
      <c r="I168" s="229">
        <v>3.8999999999999998E-3</v>
      </c>
      <c r="J168" s="231">
        <v>1597.5</v>
      </c>
      <c r="K168" s="231">
        <v>1591.7</v>
      </c>
      <c r="L168" s="228">
        <v>5.8</v>
      </c>
      <c r="M168" s="229">
        <v>3.5999999999999999E-3</v>
      </c>
      <c r="N168" s="231">
        <v>1598.1</v>
      </c>
      <c r="O168" s="231">
        <v>1591.9</v>
      </c>
      <c r="P168" s="228">
        <v>6.2</v>
      </c>
      <c r="Q168" s="229">
        <v>3.8999999999999998E-3</v>
      </c>
      <c r="R168" s="231">
        <v>1605.8</v>
      </c>
      <c r="S168" s="231">
        <v>1599.3</v>
      </c>
      <c r="T168" s="228">
        <v>6.5</v>
      </c>
      <c r="U168" s="229">
        <v>4.1000000000000003E-3</v>
      </c>
      <c r="V168" s="231">
        <v>1607.8</v>
      </c>
      <c r="W168" s="231">
        <v>1599</v>
      </c>
      <c r="X168" s="228">
        <v>8.8000000000000007</v>
      </c>
      <c r="Y168" s="229">
        <v>5.4999999999999997E-3</v>
      </c>
      <c r="Z168" s="228">
        <v>0.6</v>
      </c>
      <c r="AA168" s="228">
        <v>0.2</v>
      </c>
      <c r="AB168" s="228">
        <v>0.4</v>
      </c>
      <c r="AC168" s="229">
        <v>4.0000000000000002E-4</v>
      </c>
      <c r="AD168" s="228">
        <v>0.6</v>
      </c>
      <c r="AE168" s="228">
        <v>0.2</v>
      </c>
      <c r="AF168" s="228">
        <v>0.4</v>
      </c>
      <c r="AG168" s="229">
        <v>4.0000000000000002E-4</v>
      </c>
      <c r="AH168" s="228">
        <v>8.3000000000000007</v>
      </c>
      <c r="AI168" s="228">
        <v>7.6</v>
      </c>
      <c r="AJ168" s="228">
        <v>0.7</v>
      </c>
      <c r="AK168" s="229">
        <v>5.1999999999999998E-3</v>
      </c>
      <c r="AL168" s="228">
        <v>10.3</v>
      </c>
      <c r="AM168" s="228">
        <v>7.3</v>
      </c>
      <c r="AN168" s="228">
        <v>3</v>
      </c>
      <c r="AO168" s="229">
        <v>6.4000000000000003E-3</v>
      </c>
      <c r="AP168" s="231">
        <v>1593.11</v>
      </c>
      <c r="AQ168" s="231">
        <v>1598.32</v>
      </c>
      <c r="AR168" s="228">
        <v>0</v>
      </c>
      <c r="AS168" s="228">
        <v>122</v>
      </c>
      <c r="AT168" s="228">
        <v>66</v>
      </c>
      <c r="AU168" s="228">
        <v>55</v>
      </c>
      <c r="AV168" s="229">
        <v>0.83120000000000005</v>
      </c>
      <c r="AW168" s="228">
        <v>118</v>
      </c>
      <c r="AX168" s="228">
        <v>63</v>
      </c>
      <c r="AY168" s="228">
        <v>55</v>
      </c>
      <c r="AZ168" s="229">
        <v>0.86760000000000004</v>
      </c>
      <c r="BA168" s="228">
        <v>4</v>
      </c>
      <c r="BB168" s="228">
        <v>3</v>
      </c>
      <c r="BC168" s="228">
        <v>0</v>
      </c>
      <c r="BD168" s="229">
        <v>0.12770000000000001</v>
      </c>
      <c r="BE168" s="228">
        <v>0</v>
      </c>
      <c r="BF168" s="228">
        <v>0</v>
      </c>
      <c r="BG168" s="228">
        <v>0</v>
      </c>
      <c r="BH168" s="229">
        <v>2</v>
      </c>
      <c r="BI168" s="228">
        <v>227</v>
      </c>
      <c r="BJ168" s="228">
        <v>184</v>
      </c>
      <c r="BK168" s="228">
        <v>44</v>
      </c>
      <c r="BL168" s="229">
        <v>0.23649999999999999</v>
      </c>
      <c r="BM168" s="228">
        <v>59</v>
      </c>
      <c r="BN168" s="228">
        <v>62</v>
      </c>
      <c r="BO168" s="228">
        <v>-3</v>
      </c>
      <c r="BP168" s="229">
        <v>-5.4300000000000001E-2</v>
      </c>
      <c r="BQ168" s="228">
        <v>408</v>
      </c>
      <c r="BR168" s="228">
        <v>313</v>
      </c>
      <c r="BS168" s="228">
        <v>95</v>
      </c>
      <c r="BT168" s="229">
        <v>0.30499999999999999</v>
      </c>
      <c r="BU168" s="230">
        <v>371320</v>
      </c>
      <c r="BV168" s="230">
        <v>284602</v>
      </c>
      <c r="BW168" s="230">
        <v>86718</v>
      </c>
      <c r="BX168" s="229">
        <v>0.30470000000000003</v>
      </c>
      <c r="BY168" s="228">
        <v>621</v>
      </c>
      <c r="BZ168" s="228">
        <v>601</v>
      </c>
      <c r="CA168" s="228">
        <v>20</v>
      </c>
      <c r="CB168" s="229">
        <v>3.3000000000000002E-2</v>
      </c>
      <c r="CC168" s="228">
        <v>608</v>
      </c>
      <c r="CD168" s="228">
        <v>588</v>
      </c>
      <c r="CE168" s="228">
        <v>19</v>
      </c>
      <c r="CF168" s="229">
        <v>3.2599999999999997E-2</v>
      </c>
      <c r="CG168" s="228">
        <v>13</v>
      </c>
      <c r="CH168" s="228">
        <v>13</v>
      </c>
      <c r="CI168" s="228">
        <v>1</v>
      </c>
      <c r="CJ168" s="229">
        <v>4.5499999999999999E-2</v>
      </c>
      <c r="CK168" s="228">
        <v>0</v>
      </c>
      <c r="CL168" s="228">
        <v>0</v>
      </c>
      <c r="CM168" s="228">
        <v>0</v>
      </c>
      <c r="CN168" s="229">
        <v>0.25</v>
      </c>
      <c r="CO168" s="228">
        <v>283</v>
      </c>
      <c r="CP168" s="228">
        <v>276</v>
      </c>
      <c r="CQ168" s="228">
        <v>8</v>
      </c>
      <c r="CR168" s="229">
        <v>2.7900000000000001E-2</v>
      </c>
      <c r="CS168" s="228">
        <v>216</v>
      </c>
      <c r="CT168" s="228">
        <v>212</v>
      </c>
      <c r="CU168" s="228">
        <v>3</v>
      </c>
      <c r="CV168" s="229">
        <v>1.5599999999999999E-2</v>
      </c>
      <c r="CW168" s="230">
        <v>1120</v>
      </c>
      <c r="CX168" s="230">
        <v>1089</v>
      </c>
      <c r="CY168" s="228">
        <v>31</v>
      </c>
      <c r="CZ168" s="229">
        <v>2.8299999999999999E-2</v>
      </c>
      <c r="DA168" s="228">
        <v>31.45</v>
      </c>
      <c r="DB168" s="228">
        <v>33.75</v>
      </c>
      <c r="DC168" s="228">
        <v>-2.2999999999999998</v>
      </c>
      <c r="DD168" s="228">
        <v>-2.2999999999999998</v>
      </c>
      <c r="DE168" s="228">
        <v>43.38</v>
      </c>
      <c r="DF168" s="228">
        <v>43.49</v>
      </c>
      <c r="DG168" s="228">
        <v>-11.93</v>
      </c>
      <c r="DH168" s="228">
        <v>-0.11</v>
      </c>
      <c r="DI168" s="228">
        <v>30.85</v>
      </c>
      <c r="DJ168" s="228">
        <v>32.33</v>
      </c>
      <c r="DK168" s="228">
        <v>-1.48</v>
      </c>
      <c r="DL168" s="228">
        <v>-1.48</v>
      </c>
      <c r="DM168" s="228">
        <v>33.729999999999997</v>
      </c>
      <c r="DN168" s="228">
        <v>37.93</v>
      </c>
      <c r="DO168" s="228">
        <v>-4.2</v>
      </c>
      <c r="DP168" s="228">
        <v>-4.2</v>
      </c>
      <c r="DQ168" s="228">
        <v>0.76</v>
      </c>
      <c r="DR168" s="228">
        <v>0.77</v>
      </c>
      <c r="DS168" s="228">
        <v>-0.01</v>
      </c>
      <c r="DT168" s="229">
        <v>-1.2999999999999999E-2</v>
      </c>
      <c r="DU168" s="231">
        <v>1600</v>
      </c>
      <c r="DV168" s="231">
        <v>1500</v>
      </c>
      <c r="DW168" s="228">
        <v>0.26</v>
      </c>
      <c r="DX168" s="228">
        <v>0.34</v>
      </c>
      <c r="DY168" s="228">
        <v>-0.08</v>
      </c>
      <c r="DZ168" s="229">
        <v>-0.23530000000000001</v>
      </c>
      <c r="EA168" s="229">
        <v>2.1899999999999999E-2</v>
      </c>
      <c r="EB168" s="230">
        <v>81000</v>
      </c>
      <c r="EC168" s="229">
        <v>4.7999999999999996E-3</v>
      </c>
      <c r="ED168" s="229">
        <v>2.1899999999999999E-2</v>
      </c>
      <c r="EE168" s="228">
        <v>5.21</v>
      </c>
      <c r="EF168" s="229">
        <v>3.3E-3</v>
      </c>
      <c r="EG168" s="230">
        <v>230435</v>
      </c>
      <c r="EH168" s="230">
        <v>155394</v>
      </c>
      <c r="EI168" s="229">
        <v>0.4829</v>
      </c>
      <c r="EJ168" s="229">
        <v>0.62060000000000004</v>
      </c>
      <c r="EK168" s="228">
        <v>234.66</v>
      </c>
      <c r="EL168" s="228">
        <v>56.61</v>
      </c>
      <c r="EM168" s="228">
        <v>121.31</v>
      </c>
      <c r="EN168" s="228">
        <v>17.05</v>
      </c>
      <c r="EO168" s="228">
        <v>412.58</v>
      </c>
      <c r="EP168" s="228">
        <v>314.13</v>
      </c>
      <c r="EQ168" s="228">
        <v>98.45</v>
      </c>
      <c r="ER168" s="229">
        <v>0.31340000000000001</v>
      </c>
      <c r="ES168" s="228">
        <v>289.16000000000003</v>
      </c>
      <c r="ET168" s="228">
        <v>196.6</v>
      </c>
      <c r="EU168" s="228">
        <v>621.26</v>
      </c>
      <c r="EV168" s="231">
        <v>22697169</v>
      </c>
      <c r="EW168" s="231">
        <v>1107.02</v>
      </c>
      <c r="EX168" s="231">
        <v>1073.56</v>
      </c>
      <c r="EY168" s="228">
        <v>33.46</v>
      </c>
      <c r="EZ168" s="229">
        <v>3.1199999999999999E-2</v>
      </c>
      <c r="FA168" s="229">
        <v>0.30880000000000002</v>
      </c>
      <c r="FB168" s="227" t="s">
        <v>555</v>
      </c>
      <c r="FC168">
        <f t="shared" si="3"/>
        <v>0</v>
      </c>
    </row>
    <row r="169" spans="1:159" ht="17.25" thickBot="1" x14ac:dyDescent="0.3">
      <c r="A169" s="226">
        <v>46064</v>
      </c>
      <c r="B169" s="227" t="s">
        <v>172</v>
      </c>
      <c r="C169" s="227" t="s">
        <v>279</v>
      </c>
      <c r="D169" s="228">
        <v>3175</v>
      </c>
      <c r="E169" s="228">
        <v>13</v>
      </c>
      <c r="F169" s="228">
        <v>308.89999999999998</v>
      </c>
      <c r="G169" s="228">
        <v>306.8</v>
      </c>
      <c r="H169" s="228">
        <v>2.1</v>
      </c>
      <c r="I169" s="229">
        <v>6.7999999999999996E-3</v>
      </c>
      <c r="J169" s="228">
        <v>308.8</v>
      </c>
      <c r="K169" s="228">
        <v>306.7</v>
      </c>
      <c r="L169" s="228">
        <v>2.1</v>
      </c>
      <c r="M169" s="229">
        <v>6.7999999999999996E-3</v>
      </c>
      <c r="N169" s="228">
        <v>308.89999999999998</v>
      </c>
      <c r="O169" s="228">
        <v>306.8</v>
      </c>
      <c r="P169" s="228">
        <v>2.1</v>
      </c>
      <c r="Q169" s="229">
        <v>6.7999999999999996E-3</v>
      </c>
      <c r="R169" s="228">
        <v>311.39999999999998</v>
      </c>
      <c r="S169" s="228">
        <v>309.14999999999998</v>
      </c>
      <c r="T169" s="228">
        <v>2.25</v>
      </c>
      <c r="U169" s="229">
        <v>7.3000000000000001E-3</v>
      </c>
      <c r="V169" s="228">
        <v>312</v>
      </c>
      <c r="W169" s="228">
        <v>312</v>
      </c>
      <c r="X169" s="228">
        <v>0</v>
      </c>
      <c r="Y169" s="229">
        <v>0</v>
      </c>
      <c r="Z169" s="228">
        <v>0.1</v>
      </c>
      <c r="AA169" s="228">
        <v>0.1</v>
      </c>
      <c r="AB169" s="228">
        <v>0</v>
      </c>
      <c r="AC169" s="229">
        <v>2.9999999999999997E-4</v>
      </c>
      <c r="AD169" s="228">
        <v>0.1</v>
      </c>
      <c r="AE169" s="228">
        <v>0.1</v>
      </c>
      <c r="AF169" s="228">
        <v>0</v>
      </c>
      <c r="AG169" s="229">
        <v>2.9999999999999997E-4</v>
      </c>
      <c r="AH169" s="228">
        <v>2.6</v>
      </c>
      <c r="AI169" s="228">
        <v>2.4500000000000002</v>
      </c>
      <c r="AJ169" s="228">
        <v>0.15</v>
      </c>
      <c r="AK169" s="229">
        <v>8.3999999999999995E-3</v>
      </c>
      <c r="AL169" s="228">
        <v>3.2</v>
      </c>
      <c r="AM169" s="228">
        <v>5.3</v>
      </c>
      <c r="AN169" s="228">
        <v>-2.1</v>
      </c>
      <c r="AO169" s="229">
        <v>1.04E-2</v>
      </c>
      <c r="AP169" s="228">
        <v>307.76</v>
      </c>
      <c r="AQ169" s="228">
        <v>309.02</v>
      </c>
      <c r="AR169" s="228">
        <v>0</v>
      </c>
      <c r="AS169" s="228">
        <v>239</v>
      </c>
      <c r="AT169" s="228">
        <v>241</v>
      </c>
      <c r="AU169" s="228">
        <v>-2</v>
      </c>
      <c r="AV169" s="229">
        <v>-9.2999999999999992E-3</v>
      </c>
      <c r="AW169" s="228">
        <v>220</v>
      </c>
      <c r="AX169" s="228">
        <v>227</v>
      </c>
      <c r="AY169" s="228">
        <v>-7</v>
      </c>
      <c r="AZ169" s="229">
        <v>-2.98E-2</v>
      </c>
      <c r="BA169" s="228">
        <v>19</v>
      </c>
      <c r="BB169" s="228">
        <v>13</v>
      </c>
      <c r="BC169" s="228">
        <v>5</v>
      </c>
      <c r="BD169" s="229">
        <v>0.40739999999999998</v>
      </c>
      <c r="BE169" s="228">
        <v>0</v>
      </c>
      <c r="BF169" s="228">
        <v>1</v>
      </c>
      <c r="BG169" s="228">
        <v>-1</v>
      </c>
      <c r="BH169" s="229">
        <v>-0.75</v>
      </c>
      <c r="BI169" s="228">
        <v>441</v>
      </c>
      <c r="BJ169" s="228">
        <v>371</v>
      </c>
      <c r="BK169" s="228">
        <v>70</v>
      </c>
      <c r="BL169" s="229">
        <v>0.1888</v>
      </c>
      <c r="BM169" s="228">
        <v>161</v>
      </c>
      <c r="BN169" s="228">
        <v>128</v>
      </c>
      <c r="BO169" s="228">
        <v>33</v>
      </c>
      <c r="BP169" s="229">
        <v>0.25669999999999998</v>
      </c>
      <c r="BQ169" s="228">
        <v>841</v>
      </c>
      <c r="BR169" s="228">
        <v>741</v>
      </c>
      <c r="BS169" s="228">
        <v>101</v>
      </c>
      <c r="BT169" s="229">
        <v>0.13600000000000001</v>
      </c>
      <c r="BU169" s="230">
        <v>2243580</v>
      </c>
      <c r="BV169" s="230">
        <v>2070463</v>
      </c>
      <c r="BW169" s="230">
        <v>173117</v>
      </c>
      <c r="BX169" s="229">
        <v>8.3599999999999994E-2</v>
      </c>
      <c r="BY169" s="230">
        <v>2307</v>
      </c>
      <c r="BZ169" s="230">
        <v>2299</v>
      </c>
      <c r="CA169" s="228">
        <v>8</v>
      </c>
      <c r="CB169" s="229">
        <v>3.3999999999999998E-3</v>
      </c>
      <c r="CC169" s="230">
        <v>2258</v>
      </c>
      <c r="CD169" s="230">
        <v>2260</v>
      </c>
      <c r="CE169" s="228">
        <v>-2</v>
      </c>
      <c r="CF169" s="229">
        <v>-6.9999999999999999E-4</v>
      </c>
      <c r="CG169" s="228">
        <v>44</v>
      </c>
      <c r="CH169" s="228">
        <v>35</v>
      </c>
      <c r="CI169" s="228">
        <v>9</v>
      </c>
      <c r="CJ169" s="229">
        <v>0.26910000000000001</v>
      </c>
      <c r="CK169" s="228">
        <v>5</v>
      </c>
      <c r="CL169" s="228">
        <v>4</v>
      </c>
      <c r="CM169" s="228">
        <v>0</v>
      </c>
      <c r="CN169" s="229">
        <v>2.2200000000000001E-2</v>
      </c>
      <c r="CO169" s="228">
        <v>854</v>
      </c>
      <c r="CP169" s="228">
        <v>872</v>
      </c>
      <c r="CQ169" s="228">
        <v>-17</v>
      </c>
      <c r="CR169" s="229">
        <v>-1.9800000000000002E-2</v>
      </c>
      <c r="CS169" s="228">
        <v>580</v>
      </c>
      <c r="CT169" s="228">
        <v>586</v>
      </c>
      <c r="CU169" s="228">
        <v>-6</v>
      </c>
      <c r="CV169" s="229">
        <v>-0.01</v>
      </c>
      <c r="CW169" s="230">
        <v>3741</v>
      </c>
      <c r="CX169" s="230">
        <v>3757</v>
      </c>
      <c r="CY169" s="228">
        <v>-15</v>
      </c>
      <c r="CZ169" s="229">
        <v>-4.1000000000000003E-3</v>
      </c>
      <c r="DA169" s="228">
        <v>27.56</v>
      </c>
      <c r="DB169" s="228">
        <v>28.14</v>
      </c>
      <c r="DC169" s="228">
        <v>-0.57999999999999996</v>
      </c>
      <c r="DD169" s="228">
        <v>-0.57999999999999996</v>
      </c>
      <c r="DE169" s="228">
        <v>43.47</v>
      </c>
      <c r="DF169" s="228">
        <v>43.57</v>
      </c>
      <c r="DG169" s="228">
        <v>-15.91</v>
      </c>
      <c r="DH169" s="228">
        <v>-0.1</v>
      </c>
      <c r="DI169" s="228">
        <v>27.45</v>
      </c>
      <c r="DJ169" s="228">
        <v>28.3</v>
      </c>
      <c r="DK169" s="228">
        <v>-0.85</v>
      </c>
      <c r="DL169" s="228">
        <v>-0.85</v>
      </c>
      <c r="DM169" s="228">
        <v>27.89</v>
      </c>
      <c r="DN169" s="228">
        <v>27.68</v>
      </c>
      <c r="DO169" s="228">
        <v>0.21</v>
      </c>
      <c r="DP169" s="228">
        <v>0.21</v>
      </c>
      <c r="DQ169" s="228">
        <v>0.68</v>
      </c>
      <c r="DR169" s="228">
        <v>0.67</v>
      </c>
      <c r="DS169" s="228">
        <v>0.01</v>
      </c>
      <c r="DT169" s="229">
        <v>1.49E-2</v>
      </c>
      <c r="DU169" s="228">
        <v>300</v>
      </c>
      <c r="DV169" s="228">
        <v>280</v>
      </c>
      <c r="DW169" s="228">
        <v>0.37</v>
      </c>
      <c r="DX169" s="228">
        <v>0.35</v>
      </c>
      <c r="DY169" s="228">
        <v>0.02</v>
      </c>
      <c r="DZ169" s="229">
        <v>5.7099999999999998E-2</v>
      </c>
      <c r="EA169" s="229">
        <v>2.1000000000000001E-2</v>
      </c>
      <c r="EB169" s="230">
        <v>1263650</v>
      </c>
      <c r="EC169" s="229">
        <v>8.0999999999999996E-3</v>
      </c>
      <c r="ED169" s="229">
        <v>2.1000000000000001E-2</v>
      </c>
      <c r="EE169" s="228">
        <v>1.26</v>
      </c>
      <c r="EF169" s="229">
        <v>4.1000000000000003E-3</v>
      </c>
      <c r="EG169" s="230">
        <v>881938</v>
      </c>
      <c r="EH169" s="230">
        <v>787470</v>
      </c>
      <c r="EI169" s="229">
        <v>0.12</v>
      </c>
      <c r="EJ169" s="229">
        <v>0.3931</v>
      </c>
      <c r="EK169" s="228">
        <v>456.24</v>
      </c>
      <c r="EL169" s="228">
        <v>157.41999999999999</v>
      </c>
      <c r="EM169" s="228">
        <v>238.21</v>
      </c>
      <c r="EN169" s="228">
        <v>22.17</v>
      </c>
      <c r="EO169" s="228">
        <v>851.87</v>
      </c>
      <c r="EP169" s="228">
        <v>751.23</v>
      </c>
      <c r="EQ169" s="228">
        <v>100.64</v>
      </c>
      <c r="ER169" s="229">
        <v>0.13400000000000001</v>
      </c>
      <c r="ES169" s="228">
        <v>861.89</v>
      </c>
      <c r="ET169" s="228">
        <v>547.55999999999995</v>
      </c>
      <c r="EU169" s="231">
        <v>2307.14</v>
      </c>
      <c r="EV169" s="231">
        <v>91953095</v>
      </c>
      <c r="EW169" s="231">
        <v>3716.59</v>
      </c>
      <c r="EX169" s="231">
        <v>3717.32</v>
      </c>
      <c r="EY169" s="228">
        <v>-0.73</v>
      </c>
      <c r="EZ169" s="229">
        <v>-2.0000000000000001E-4</v>
      </c>
      <c r="FA169" s="229">
        <v>1.3171999999999999</v>
      </c>
      <c r="FB169" s="227" t="s">
        <v>555</v>
      </c>
      <c r="FC169">
        <f t="shared" si="3"/>
        <v>0</v>
      </c>
    </row>
    <row r="170" spans="1:159" ht="17.25" thickBot="1" x14ac:dyDescent="0.3">
      <c r="A170" s="226">
        <v>46064</v>
      </c>
      <c r="B170" s="227" t="s">
        <v>175</v>
      </c>
      <c r="C170" s="227" t="s">
        <v>280</v>
      </c>
      <c r="D170" s="228">
        <v>1400</v>
      </c>
      <c r="E170" s="228">
        <v>13</v>
      </c>
      <c r="F170" s="228">
        <v>355.3</v>
      </c>
      <c r="G170" s="228">
        <v>356.3</v>
      </c>
      <c r="H170" s="228">
        <v>-1</v>
      </c>
      <c r="I170" s="229">
        <v>-2.8E-3</v>
      </c>
      <c r="J170" s="228">
        <v>353.95</v>
      </c>
      <c r="K170" s="228">
        <v>355.8</v>
      </c>
      <c r="L170" s="228">
        <v>-1.85</v>
      </c>
      <c r="M170" s="229">
        <v>-5.1999999999999998E-3</v>
      </c>
      <c r="N170" s="228">
        <v>355.3</v>
      </c>
      <c r="O170" s="228">
        <v>356.3</v>
      </c>
      <c r="P170" s="228">
        <v>-1</v>
      </c>
      <c r="Q170" s="229">
        <v>-2.8E-3</v>
      </c>
      <c r="R170" s="228">
        <v>356.4</v>
      </c>
      <c r="S170" s="228">
        <v>357.4</v>
      </c>
      <c r="T170" s="228">
        <v>-1</v>
      </c>
      <c r="U170" s="229">
        <v>-2.8E-3</v>
      </c>
      <c r="V170" s="228">
        <v>359</v>
      </c>
      <c r="W170" s="228">
        <v>360.05</v>
      </c>
      <c r="X170" s="228">
        <v>-1.05</v>
      </c>
      <c r="Y170" s="229">
        <v>-2.8999999999999998E-3</v>
      </c>
      <c r="Z170" s="228">
        <v>1.35</v>
      </c>
      <c r="AA170" s="228">
        <v>0.5</v>
      </c>
      <c r="AB170" s="228">
        <v>0.85</v>
      </c>
      <c r="AC170" s="229">
        <v>3.8E-3</v>
      </c>
      <c r="AD170" s="228">
        <v>1.35</v>
      </c>
      <c r="AE170" s="228">
        <v>0.5</v>
      </c>
      <c r="AF170" s="228">
        <v>0.85</v>
      </c>
      <c r="AG170" s="229">
        <v>3.8E-3</v>
      </c>
      <c r="AH170" s="228">
        <v>2.4500000000000002</v>
      </c>
      <c r="AI170" s="228">
        <v>1.6</v>
      </c>
      <c r="AJ170" s="228">
        <v>0.85</v>
      </c>
      <c r="AK170" s="229">
        <v>6.8999999999999999E-3</v>
      </c>
      <c r="AL170" s="228">
        <v>5.05</v>
      </c>
      <c r="AM170" s="228">
        <v>4.25</v>
      </c>
      <c r="AN170" s="228">
        <v>0.8</v>
      </c>
      <c r="AO170" s="229">
        <v>1.43E-2</v>
      </c>
      <c r="AP170" s="228">
        <v>355.74</v>
      </c>
      <c r="AQ170" s="228">
        <v>357.03</v>
      </c>
      <c r="AR170" s="228">
        <v>0</v>
      </c>
      <c r="AS170" s="228">
        <v>435</v>
      </c>
      <c r="AT170" s="228">
        <v>432</v>
      </c>
      <c r="AU170" s="228">
        <v>3</v>
      </c>
      <c r="AV170" s="229">
        <v>7.3000000000000001E-3</v>
      </c>
      <c r="AW170" s="228">
        <v>370</v>
      </c>
      <c r="AX170" s="228">
        <v>331</v>
      </c>
      <c r="AY170" s="228">
        <v>39</v>
      </c>
      <c r="AZ170" s="229">
        <v>0.1192</v>
      </c>
      <c r="BA170" s="228">
        <v>58</v>
      </c>
      <c r="BB170" s="228">
        <v>90</v>
      </c>
      <c r="BC170" s="228">
        <v>-32</v>
      </c>
      <c r="BD170" s="229">
        <v>-0.3533</v>
      </c>
      <c r="BE170" s="228">
        <v>7</v>
      </c>
      <c r="BF170" s="228">
        <v>11</v>
      </c>
      <c r="BG170" s="228">
        <v>-5</v>
      </c>
      <c r="BH170" s="229">
        <v>-0.40689999999999998</v>
      </c>
      <c r="BI170" s="230">
        <v>1351</v>
      </c>
      <c r="BJ170" s="230">
        <v>1511</v>
      </c>
      <c r="BK170" s="228">
        <v>-160</v>
      </c>
      <c r="BL170" s="229">
        <v>-0.1061</v>
      </c>
      <c r="BM170" s="228">
        <v>425</v>
      </c>
      <c r="BN170" s="228">
        <v>499</v>
      </c>
      <c r="BO170" s="228">
        <v>-73</v>
      </c>
      <c r="BP170" s="229">
        <v>-0.14680000000000001</v>
      </c>
      <c r="BQ170" s="230">
        <v>2211</v>
      </c>
      <c r="BR170" s="230">
        <v>2441</v>
      </c>
      <c r="BS170" s="228">
        <v>-230</v>
      </c>
      <c r="BT170" s="229">
        <v>-9.4299999999999995E-2</v>
      </c>
      <c r="BU170" s="230">
        <v>9342755</v>
      </c>
      <c r="BV170" s="230">
        <v>10165748</v>
      </c>
      <c r="BW170" s="230">
        <v>-822993</v>
      </c>
      <c r="BX170" s="229">
        <v>-8.1000000000000003E-2</v>
      </c>
      <c r="BY170" s="230">
        <v>3309</v>
      </c>
      <c r="BZ170" s="230">
        <v>3287</v>
      </c>
      <c r="CA170" s="228">
        <v>22</v>
      </c>
      <c r="CB170" s="229">
        <v>6.7000000000000002E-3</v>
      </c>
      <c r="CC170" s="230">
        <v>2945</v>
      </c>
      <c r="CD170" s="230">
        <v>2948</v>
      </c>
      <c r="CE170" s="228">
        <v>-3</v>
      </c>
      <c r="CF170" s="229">
        <v>-1E-3</v>
      </c>
      <c r="CG170" s="228">
        <v>328</v>
      </c>
      <c r="CH170" s="228">
        <v>305</v>
      </c>
      <c r="CI170" s="228">
        <v>23</v>
      </c>
      <c r="CJ170" s="229">
        <v>7.5800000000000006E-2</v>
      </c>
      <c r="CK170" s="228">
        <v>36</v>
      </c>
      <c r="CL170" s="228">
        <v>34</v>
      </c>
      <c r="CM170" s="228">
        <v>2</v>
      </c>
      <c r="CN170" s="229">
        <v>5.7799999999999997E-2</v>
      </c>
      <c r="CO170" s="230">
        <v>1834</v>
      </c>
      <c r="CP170" s="230">
        <v>1803</v>
      </c>
      <c r="CQ170" s="228">
        <v>31</v>
      </c>
      <c r="CR170" s="229">
        <v>1.7299999999999999E-2</v>
      </c>
      <c r="CS170" s="230">
        <v>1073</v>
      </c>
      <c r="CT170" s="230">
        <v>1061</v>
      </c>
      <c r="CU170" s="228">
        <v>12</v>
      </c>
      <c r="CV170" s="229">
        <v>1.12E-2</v>
      </c>
      <c r="CW170" s="230">
        <v>6216</v>
      </c>
      <c r="CX170" s="230">
        <v>6151</v>
      </c>
      <c r="CY170" s="228">
        <v>65</v>
      </c>
      <c r="CZ170" s="229">
        <v>1.06E-2</v>
      </c>
      <c r="DA170" s="228">
        <v>33.29</v>
      </c>
      <c r="DB170" s="228">
        <v>34.729999999999997</v>
      </c>
      <c r="DC170" s="228">
        <v>-1.44</v>
      </c>
      <c r="DD170" s="228">
        <v>-1.44</v>
      </c>
      <c r="DE170" s="228">
        <v>41.24</v>
      </c>
      <c r="DF170" s="228">
        <v>41.34</v>
      </c>
      <c r="DG170" s="228">
        <v>-7.95</v>
      </c>
      <c r="DH170" s="228">
        <v>-0.1</v>
      </c>
      <c r="DI170" s="228">
        <v>34.08</v>
      </c>
      <c r="DJ170" s="228">
        <v>35.159999999999997</v>
      </c>
      <c r="DK170" s="228">
        <v>-1.08</v>
      </c>
      <c r="DL170" s="228">
        <v>-1.08</v>
      </c>
      <c r="DM170" s="228">
        <v>30.8</v>
      </c>
      <c r="DN170" s="228">
        <v>33.46</v>
      </c>
      <c r="DO170" s="228">
        <v>-2.66</v>
      </c>
      <c r="DP170" s="228">
        <v>-2.66</v>
      </c>
      <c r="DQ170" s="228">
        <v>0.59</v>
      </c>
      <c r="DR170" s="228">
        <v>0.59</v>
      </c>
      <c r="DS170" s="228">
        <v>0</v>
      </c>
      <c r="DT170" s="229">
        <v>0</v>
      </c>
      <c r="DU170" s="228">
        <v>380</v>
      </c>
      <c r="DV170" s="228">
        <v>360</v>
      </c>
      <c r="DW170" s="228">
        <v>0.32</v>
      </c>
      <c r="DX170" s="228">
        <v>0.33</v>
      </c>
      <c r="DY170" s="228">
        <v>-0.01</v>
      </c>
      <c r="DZ170" s="229">
        <v>-3.0300000000000001E-2</v>
      </c>
      <c r="EA170" s="229">
        <v>0.11</v>
      </c>
      <c r="EB170" s="230">
        <v>9538200</v>
      </c>
      <c r="EC170" s="229">
        <v>3.0999999999999999E-3</v>
      </c>
      <c r="ED170" s="229">
        <v>0.11</v>
      </c>
      <c r="EE170" s="228">
        <v>1.29</v>
      </c>
      <c r="EF170" s="229">
        <v>3.5999999999999999E-3</v>
      </c>
      <c r="EG170" s="230">
        <v>5384416</v>
      </c>
      <c r="EH170" s="230">
        <v>4578078</v>
      </c>
      <c r="EI170" s="229">
        <v>0.17610000000000001</v>
      </c>
      <c r="EJ170" s="229">
        <v>0.57630000000000003</v>
      </c>
      <c r="EK170" s="231">
        <v>1447.88</v>
      </c>
      <c r="EL170" s="228">
        <v>425.89</v>
      </c>
      <c r="EM170" s="228">
        <v>435.86</v>
      </c>
      <c r="EN170" s="228">
        <v>161.91999999999999</v>
      </c>
      <c r="EO170" s="231">
        <v>2309.64</v>
      </c>
      <c r="EP170" s="231">
        <v>2556.6</v>
      </c>
      <c r="EQ170" s="228">
        <v>-246.96</v>
      </c>
      <c r="ER170" s="229">
        <v>-9.6600000000000005E-2</v>
      </c>
      <c r="ES170" s="231">
        <v>1976.72</v>
      </c>
      <c r="ET170" s="231">
        <v>1085.9000000000001</v>
      </c>
      <c r="EU170" s="231">
        <v>3310.32</v>
      </c>
      <c r="EV170" s="231">
        <v>187084550</v>
      </c>
      <c r="EW170" s="231">
        <v>6372.94</v>
      </c>
      <c r="EX170" s="231">
        <v>6322.85</v>
      </c>
      <c r="EY170" s="228">
        <v>50.09</v>
      </c>
      <c r="EZ170" s="229">
        <v>7.9000000000000008E-3</v>
      </c>
      <c r="FA170" s="229">
        <v>0.93520000000000003</v>
      </c>
      <c r="FB170" s="227" t="s">
        <v>567</v>
      </c>
      <c r="FC170">
        <f t="shared" si="3"/>
        <v>0</v>
      </c>
    </row>
    <row r="171" spans="1:159" ht="17.25" thickBot="1" x14ac:dyDescent="0.3">
      <c r="A171" s="226">
        <v>46064</v>
      </c>
      <c r="B171" s="227" t="s">
        <v>193</v>
      </c>
      <c r="C171" s="227" t="s">
        <v>281</v>
      </c>
      <c r="D171" s="228">
        <v>500</v>
      </c>
      <c r="E171" s="228">
        <v>13</v>
      </c>
      <c r="F171" s="231">
        <v>1470.2</v>
      </c>
      <c r="G171" s="231">
        <v>1460.7</v>
      </c>
      <c r="H171" s="228">
        <v>9.5</v>
      </c>
      <c r="I171" s="229">
        <v>6.4999999999999997E-3</v>
      </c>
      <c r="J171" s="231">
        <v>1468.7</v>
      </c>
      <c r="K171" s="231">
        <v>1458.5</v>
      </c>
      <c r="L171" s="228">
        <v>10.199999999999999</v>
      </c>
      <c r="M171" s="229">
        <v>7.0000000000000001E-3</v>
      </c>
      <c r="N171" s="231">
        <v>1470.2</v>
      </c>
      <c r="O171" s="231">
        <v>1460.7</v>
      </c>
      <c r="P171" s="228">
        <v>9.5</v>
      </c>
      <c r="Q171" s="229">
        <v>6.4999999999999997E-3</v>
      </c>
      <c r="R171" s="231">
        <v>1479.6</v>
      </c>
      <c r="S171" s="231">
        <v>1469.5</v>
      </c>
      <c r="T171" s="228">
        <v>10.1</v>
      </c>
      <c r="U171" s="229">
        <v>6.8999999999999999E-3</v>
      </c>
      <c r="V171" s="231">
        <v>1488.2</v>
      </c>
      <c r="W171" s="231">
        <v>1478.1</v>
      </c>
      <c r="X171" s="228">
        <v>10.1</v>
      </c>
      <c r="Y171" s="229">
        <v>6.7999999999999996E-3</v>
      </c>
      <c r="Z171" s="228">
        <v>1.5</v>
      </c>
      <c r="AA171" s="228">
        <v>2.2000000000000002</v>
      </c>
      <c r="AB171" s="228">
        <v>-0.7</v>
      </c>
      <c r="AC171" s="229">
        <v>1E-3</v>
      </c>
      <c r="AD171" s="228">
        <v>1.5</v>
      </c>
      <c r="AE171" s="228">
        <v>2.2000000000000002</v>
      </c>
      <c r="AF171" s="228">
        <v>-0.7</v>
      </c>
      <c r="AG171" s="229">
        <v>1E-3</v>
      </c>
      <c r="AH171" s="228">
        <v>10.9</v>
      </c>
      <c r="AI171" s="228">
        <v>11</v>
      </c>
      <c r="AJ171" s="228">
        <v>-0.1</v>
      </c>
      <c r="AK171" s="229">
        <v>7.4000000000000003E-3</v>
      </c>
      <c r="AL171" s="228">
        <v>19.5</v>
      </c>
      <c r="AM171" s="228">
        <v>19.600000000000001</v>
      </c>
      <c r="AN171" s="228">
        <v>-0.1</v>
      </c>
      <c r="AO171" s="229">
        <v>1.3299999999999999E-2</v>
      </c>
      <c r="AP171" s="231">
        <v>1467.22</v>
      </c>
      <c r="AQ171" s="231">
        <v>1476.24</v>
      </c>
      <c r="AR171" s="228">
        <v>0</v>
      </c>
      <c r="AS171" s="230">
        <v>1066</v>
      </c>
      <c r="AT171" s="228">
        <v>860</v>
      </c>
      <c r="AU171" s="228">
        <v>207</v>
      </c>
      <c r="AV171" s="229">
        <v>0.2407</v>
      </c>
      <c r="AW171" s="228">
        <v>948</v>
      </c>
      <c r="AX171" s="228">
        <v>755</v>
      </c>
      <c r="AY171" s="228">
        <v>193</v>
      </c>
      <c r="AZ171" s="229">
        <v>0.255</v>
      </c>
      <c r="BA171" s="228">
        <v>101</v>
      </c>
      <c r="BB171" s="228">
        <v>85</v>
      </c>
      <c r="BC171" s="228">
        <v>16</v>
      </c>
      <c r="BD171" s="229">
        <v>0.18140000000000001</v>
      </c>
      <c r="BE171" s="228">
        <v>17</v>
      </c>
      <c r="BF171" s="228">
        <v>19</v>
      </c>
      <c r="BG171" s="228">
        <v>-1</v>
      </c>
      <c r="BH171" s="229">
        <v>-6.6699999999999995E-2</v>
      </c>
      <c r="BI171" s="230">
        <v>5677</v>
      </c>
      <c r="BJ171" s="230">
        <v>4913</v>
      </c>
      <c r="BK171" s="228">
        <v>764</v>
      </c>
      <c r="BL171" s="229">
        <v>0.1555</v>
      </c>
      <c r="BM171" s="230">
        <v>3508</v>
      </c>
      <c r="BN171" s="230">
        <v>3533</v>
      </c>
      <c r="BO171" s="228">
        <v>-26</v>
      </c>
      <c r="BP171" s="229">
        <v>-7.3000000000000001E-3</v>
      </c>
      <c r="BQ171" s="230">
        <v>10251</v>
      </c>
      <c r="BR171" s="230">
        <v>9306</v>
      </c>
      <c r="BS171" s="228">
        <v>945</v>
      </c>
      <c r="BT171" s="229">
        <v>0.10150000000000001</v>
      </c>
      <c r="BU171" s="230">
        <v>7512198</v>
      </c>
      <c r="BV171" s="230">
        <v>10534541</v>
      </c>
      <c r="BW171" s="230">
        <v>-3022343</v>
      </c>
      <c r="BX171" s="229">
        <v>-0.28689999999999999</v>
      </c>
      <c r="BY171" s="230">
        <v>15725</v>
      </c>
      <c r="BZ171" s="230">
        <v>15756</v>
      </c>
      <c r="CA171" s="228">
        <v>-31</v>
      </c>
      <c r="CB171" s="229">
        <v>-2E-3</v>
      </c>
      <c r="CC171" s="230">
        <v>13649</v>
      </c>
      <c r="CD171" s="230">
        <v>13703</v>
      </c>
      <c r="CE171" s="228">
        <v>-54</v>
      </c>
      <c r="CF171" s="229">
        <v>-3.8999999999999998E-3</v>
      </c>
      <c r="CG171" s="230">
        <v>1895</v>
      </c>
      <c r="CH171" s="230">
        <v>1873</v>
      </c>
      <c r="CI171" s="228">
        <v>22</v>
      </c>
      <c r="CJ171" s="229">
        <v>1.15E-2</v>
      </c>
      <c r="CK171" s="228">
        <v>181</v>
      </c>
      <c r="CL171" s="228">
        <v>180</v>
      </c>
      <c r="CM171" s="228">
        <v>1</v>
      </c>
      <c r="CN171" s="229">
        <v>6.4999999999999997E-3</v>
      </c>
      <c r="CO171" s="230">
        <v>8109</v>
      </c>
      <c r="CP171" s="230">
        <v>8376</v>
      </c>
      <c r="CQ171" s="228">
        <v>-268</v>
      </c>
      <c r="CR171" s="229">
        <v>-3.2000000000000001E-2</v>
      </c>
      <c r="CS171" s="230">
        <v>4835</v>
      </c>
      <c r="CT171" s="230">
        <v>4653</v>
      </c>
      <c r="CU171" s="228">
        <v>182</v>
      </c>
      <c r="CV171" s="229">
        <v>3.9199999999999999E-2</v>
      </c>
      <c r="CW171" s="230">
        <v>28669</v>
      </c>
      <c r="CX171" s="230">
        <v>28785</v>
      </c>
      <c r="CY171" s="228">
        <v>-117</v>
      </c>
      <c r="CZ171" s="229">
        <v>-4.0000000000000001E-3</v>
      </c>
      <c r="DA171" s="228">
        <v>18.22</v>
      </c>
      <c r="DB171" s="228">
        <v>18.93</v>
      </c>
      <c r="DC171" s="228">
        <v>-0.71</v>
      </c>
      <c r="DD171" s="228">
        <v>-0.71</v>
      </c>
      <c r="DE171" s="228">
        <v>24.65</v>
      </c>
      <c r="DF171" s="228">
        <v>24.69</v>
      </c>
      <c r="DG171" s="228">
        <v>-6.43</v>
      </c>
      <c r="DH171" s="228">
        <v>-0.04</v>
      </c>
      <c r="DI171" s="228">
        <v>17.649999999999999</v>
      </c>
      <c r="DJ171" s="228">
        <v>18.59</v>
      </c>
      <c r="DK171" s="228">
        <v>-0.94</v>
      </c>
      <c r="DL171" s="228">
        <v>-0.94</v>
      </c>
      <c r="DM171" s="228">
        <v>19.14</v>
      </c>
      <c r="DN171" s="228">
        <v>19.41</v>
      </c>
      <c r="DO171" s="228">
        <v>-0.27</v>
      </c>
      <c r="DP171" s="228">
        <v>-0.27</v>
      </c>
      <c r="DQ171" s="228">
        <v>0.6</v>
      </c>
      <c r="DR171" s="228">
        <v>0.56000000000000005</v>
      </c>
      <c r="DS171" s="228">
        <v>0.04</v>
      </c>
      <c r="DT171" s="229">
        <v>7.1400000000000005E-2</v>
      </c>
      <c r="DU171" s="231">
        <v>1400</v>
      </c>
      <c r="DV171" s="231">
        <v>1400</v>
      </c>
      <c r="DW171" s="228">
        <v>0.62</v>
      </c>
      <c r="DX171" s="228">
        <v>0.72</v>
      </c>
      <c r="DY171" s="228">
        <v>-0.1</v>
      </c>
      <c r="DZ171" s="229">
        <v>-0.1389</v>
      </c>
      <c r="EA171" s="229">
        <v>0.13200000000000001</v>
      </c>
      <c r="EB171" s="230">
        <v>13966500</v>
      </c>
      <c r="EC171" s="229">
        <v>6.4000000000000003E-3</v>
      </c>
      <c r="ED171" s="229">
        <v>0.13200000000000001</v>
      </c>
      <c r="EE171" s="228">
        <v>9.02</v>
      </c>
      <c r="EF171" s="229">
        <v>6.1000000000000004E-3</v>
      </c>
      <c r="EG171" s="230">
        <v>4303110</v>
      </c>
      <c r="EH171" s="230">
        <v>3229791</v>
      </c>
      <c r="EI171" s="229">
        <v>0.33229999999999998</v>
      </c>
      <c r="EJ171" s="229">
        <v>0.57279999999999998</v>
      </c>
      <c r="EK171" s="231">
        <v>5815</v>
      </c>
      <c r="EL171" s="231">
        <v>3442.93</v>
      </c>
      <c r="EM171" s="231">
        <v>1065.08</v>
      </c>
      <c r="EN171" s="228">
        <v>174.83</v>
      </c>
      <c r="EO171" s="231">
        <v>10323.02</v>
      </c>
      <c r="EP171" s="231">
        <v>9345.77</v>
      </c>
      <c r="EQ171" s="228">
        <v>977.25</v>
      </c>
      <c r="ER171" s="229">
        <v>0.1046</v>
      </c>
      <c r="ES171" s="231">
        <v>8177.73</v>
      </c>
      <c r="ET171" s="231">
        <v>4650.1400000000003</v>
      </c>
      <c r="EU171" s="231">
        <v>15739.15</v>
      </c>
      <c r="EV171" s="231">
        <v>664266681</v>
      </c>
      <c r="EW171" s="231">
        <v>28567.03</v>
      </c>
      <c r="EX171" s="231">
        <v>28580.22</v>
      </c>
      <c r="EY171" s="228">
        <v>-13.19</v>
      </c>
      <c r="EZ171" s="229">
        <v>-5.0000000000000001E-4</v>
      </c>
      <c r="FA171" s="229">
        <v>0.29360000000000003</v>
      </c>
      <c r="FB171" s="227" t="s">
        <v>556</v>
      </c>
      <c r="FC171">
        <f t="shared" si="3"/>
        <v>0</v>
      </c>
    </row>
    <row r="172" spans="1:159" ht="17.25" thickBot="1" x14ac:dyDescent="0.3">
      <c r="A172" s="226">
        <v>46064</v>
      </c>
      <c r="B172" s="227" t="s">
        <v>215</v>
      </c>
      <c r="C172" s="227" t="s">
        <v>674</v>
      </c>
      <c r="D172" s="228">
        <v>1525</v>
      </c>
      <c r="E172" s="228">
        <v>13</v>
      </c>
      <c r="F172" s="228">
        <v>297.64999999999998</v>
      </c>
      <c r="G172" s="228">
        <v>298</v>
      </c>
      <c r="H172" s="228">
        <v>-0.35</v>
      </c>
      <c r="I172" s="229">
        <v>-1.1999999999999999E-3</v>
      </c>
      <c r="J172" s="228">
        <v>316.55</v>
      </c>
      <c r="K172" s="228">
        <v>319.45</v>
      </c>
      <c r="L172" s="228">
        <v>-2.9</v>
      </c>
      <c r="M172" s="229">
        <v>-9.1000000000000004E-3</v>
      </c>
      <c r="N172" s="228">
        <v>297.64999999999998</v>
      </c>
      <c r="O172" s="228">
        <v>298</v>
      </c>
      <c r="P172" s="228">
        <v>-0.35</v>
      </c>
      <c r="Q172" s="229">
        <v>-1.1999999999999999E-3</v>
      </c>
      <c r="R172" s="228">
        <v>282.10000000000002</v>
      </c>
      <c r="S172" s="228">
        <v>283.55</v>
      </c>
      <c r="T172" s="228">
        <v>-1.45</v>
      </c>
      <c r="U172" s="229">
        <v>-5.1000000000000004E-3</v>
      </c>
      <c r="V172" s="228">
        <v>273.5</v>
      </c>
      <c r="W172" s="228">
        <v>275.05</v>
      </c>
      <c r="X172" s="228">
        <v>-1.55</v>
      </c>
      <c r="Y172" s="229">
        <v>-5.5999999999999999E-3</v>
      </c>
      <c r="Z172" s="228">
        <v>-18.899999999999999</v>
      </c>
      <c r="AA172" s="228">
        <v>-21.45</v>
      </c>
      <c r="AB172" s="228">
        <v>2.5499999999999998</v>
      </c>
      <c r="AC172" s="229">
        <v>-5.9700000000000003E-2</v>
      </c>
      <c r="AD172" s="228">
        <v>-18.899999999999999</v>
      </c>
      <c r="AE172" s="228">
        <v>-21.45</v>
      </c>
      <c r="AF172" s="228">
        <v>2.5499999999999998</v>
      </c>
      <c r="AG172" s="229">
        <v>-5.9700000000000003E-2</v>
      </c>
      <c r="AH172" s="228">
        <v>-34.450000000000003</v>
      </c>
      <c r="AI172" s="228">
        <v>-35.9</v>
      </c>
      <c r="AJ172" s="228">
        <v>1.45</v>
      </c>
      <c r="AK172" s="229">
        <v>-0.10879999999999999</v>
      </c>
      <c r="AL172" s="228">
        <v>-43.05</v>
      </c>
      <c r="AM172" s="228">
        <v>-44.4</v>
      </c>
      <c r="AN172" s="228">
        <v>1.35</v>
      </c>
      <c r="AO172" s="229">
        <v>-0.13600000000000001</v>
      </c>
      <c r="AP172" s="228">
        <v>295.42</v>
      </c>
      <c r="AQ172" s="228">
        <v>279.64999999999998</v>
      </c>
      <c r="AR172" s="228">
        <v>0</v>
      </c>
      <c r="AS172" s="228">
        <v>322</v>
      </c>
      <c r="AT172" s="228">
        <v>660</v>
      </c>
      <c r="AU172" s="228">
        <v>-339</v>
      </c>
      <c r="AV172" s="229">
        <v>-0.51270000000000004</v>
      </c>
      <c r="AW172" s="228">
        <v>204</v>
      </c>
      <c r="AX172" s="228">
        <v>424</v>
      </c>
      <c r="AY172" s="228">
        <v>-220</v>
      </c>
      <c r="AZ172" s="229">
        <v>-0.51990000000000003</v>
      </c>
      <c r="BA172" s="228">
        <v>93</v>
      </c>
      <c r="BB172" s="228">
        <v>176</v>
      </c>
      <c r="BC172" s="228">
        <v>-82</v>
      </c>
      <c r="BD172" s="229">
        <v>-0.46810000000000002</v>
      </c>
      <c r="BE172" s="228">
        <v>25</v>
      </c>
      <c r="BF172" s="228">
        <v>61</v>
      </c>
      <c r="BG172" s="228">
        <v>-36</v>
      </c>
      <c r="BH172" s="229">
        <v>-0.59189999999999998</v>
      </c>
      <c r="BI172" s="228">
        <v>895</v>
      </c>
      <c r="BJ172" s="230">
        <v>1909</v>
      </c>
      <c r="BK172" s="230">
        <v>-1014</v>
      </c>
      <c r="BL172" s="229">
        <v>-0.53110000000000002</v>
      </c>
      <c r="BM172" s="228">
        <v>189</v>
      </c>
      <c r="BN172" s="228">
        <v>453</v>
      </c>
      <c r="BO172" s="228">
        <v>-264</v>
      </c>
      <c r="BP172" s="229">
        <v>-0.58189999999999997</v>
      </c>
      <c r="BQ172" s="230">
        <v>1406</v>
      </c>
      <c r="BR172" s="230">
        <v>3022</v>
      </c>
      <c r="BS172" s="230">
        <v>-1616</v>
      </c>
      <c r="BT172" s="229">
        <v>-0.53469999999999995</v>
      </c>
      <c r="BU172" s="230">
        <v>5451277</v>
      </c>
      <c r="BV172" s="230">
        <v>10326225</v>
      </c>
      <c r="BW172" s="230">
        <v>-4874948</v>
      </c>
      <c r="BX172" s="229">
        <v>-0.47210000000000002</v>
      </c>
      <c r="BY172" s="230">
        <v>2225</v>
      </c>
      <c r="BZ172" s="230">
        <v>2204</v>
      </c>
      <c r="CA172" s="228">
        <v>21</v>
      </c>
      <c r="CB172" s="229">
        <v>9.5999999999999992E-3</v>
      </c>
      <c r="CC172" s="230">
        <v>1794</v>
      </c>
      <c r="CD172" s="230">
        <v>1786</v>
      </c>
      <c r="CE172" s="228">
        <v>8</v>
      </c>
      <c r="CF172" s="229">
        <v>4.5999999999999999E-3</v>
      </c>
      <c r="CG172" s="228">
        <v>295</v>
      </c>
      <c r="CH172" s="228">
        <v>289</v>
      </c>
      <c r="CI172" s="228">
        <v>5</v>
      </c>
      <c r="CJ172" s="229">
        <v>1.8800000000000001E-2</v>
      </c>
      <c r="CK172" s="228">
        <v>136</v>
      </c>
      <c r="CL172" s="228">
        <v>129</v>
      </c>
      <c r="CM172" s="228">
        <v>8</v>
      </c>
      <c r="CN172" s="229">
        <v>5.8500000000000003E-2</v>
      </c>
      <c r="CO172" s="230">
        <v>1986</v>
      </c>
      <c r="CP172" s="230">
        <v>2015</v>
      </c>
      <c r="CQ172" s="228">
        <v>-29</v>
      </c>
      <c r="CR172" s="229">
        <v>-1.44E-2</v>
      </c>
      <c r="CS172" s="228">
        <v>687</v>
      </c>
      <c r="CT172" s="228">
        <v>679</v>
      </c>
      <c r="CU172" s="228">
        <v>8</v>
      </c>
      <c r="CV172" s="229">
        <v>1.2200000000000001E-2</v>
      </c>
      <c r="CW172" s="230">
        <v>4897</v>
      </c>
      <c r="CX172" s="230">
        <v>4897</v>
      </c>
      <c r="CY172" s="228">
        <v>0</v>
      </c>
      <c r="CZ172" s="229">
        <v>1E-4</v>
      </c>
      <c r="DA172" s="228">
        <v>52.69</v>
      </c>
      <c r="DB172" s="228">
        <v>54.1</v>
      </c>
      <c r="DC172" s="228">
        <v>-1.41</v>
      </c>
      <c r="DD172" s="228">
        <v>-1.41</v>
      </c>
      <c r="DE172" s="228">
        <v>58.28</v>
      </c>
      <c r="DF172" s="228">
        <v>58.43</v>
      </c>
      <c r="DG172" s="228">
        <v>-5.59</v>
      </c>
      <c r="DH172" s="228">
        <v>-0.15</v>
      </c>
      <c r="DI172" s="228">
        <v>54.14</v>
      </c>
      <c r="DJ172" s="228">
        <v>55.55</v>
      </c>
      <c r="DK172" s="228">
        <v>-1.41</v>
      </c>
      <c r="DL172" s="228">
        <v>-1.41</v>
      </c>
      <c r="DM172" s="228">
        <v>45.82</v>
      </c>
      <c r="DN172" s="228">
        <v>47.96</v>
      </c>
      <c r="DO172" s="228">
        <v>-2.14</v>
      </c>
      <c r="DP172" s="228">
        <v>-2.14</v>
      </c>
      <c r="DQ172" s="228">
        <v>0.35</v>
      </c>
      <c r="DR172" s="228">
        <v>0.34</v>
      </c>
      <c r="DS172" s="228">
        <v>0.01</v>
      </c>
      <c r="DT172" s="229">
        <v>2.9399999999999999E-2</v>
      </c>
      <c r="DU172" s="228">
        <v>350</v>
      </c>
      <c r="DV172" s="228">
        <v>280</v>
      </c>
      <c r="DW172" s="228">
        <v>0.21</v>
      </c>
      <c r="DX172" s="228">
        <v>0.24</v>
      </c>
      <c r="DY172" s="228">
        <v>-0.03</v>
      </c>
      <c r="DZ172" s="229">
        <v>-0.125</v>
      </c>
      <c r="EA172" s="229">
        <v>0.1938</v>
      </c>
      <c r="EB172" s="230">
        <v>14052875</v>
      </c>
      <c r="EC172" s="229">
        <v>-5.2200000000000003E-2</v>
      </c>
      <c r="ED172" s="229">
        <v>0.1938</v>
      </c>
      <c r="EE172" s="228">
        <v>-15.77</v>
      </c>
      <c r="EF172" s="229">
        <v>-5.3400000000000003E-2</v>
      </c>
      <c r="EG172" s="230">
        <v>1270371</v>
      </c>
      <c r="EH172" s="230">
        <v>1878788</v>
      </c>
      <c r="EI172" s="229">
        <v>-0.32379999999999998</v>
      </c>
      <c r="EJ172" s="229">
        <v>0.23300000000000001</v>
      </c>
      <c r="EK172" s="231">
        <v>1011.58</v>
      </c>
      <c r="EL172" s="228">
        <v>190.99</v>
      </c>
      <c r="EM172" s="228">
        <v>312.32</v>
      </c>
      <c r="EN172" s="228">
        <v>101.41</v>
      </c>
      <c r="EO172" s="231">
        <v>1514.88</v>
      </c>
      <c r="EP172" s="231">
        <v>3274.72</v>
      </c>
      <c r="EQ172" s="231">
        <v>-1759.84</v>
      </c>
      <c r="ER172" s="229">
        <v>-0.53739999999999999</v>
      </c>
      <c r="ES172" s="231">
        <v>2294.17</v>
      </c>
      <c r="ET172" s="228">
        <v>699.2</v>
      </c>
      <c r="EU172" s="231">
        <v>2198.63</v>
      </c>
      <c r="EV172" s="231">
        <v>84941460</v>
      </c>
      <c r="EW172" s="231">
        <v>5192.01</v>
      </c>
      <c r="EX172" s="231">
        <v>5209.38</v>
      </c>
      <c r="EY172" s="228">
        <v>-17.37</v>
      </c>
      <c r="EZ172" s="229">
        <v>-3.3E-3</v>
      </c>
      <c r="FA172" s="229">
        <v>1.9371</v>
      </c>
      <c r="FB172" s="227" t="s">
        <v>567</v>
      </c>
      <c r="FC172">
        <f t="shared" si="3"/>
        <v>0</v>
      </c>
    </row>
    <row r="173" spans="1:159" ht="17.25" thickBot="1" x14ac:dyDescent="0.3">
      <c r="A173" s="226">
        <v>46064</v>
      </c>
      <c r="B173" s="227" t="s">
        <v>227</v>
      </c>
      <c r="C173" s="227" t="s">
        <v>282</v>
      </c>
      <c r="D173" s="228">
        <v>4700</v>
      </c>
      <c r="E173" s="228">
        <v>13</v>
      </c>
      <c r="F173" s="228">
        <v>162.22999999999999</v>
      </c>
      <c r="G173" s="228">
        <v>161.25</v>
      </c>
      <c r="H173" s="228">
        <v>0.98</v>
      </c>
      <c r="I173" s="229">
        <v>6.1000000000000004E-3</v>
      </c>
      <c r="J173" s="228">
        <v>162.12</v>
      </c>
      <c r="K173" s="228">
        <v>160.99</v>
      </c>
      <c r="L173" s="228">
        <v>1.1299999999999999</v>
      </c>
      <c r="M173" s="229">
        <v>7.0000000000000001E-3</v>
      </c>
      <c r="N173" s="228">
        <v>162.22999999999999</v>
      </c>
      <c r="O173" s="228">
        <v>161.25</v>
      </c>
      <c r="P173" s="228">
        <v>0.98</v>
      </c>
      <c r="Q173" s="229">
        <v>6.1000000000000004E-3</v>
      </c>
      <c r="R173" s="228">
        <v>162.75</v>
      </c>
      <c r="S173" s="228">
        <v>161.9</v>
      </c>
      <c r="T173" s="228">
        <v>0.85</v>
      </c>
      <c r="U173" s="229">
        <v>5.3E-3</v>
      </c>
      <c r="V173" s="228">
        <v>164.01</v>
      </c>
      <c r="W173" s="228">
        <v>162.5</v>
      </c>
      <c r="X173" s="228">
        <v>1.51</v>
      </c>
      <c r="Y173" s="229">
        <v>9.2999999999999992E-3</v>
      </c>
      <c r="Z173" s="228">
        <v>0.11</v>
      </c>
      <c r="AA173" s="228">
        <v>0.26</v>
      </c>
      <c r="AB173" s="228">
        <v>-0.15</v>
      </c>
      <c r="AC173" s="229">
        <v>6.9999999999999999E-4</v>
      </c>
      <c r="AD173" s="228">
        <v>0.11</v>
      </c>
      <c r="AE173" s="228">
        <v>0.26</v>
      </c>
      <c r="AF173" s="228">
        <v>-0.15</v>
      </c>
      <c r="AG173" s="229">
        <v>6.9999999999999999E-4</v>
      </c>
      <c r="AH173" s="228">
        <v>0.63</v>
      </c>
      <c r="AI173" s="228">
        <v>0.91</v>
      </c>
      <c r="AJ173" s="228">
        <v>-0.28000000000000003</v>
      </c>
      <c r="AK173" s="229">
        <v>3.8999999999999998E-3</v>
      </c>
      <c r="AL173" s="228">
        <v>1.89</v>
      </c>
      <c r="AM173" s="228">
        <v>1.51</v>
      </c>
      <c r="AN173" s="228">
        <v>0.38</v>
      </c>
      <c r="AO173" s="229">
        <v>1.17E-2</v>
      </c>
      <c r="AP173" s="228">
        <v>162.16</v>
      </c>
      <c r="AQ173" s="228">
        <v>162.47999999999999</v>
      </c>
      <c r="AR173" s="228">
        <v>0</v>
      </c>
      <c r="AS173" s="228">
        <v>43</v>
      </c>
      <c r="AT173" s="228">
        <v>148</v>
      </c>
      <c r="AU173" s="228">
        <v>-106</v>
      </c>
      <c r="AV173" s="229">
        <v>-0.71299999999999997</v>
      </c>
      <c r="AW173" s="228">
        <v>39</v>
      </c>
      <c r="AX173" s="228">
        <v>137</v>
      </c>
      <c r="AY173" s="228">
        <v>-98</v>
      </c>
      <c r="AZ173" s="229">
        <v>-0.71340000000000003</v>
      </c>
      <c r="BA173" s="228">
        <v>2</v>
      </c>
      <c r="BB173" s="228">
        <v>10</v>
      </c>
      <c r="BC173" s="228">
        <v>-8</v>
      </c>
      <c r="BD173" s="229">
        <v>-0.76639999999999997</v>
      </c>
      <c r="BE173" s="228">
        <v>1</v>
      </c>
      <c r="BF173" s="228">
        <v>1</v>
      </c>
      <c r="BG173" s="228">
        <v>0</v>
      </c>
      <c r="BH173" s="229">
        <v>0.1</v>
      </c>
      <c r="BI173" s="228">
        <v>39</v>
      </c>
      <c r="BJ173" s="228">
        <v>83</v>
      </c>
      <c r="BK173" s="228">
        <v>-44</v>
      </c>
      <c r="BL173" s="229">
        <v>-0.5323</v>
      </c>
      <c r="BM173" s="228">
        <v>14</v>
      </c>
      <c r="BN173" s="228">
        <v>27</v>
      </c>
      <c r="BO173" s="228">
        <v>-13</v>
      </c>
      <c r="BP173" s="229">
        <v>-0.49440000000000001</v>
      </c>
      <c r="BQ173" s="228">
        <v>95</v>
      </c>
      <c r="BR173" s="228">
        <v>258</v>
      </c>
      <c r="BS173" s="228">
        <v>-163</v>
      </c>
      <c r="BT173" s="229">
        <v>-0.6321</v>
      </c>
      <c r="BU173" s="230">
        <v>18376527</v>
      </c>
      <c r="BV173" s="230">
        <v>29732320</v>
      </c>
      <c r="BW173" s="230">
        <v>-11355793</v>
      </c>
      <c r="BX173" s="229">
        <v>-0.38190000000000002</v>
      </c>
      <c r="BY173" s="230">
        <v>3211</v>
      </c>
      <c r="BZ173" s="230">
        <v>3246</v>
      </c>
      <c r="CA173" s="228">
        <v>-35</v>
      </c>
      <c r="CB173" s="229">
        <v>-1.0699999999999999E-2</v>
      </c>
      <c r="CC173" s="230">
        <v>3043</v>
      </c>
      <c r="CD173" s="230">
        <v>3075</v>
      </c>
      <c r="CE173" s="228">
        <v>-32</v>
      </c>
      <c r="CF173" s="229">
        <v>-1.03E-2</v>
      </c>
      <c r="CG173" s="228">
        <v>156</v>
      </c>
      <c r="CH173" s="228">
        <v>158</v>
      </c>
      <c r="CI173" s="228">
        <v>-2</v>
      </c>
      <c r="CJ173" s="229">
        <v>-1.4E-2</v>
      </c>
      <c r="CK173" s="228">
        <v>12</v>
      </c>
      <c r="CL173" s="228">
        <v>13</v>
      </c>
      <c r="CM173" s="228">
        <v>-1</v>
      </c>
      <c r="CN173" s="229">
        <v>-5.8099999999999999E-2</v>
      </c>
      <c r="CO173" s="228">
        <v>616</v>
      </c>
      <c r="CP173" s="228">
        <v>637</v>
      </c>
      <c r="CQ173" s="228">
        <v>-20</v>
      </c>
      <c r="CR173" s="229">
        <v>-3.2000000000000001E-2</v>
      </c>
      <c r="CS173" s="228">
        <v>490</v>
      </c>
      <c r="CT173" s="228">
        <v>497</v>
      </c>
      <c r="CU173" s="228">
        <v>-7</v>
      </c>
      <c r="CV173" s="229">
        <v>-1.38E-2</v>
      </c>
      <c r="CW173" s="230">
        <v>4318</v>
      </c>
      <c r="CX173" s="230">
        <v>4380</v>
      </c>
      <c r="CY173" s="228">
        <v>-62</v>
      </c>
      <c r="CZ173" s="229">
        <v>-1.4200000000000001E-2</v>
      </c>
      <c r="DA173" s="228">
        <v>32.15</v>
      </c>
      <c r="DB173" s="228">
        <v>33.85</v>
      </c>
      <c r="DC173" s="228">
        <v>-1.7</v>
      </c>
      <c r="DD173" s="228">
        <v>-1.7</v>
      </c>
      <c r="DE173" s="228">
        <v>43.34</v>
      </c>
      <c r="DF173" s="228">
        <v>43.44</v>
      </c>
      <c r="DG173" s="228">
        <v>-11.19</v>
      </c>
      <c r="DH173" s="228">
        <v>-0.1</v>
      </c>
      <c r="DI173" s="228">
        <v>30.75</v>
      </c>
      <c r="DJ173" s="228">
        <v>32.93</v>
      </c>
      <c r="DK173" s="228">
        <v>-2.1800000000000002</v>
      </c>
      <c r="DL173" s="228">
        <v>-2.1800000000000002</v>
      </c>
      <c r="DM173" s="228">
        <v>36.06</v>
      </c>
      <c r="DN173" s="228">
        <v>36.64</v>
      </c>
      <c r="DO173" s="228">
        <v>-0.57999999999999996</v>
      </c>
      <c r="DP173" s="228">
        <v>-0.57999999999999996</v>
      </c>
      <c r="DQ173" s="228">
        <v>0.79</v>
      </c>
      <c r="DR173" s="228">
        <v>0.78</v>
      </c>
      <c r="DS173" s="228">
        <v>0.01</v>
      </c>
      <c r="DT173" s="229">
        <v>1.2800000000000001E-2</v>
      </c>
      <c r="DU173" s="228">
        <v>160</v>
      </c>
      <c r="DV173" s="228">
        <v>155</v>
      </c>
      <c r="DW173" s="228">
        <v>0.36</v>
      </c>
      <c r="DX173" s="228">
        <v>0.33</v>
      </c>
      <c r="DY173" s="228">
        <v>0.03</v>
      </c>
      <c r="DZ173" s="229">
        <v>9.0899999999999995E-2</v>
      </c>
      <c r="EA173" s="229">
        <v>5.2400000000000002E-2</v>
      </c>
      <c r="EB173" s="230">
        <v>10560900</v>
      </c>
      <c r="EC173" s="229">
        <v>3.2000000000000002E-3</v>
      </c>
      <c r="ED173" s="229">
        <v>5.2400000000000002E-2</v>
      </c>
      <c r="EE173" s="228">
        <v>0.32</v>
      </c>
      <c r="EF173" s="229">
        <v>2E-3</v>
      </c>
      <c r="EG173" s="230">
        <v>7481077</v>
      </c>
      <c r="EH173" s="230">
        <v>13037499</v>
      </c>
      <c r="EI173" s="229">
        <v>-0.42620000000000002</v>
      </c>
      <c r="EJ173" s="229">
        <v>0.40710000000000002</v>
      </c>
      <c r="EK173" s="228">
        <v>39.770000000000003</v>
      </c>
      <c r="EL173" s="228">
        <v>13.15</v>
      </c>
      <c r="EM173" s="228">
        <v>42.54</v>
      </c>
      <c r="EN173" s="228">
        <v>52.42</v>
      </c>
      <c r="EO173" s="228">
        <v>95.45</v>
      </c>
      <c r="EP173" s="228">
        <v>256.81</v>
      </c>
      <c r="EQ173" s="228">
        <v>-161.36000000000001</v>
      </c>
      <c r="ER173" s="229">
        <v>-0.62829999999999997</v>
      </c>
      <c r="ES173" s="228">
        <v>615.78</v>
      </c>
      <c r="ET173" s="228">
        <v>443.62</v>
      </c>
      <c r="EU173" s="231">
        <v>3212.05</v>
      </c>
      <c r="EV173" s="231">
        <v>216861410</v>
      </c>
      <c r="EW173" s="231">
        <v>4271.45</v>
      </c>
      <c r="EX173" s="231">
        <v>4313.6499999999996</v>
      </c>
      <c r="EY173" s="228">
        <v>-42.2</v>
      </c>
      <c r="EZ173" s="229">
        <v>-9.7999999999999997E-3</v>
      </c>
      <c r="FA173" s="229">
        <v>1.2273000000000001</v>
      </c>
      <c r="FB173" s="227" t="s">
        <v>556</v>
      </c>
      <c r="FC173">
        <f t="shared" si="3"/>
        <v>0</v>
      </c>
    </row>
    <row r="174" spans="1:159" ht="17.25" thickBot="1" x14ac:dyDescent="0.3">
      <c r="A174" s="226">
        <v>46064</v>
      </c>
      <c r="B174" s="227" t="s">
        <v>175</v>
      </c>
      <c r="C174" s="227" t="s">
        <v>685</v>
      </c>
      <c r="D174" s="228">
        <v>4300</v>
      </c>
      <c r="E174" s="228">
        <v>13</v>
      </c>
      <c r="F174" s="228">
        <v>148.6</v>
      </c>
      <c r="G174" s="228">
        <v>147.38</v>
      </c>
      <c r="H174" s="228">
        <v>1.22</v>
      </c>
      <c r="I174" s="229">
        <v>8.3000000000000001E-3</v>
      </c>
      <c r="J174" s="228">
        <v>148.35</v>
      </c>
      <c r="K174" s="228">
        <v>147.22999999999999</v>
      </c>
      <c r="L174" s="228">
        <v>1.1200000000000001</v>
      </c>
      <c r="M174" s="229">
        <v>7.6E-3</v>
      </c>
      <c r="N174" s="228">
        <v>148.6</v>
      </c>
      <c r="O174" s="228">
        <v>147.38</v>
      </c>
      <c r="P174" s="228">
        <v>1.22</v>
      </c>
      <c r="Q174" s="229">
        <v>8.3000000000000001E-3</v>
      </c>
      <c r="R174" s="228">
        <v>149.22999999999999</v>
      </c>
      <c r="S174" s="228">
        <v>151.63</v>
      </c>
      <c r="T174" s="228">
        <v>-2.4</v>
      </c>
      <c r="U174" s="229">
        <v>-1.5800000000000002E-2</v>
      </c>
      <c r="V174" s="228">
        <v>150.84</v>
      </c>
      <c r="W174" s="228">
        <v>150.84</v>
      </c>
      <c r="X174" s="228">
        <v>0</v>
      </c>
      <c r="Y174" s="229">
        <v>0</v>
      </c>
      <c r="Z174" s="228">
        <v>0.25</v>
      </c>
      <c r="AA174" s="228">
        <v>0.15</v>
      </c>
      <c r="AB174" s="228">
        <v>0.1</v>
      </c>
      <c r="AC174" s="229">
        <v>1.6999999999999999E-3</v>
      </c>
      <c r="AD174" s="228">
        <v>0.25</v>
      </c>
      <c r="AE174" s="228">
        <v>0.15</v>
      </c>
      <c r="AF174" s="228">
        <v>0.1</v>
      </c>
      <c r="AG174" s="229">
        <v>1.6999999999999999E-3</v>
      </c>
      <c r="AH174" s="228">
        <v>0.88</v>
      </c>
      <c r="AI174" s="228">
        <v>4.4000000000000004</v>
      </c>
      <c r="AJ174" s="228">
        <v>-3.52</v>
      </c>
      <c r="AK174" s="229">
        <v>5.8999999999999999E-3</v>
      </c>
      <c r="AL174" s="228">
        <v>2.4900000000000002</v>
      </c>
      <c r="AM174" s="228">
        <v>3.61</v>
      </c>
      <c r="AN174" s="228">
        <v>-1.1200000000000001</v>
      </c>
      <c r="AO174" s="229">
        <v>1.6799999999999999E-2</v>
      </c>
      <c r="AP174" s="228">
        <v>147.97999999999999</v>
      </c>
      <c r="AQ174" s="228">
        <v>149.30000000000001</v>
      </c>
      <c r="AR174" s="228">
        <v>0</v>
      </c>
      <c r="AS174" s="228">
        <v>6</v>
      </c>
      <c r="AT174" s="228">
        <v>3</v>
      </c>
      <c r="AU174" s="228">
        <v>3</v>
      </c>
      <c r="AV174" s="229">
        <v>0.8</v>
      </c>
      <c r="AW174" s="228">
        <v>6</v>
      </c>
      <c r="AX174" s="228">
        <v>3</v>
      </c>
      <c r="AY174" s="228">
        <v>2</v>
      </c>
      <c r="AZ174" s="229">
        <v>0.78</v>
      </c>
      <c r="BA174" s="228">
        <v>0</v>
      </c>
      <c r="BB174" s="228">
        <v>0</v>
      </c>
      <c r="BC174" s="228">
        <v>0</v>
      </c>
      <c r="BD174" s="229">
        <v>0</v>
      </c>
      <c r="BE174" s="228">
        <v>0</v>
      </c>
      <c r="BF174" s="228">
        <v>0</v>
      </c>
      <c r="BG174" s="228">
        <v>0</v>
      </c>
      <c r="BH174" s="229">
        <v>0</v>
      </c>
      <c r="BI174" s="228">
        <v>4</v>
      </c>
      <c r="BJ174" s="228">
        <v>4</v>
      </c>
      <c r="BK174" s="228">
        <v>0</v>
      </c>
      <c r="BL174" s="229">
        <v>-7.5800000000000006E-2</v>
      </c>
      <c r="BM174" s="228">
        <v>2</v>
      </c>
      <c r="BN174" s="228">
        <v>1</v>
      </c>
      <c r="BO174" s="228">
        <v>1</v>
      </c>
      <c r="BP174" s="229">
        <v>0.70589999999999997</v>
      </c>
      <c r="BQ174" s="228">
        <v>12</v>
      </c>
      <c r="BR174" s="228">
        <v>8</v>
      </c>
      <c r="BS174" s="228">
        <v>3</v>
      </c>
      <c r="BT174" s="229">
        <v>0.35339999999999999</v>
      </c>
      <c r="BU174" s="230">
        <v>3879110</v>
      </c>
      <c r="BV174" s="230">
        <v>4596318</v>
      </c>
      <c r="BW174" s="230">
        <v>-717208</v>
      </c>
      <c r="BX174" s="229">
        <v>-0.156</v>
      </c>
      <c r="BY174" s="230">
        <v>1708</v>
      </c>
      <c r="BZ174" s="230">
        <v>1712</v>
      </c>
      <c r="CA174" s="228">
        <v>-4</v>
      </c>
      <c r="CB174" s="229">
        <v>-2.5999999999999999E-3</v>
      </c>
      <c r="CC174" s="230">
        <v>1609</v>
      </c>
      <c r="CD174" s="230">
        <v>1613</v>
      </c>
      <c r="CE174" s="228">
        <v>-4</v>
      </c>
      <c r="CF174" s="229">
        <v>-2.8E-3</v>
      </c>
      <c r="CG174" s="228">
        <v>85</v>
      </c>
      <c r="CH174" s="228">
        <v>85</v>
      </c>
      <c r="CI174" s="228">
        <v>0</v>
      </c>
      <c r="CJ174" s="229">
        <v>0</v>
      </c>
      <c r="CK174" s="228">
        <v>14</v>
      </c>
      <c r="CL174" s="228">
        <v>14</v>
      </c>
      <c r="CM174" s="228">
        <v>0</v>
      </c>
      <c r="CN174" s="229">
        <v>0</v>
      </c>
      <c r="CO174" s="228">
        <v>460</v>
      </c>
      <c r="CP174" s="228">
        <v>461</v>
      </c>
      <c r="CQ174" s="228">
        <v>-1</v>
      </c>
      <c r="CR174" s="229">
        <v>-2.8999999999999998E-3</v>
      </c>
      <c r="CS174" s="228">
        <v>250</v>
      </c>
      <c r="CT174" s="228">
        <v>251</v>
      </c>
      <c r="CU174" s="228">
        <v>-1</v>
      </c>
      <c r="CV174" s="229">
        <v>-4.7999999999999996E-3</v>
      </c>
      <c r="CW174" s="230">
        <v>2417</v>
      </c>
      <c r="CX174" s="230">
        <v>2424</v>
      </c>
      <c r="CY174" s="228">
        <v>-7</v>
      </c>
      <c r="CZ174" s="229">
        <v>-2.8999999999999998E-3</v>
      </c>
      <c r="DA174" s="228">
        <v>24.32</v>
      </c>
      <c r="DB174" s="228">
        <v>31.21</v>
      </c>
      <c r="DC174" s="228">
        <v>-6.89</v>
      </c>
      <c r="DD174" s="228">
        <v>-6.89</v>
      </c>
      <c r="DE174" s="228">
        <v>54.69</v>
      </c>
      <c r="DF174" s="228">
        <v>54.82</v>
      </c>
      <c r="DG174" s="228">
        <v>-30.37</v>
      </c>
      <c r="DH174" s="228">
        <v>-0.13</v>
      </c>
      <c r="DI174" s="228">
        <v>20.54</v>
      </c>
      <c r="DJ174" s="228">
        <v>31.31</v>
      </c>
      <c r="DK174" s="228">
        <v>-10.77</v>
      </c>
      <c r="DL174" s="228">
        <v>-10.77</v>
      </c>
      <c r="DM174" s="228">
        <v>32.26</v>
      </c>
      <c r="DN174" s="228">
        <v>30.85</v>
      </c>
      <c r="DO174" s="228">
        <v>1.41</v>
      </c>
      <c r="DP174" s="228">
        <v>1.41</v>
      </c>
      <c r="DQ174" s="228">
        <v>0.54</v>
      </c>
      <c r="DR174" s="228">
        <v>0.54</v>
      </c>
      <c r="DS174" s="228">
        <v>0</v>
      </c>
      <c r="DT174" s="229">
        <v>0</v>
      </c>
      <c r="DU174" s="228">
        <v>150</v>
      </c>
      <c r="DV174" s="228">
        <v>135</v>
      </c>
      <c r="DW174" s="228">
        <v>0.48</v>
      </c>
      <c r="DX174" s="228">
        <v>0.26</v>
      </c>
      <c r="DY174" s="228">
        <v>0.22</v>
      </c>
      <c r="DZ174" s="229">
        <v>0.84619999999999995</v>
      </c>
      <c r="EA174" s="229">
        <v>5.8099999999999999E-2</v>
      </c>
      <c r="EB174" s="230">
        <v>6673600</v>
      </c>
      <c r="EC174" s="229">
        <v>4.1999999999999997E-3</v>
      </c>
      <c r="ED174" s="229">
        <v>5.8099999999999999E-2</v>
      </c>
      <c r="EE174" s="228">
        <v>1.32</v>
      </c>
      <c r="EF174" s="229">
        <v>8.8999999999999999E-3</v>
      </c>
      <c r="EG174" s="230">
        <v>1785299</v>
      </c>
      <c r="EH174" s="230">
        <v>2281135</v>
      </c>
      <c r="EI174" s="229">
        <v>-0.21740000000000001</v>
      </c>
      <c r="EJ174" s="229">
        <v>0.4602</v>
      </c>
      <c r="EK174" s="228">
        <v>3.98</v>
      </c>
      <c r="EL174" s="228">
        <v>1.77</v>
      </c>
      <c r="EM174" s="228">
        <v>5.73</v>
      </c>
      <c r="EN174" s="228">
        <v>1.59</v>
      </c>
      <c r="EO174" s="228">
        <v>11.48</v>
      </c>
      <c r="EP174" s="228">
        <v>8.76</v>
      </c>
      <c r="EQ174" s="228">
        <v>2.72</v>
      </c>
      <c r="ER174" s="229">
        <v>0.31080000000000002</v>
      </c>
      <c r="ES174" s="228">
        <v>467.5</v>
      </c>
      <c r="ET174" s="228">
        <v>233.25</v>
      </c>
      <c r="EU174" s="231">
        <v>1708.43</v>
      </c>
      <c r="EV174" s="231">
        <v>122326971</v>
      </c>
      <c r="EW174" s="231">
        <v>2409.1799999999998</v>
      </c>
      <c r="EX174" s="231">
        <v>2404.29</v>
      </c>
      <c r="EY174" s="228">
        <v>4.8899999999999997</v>
      </c>
      <c r="EZ174" s="229">
        <v>2E-3</v>
      </c>
      <c r="FA174" s="229">
        <v>1.3295999999999999</v>
      </c>
      <c r="FB174" s="227" t="s">
        <v>556</v>
      </c>
      <c r="FC174">
        <f t="shared" si="3"/>
        <v>0</v>
      </c>
    </row>
    <row r="175" spans="1:159" ht="17.25" thickBot="1" x14ac:dyDescent="0.3">
      <c r="A175" s="226">
        <v>46064</v>
      </c>
      <c r="B175" s="227" t="s">
        <v>175</v>
      </c>
      <c r="C175" s="227" t="s">
        <v>536</v>
      </c>
      <c r="D175" s="228">
        <v>800</v>
      </c>
      <c r="E175" s="228">
        <v>13</v>
      </c>
      <c r="F175" s="228">
        <v>765.7</v>
      </c>
      <c r="G175" s="228">
        <v>760.75</v>
      </c>
      <c r="H175" s="228">
        <v>4.95</v>
      </c>
      <c r="I175" s="229">
        <v>6.4999999999999997E-3</v>
      </c>
      <c r="J175" s="228">
        <v>768.85</v>
      </c>
      <c r="K175" s="228">
        <v>765.9</v>
      </c>
      <c r="L175" s="228">
        <v>2.95</v>
      </c>
      <c r="M175" s="229">
        <v>3.8999999999999998E-3</v>
      </c>
      <c r="N175" s="228">
        <v>765.7</v>
      </c>
      <c r="O175" s="228">
        <v>760.75</v>
      </c>
      <c r="P175" s="228">
        <v>4.95</v>
      </c>
      <c r="Q175" s="229">
        <v>6.4999999999999997E-3</v>
      </c>
      <c r="R175" s="228">
        <v>752.4</v>
      </c>
      <c r="S175" s="228">
        <v>749</v>
      </c>
      <c r="T175" s="228">
        <v>3.4</v>
      </c>
      <c r="U175" s="229">
        <v>4.4999999999999997E-3</v>
      </c>
      <c r="V175" s="228">
        <v>745.75</v>
      </c>
      <c r="W175" s="228">
        <v>743.15</v>
      </c>
      <c r="X175" s="228">
        <v>2.6</v>
      </c>
      <c r="Y175" s="229">
        <v>3.5000000000000001E-3</v>
      </c>
      <c r="Z175" s="228">
        <v>-3.15</v>
      </c>
      <c r="AA175" s="228">
        <v>-5.15</v>
      </c>
      <c r="AB175" s="228">
        <v>2</v>
      </c>
      <c r="AC175" s="229">
        <v>-4.1000000000000003E-3</v>
      </c>
      <c r="AD175" s="228">
        <v>-3.15</v>
      </c>
      <c r="AE175" s="228">
        <v>-5.15</v>
      </c>
      <c r="AF175" s="228">
        <v>2</v>
      </c>
      <c r="AG175" s="229">
        <v>-4.1000000000000003E-3</v>
      </c>
      <c r="AH175" s="228">
        <v>-16.45</v>
      </c>
      <c r="AI175" s="228">
        <v>-16.899999999999999</v>
      </c>
      <c r="AJ175" s="228">
        <v>0.45</v>
      </c>
      <c r="AK175" s="229">
        <v>-2.1399999999999999E-2</v>
      </c>
      <c r="AL175" s="228">
        <v>-23.1</v>
      </c>
      <c r="AM175" s="228">
        <v>-22.75</v>
      </c>
      <c r="AN175" s="228">
        <v>-0.35</v>
      </c>
      <c r="AO175" s="229">
        <v>-0.03</v>
      </c>
      <c r="AP175" s="228">
        <v>759.59</v>
      </c>
      <c r="AQ175" s="228">
        <v>745.12</v>
      </c>
      <c r="AR175" s="228">
        <v>0</v>
      </c>
      <c r="AS175" s="228">
        <v>220</v>
      </c>
      <c r="AT175" s="228">
        <v>195</v>
      </c>
      <c r="AU175" s="228">
        <v>25</v>
      </c>
      <c r="AV175" s="229">
        <v>0.1305</v>
      </c>
      <c r="AW175" s="228">
        <v>161</v>
      </c>
      <c r="AX175" s="228">
        <v>151</v>
      </c>
      <c r="AY175" s="228">
        <v>10</v>
      </c>
      <c r="AZ175" s="229">
        <v>6.6900000000000001E-2</v>
      </c>
      <c r="BA175" s="228">
        <v>52</v>
      </c>
      <c r="BB175" s="228">
        <v>39</v>
      </c>
      <c r="BC175" s="228">
        <v>13</v>
      </c>
      <c r="BD175" s="229">
        <v>0.32140000000000002</v>
      </c>
      <c r="BE175" s="228">
        <v>7</v>
      </c>
      <c r="BF175" s="228">
        <v>4</v>
      </c>
      <c r="BG175" s="228">
        <v>3</v>
      </c>
      <c r="BH175" s="229">
        <v>0.60270000000000001</v>
      </c>
      <c r="BI175" s="228">
        <v>355</v>
      </c>
      <c r="BJ175" s="228">
        <v>309</v>
      </c>
      <c r="BK175" s="228">
        <v>46</v>
      </c>
      <c r="BL175" s="229">
        <v>0.14799999999999999</v>
      </c>
      <c r="BM175" s="228">
        <v>125</v>
      </c>
      <c r="BN175" s="228">
        <v>141</v>
      </c>
      <c r="BO175" s="228">
        <v>-16</v>
      </c>
      <c r="BP175" s="229">
        <v>-0.115</v>
      </c>
      <c r="BQ175" s="228">
        <v>700</v>
      </c>
      <c r="BR175" s="228">
        <v>645</v>
      </c>
      <c r="BS175" s="228">
        <v>55</v>
      </c>
      <c r="BT175" s="229">
        <v>8.5199999999999998E-2</v>
      </c>
      <c r="BU175" s="230">
        <v>1490442</v>
      </c>
      <c r="BV175" s="230">
        <v>869545</v>
      </c>
      <c r="BW175" s="230">
        <v>620897</v>
      </c>
      <c r="BX175" s="229">
        <v>0.71399999999999997</v>
      </c>
      <c r="BY175" s="230">
        <v>1618</v>
      </c>
      <c r="BZ175" s="230">
        <v>1591</v>
      </c>
      <c r="CA175" s="228">
        <v>27</v>
      </c>
      <c r="CB175" s="229">
        <v>1.6899999999999998E-2</v>
      </c>
      <c r="CC175" s="230">
        <v>1432</v>
      </c>
      <c r="CD175" s="230">
        <v>1432</v>
      </c>
      <c r="CE175" s="228">
        <v>1</v>
      </c>
      <c r="CF175" s="229">
        <v>4.0000000000000002E-4</v>
      </c>
      <c r="CG175" s="228">
        <v>160</v>
      </c>
      <c r="CH175" s="228">
        <v>136</v>
      </c>
      <c r="CI175" s="228">
        <v>24</v>
      </c>
      <c r="CJ175" s="229">
        <v>0.1777</v>
      </c>
      <c r="CK175" s="228">
        <v>26</v>
      </c>
      <c r="CL175" s="228">
        <v>23</v>
      </c>
      <c r="CM175" s="228">
        <v>2</v>
      </c>
      <c r="CN175" s="229">
        <v>9.1600000000000001E-2</v>
      </c>
      <c r="CO175" s="228">
        <v>665</v>
      </c>
      <c r="CP175" s="228">
        <v>686</v>
      </c>
      <c r="CQ175" s="228">
        <v>-21</v>
      </c>
      <c r="CR175" s="229">
        <v>-3.0700000000000002E-2</v>
      </c>
      <c r="CS175" s="228">
        <v>387</v>
      </c>
      <c r="CT175" s="228">
        <v>389</v>
      </c>
      <c r="CU175" s="228">
        <v>-2</v>
      </c>
      <c r="CV175" s="229">
        <v>-4.7000000000000002E-3</v>
      </c>
      <c r="CW175" s="230">
        <v>2670</v>
      </c>
      <c r="CX175" s="230">
        <v>2666</v>
      </c>
      <c r="CY175" s="228">
        <v>4</v>
      </c>
      <c r="CZ175" s="229">
        <v>1.5E-3</v>
      </c>
      <c r="DA175" s="228">
        <v>28.15</v>
      </c>
      <c r="DB175" s="228">
        <v>28.34</v>
      </c>
      <c r="DC175" s="228">
        <v>-0.19</v>
      </c>
      <c r="DD175" s="228">
        <v>-0.19</v>
      </c>
      <c r="DE175" s="228">
        <v>29.52</v>
      </c>
      <c r="DF175" s="228">
        <v>29.59</v>
      </c>
      <c r="DG175" s="228">
        <v>-1.37</v>
      </c>
      <c r="DH175" s="228">
        <v>-7.0000000000000007E-2</v>
      </c>
      <c r="DI175" s="228">
        <v>28.28</v>
      </c>
      <c r="DJ175" s="228">
        <v>28.71</v>
      </c>
      <c r="DK175" s="228">
        <v>-0.43</v>
      </c>
      <c r="DL175" s="228">
        <v>-0.43</v>
      </c>
      <c r="DM175" s="228">
        <v>27.76</v>
      </c>
      <c r="DN175" s="228">
        <v>27.52</v>
      </c>
      <c r="DO175" s="228">
        <v>0.24</v>
      </c>
      <c r="DP175" s="228">
        <v>0.24</v>
      </c>
      <c r="DQ175" s="228">
        <v>0.57999999999999996</v>
      </c>
      <c r="DR175" s="228">
        <v>0.56999999999999995</v>
      </c>
      <c r="DS175" s="228">
        <v>0.01</v>
      </c>
      <c r="DT175" s="229">
        <v>1.7500000000000002E-2</v>
      </c>
      <c r="DU175" s="228">
        <v>800</v>
      </c>
      <c r="DV175" s="228">
        <v>660</v>
      </c>
      <c r="DW175" s="228">
        <v>0.35</v>
      </c>
      <c r="DX175" s="228">
        <v>0.46</v>
      </c>
      <c r="DY175" s="228">
        <v>-0.11</v>
      </c>
      <c r="DZ175" s="229">
        <v>-0.23910000000000001</v>
      </c>
      <c r="EA175" s="229">
        <v>0.1147</v>
      </c>
      <c r="EB175" s="230">
        <v>2079200</v>
      </c>
      <c r="EC175" s="229">
        <v>-1.7399999999999999E-2</v>
      </c>
      <c r="ED175" s="229">
        <v>0.1147</v>
      </c>
      <c r="EE175" s="228">
        <v>-14.47</v>
      </c>
      <c r="EF175" s="229">
        <v>-1.9E-2</v>
      </c>
      <c r="EG175" s="230">
        <v>942106</v>
      </c>
      <c r="EH175" s="230">
        <v>529595</v>
      </c>
      <c r="EI175" s="229">
        <v>0.77890000000000004</v>
      </c>
      <c r="EJ175" s="229">
        <v>0.6321</v>
      </c>
      <c r="EK175" s="228">
        <v>373.02</v>
      </c>
      <c r="EL175" s="228">
        <v>122.44</v>
      </c>
      <c r="EM175" s="228">
        <v>217.28</v>
      </c>
      <c r="EN175" s="228">
        <v>30.65</v>
      </c>
      <c r="EO175" s="228">
        <v>712.74</v>
      </c>
      <c r="EP175" s="228">
        <v>659.49</v>
      </c>
      <c r="EQ175" s="228">
        <v>53.24</v>
      </c>
      <c r="ER175" s="229">
        <v>8.0699999999999994E-2</v>
      </c>
      <c r="ES175" s="228">
        <v>716.11</v>
      </c>
      <c r="ET175" s="228">
        <v>379.48</v>
      </c>
      <c r="EU175" s="231">
        <v>1614.33</v>
      </c>
      <c r="EV175" s="231">
        <v>44836888</v>
      </c>
      <c r="EW175" s="231">
        <v>2709.91</v>
      </c>
      <c r="EX175" s="231">
        <v>2698.14</v>
      </c>
      <c r="EY175" s="228">
        <v>11.77</v>
      </c>
      <c r="EZ175" s="229">
        <v>4.4000000000000003E-3</v>
      </c>
      <c r="FA175" s="229">
        <v>0.77780000000000005</v>
      </c>
      <c r="FB175" s="227" t="s">
        <v>555</v>
      </c>
      <c r="FC175">
        <f t="shared" si="3"/>
        <v>0</v>
      </c>
    </row>
    <row r="176" spans="1:159" ht="17.25" thickBot="1" x14ac:dyDescent="0.3">
      <c r="A176" s="226">
        <v>46064</v>
      </c>
      <c r="B176" s="227" t="s">
        <v>175</v>
      </c>
      <c r="C176" s="227" t="s">
        <v>462</v>
      </c>
      <c r="D176" s="228">
        <v>375</v>
      </c>
      <c r="E176" s="228">
        <v>13</v>
      </c>
      <c r="F176" s="231">
        <v>2028.8</v>
      </c>
      <c r="G176" s="231">
        <v>2023.4</v>
      </c>
      <c r="H176" s="228">
        <v>5.4</v>
      </c>
      <c r="I176" s="229">
        <v>2.7000000000000001E-3</v>
      </c>
      <c r="J176" s="231">
        <v>2026.3</v>
      </c>
      <c r="K176" s="231">
        <v>2018.3</v>
      </c>
      <c r="L176" s="228">
        <v>8</v>
      </c>
      <c r="M176" s="229">
        <v>4.0000000000000001E-3</v>
      </c>
      <c r="N176" s="231">
        <v>2028.8</v>
      </c>
      <c r="O176" s="231">
        <v>2023.4</v>
      </c>
      <c r="P176" s="228">
        <v>5.4</v>
      </c>
      <c r="Q176" s="229">
        <v>2.7000000000000001E-3</v>
      </c>
      <c r="R176" s="231">
        <v>2040.8</v>
      </c>
      <c r="S176" s="231">
        <v>2033.6</v>
      </c>
      <c r="T176" s="228">
        <v>7.2</v>
      </c>
      <c r="U176" s="229">
        <v>3.5000000000000001E-3</v>
      </c>
      <c r="V176" s="231">
        <v>2044.9</v>
      </c>
      <c r="W176" s="231">
        <v>2033</v>
      </c>
      <c r="X176" s="228">
        <v>11.9</v>
      </c>
      <c r="Y176" s="229">
        <v>5.8999999999999999E-3</v>
      </c>
      <c r="Z176" s="228">
        <v>2.5</v>
      </c>
      <c r="AA176" s="228">
        <v>5.0999999999999996</v>
      </c>
      <c r="AB176" s="228">
        <v>-2.6</v>
      </c>
      <c r="AC176" s="229">
        <v>1.1999999999999999E-3</v>
      </c>
      <c r="AD176" s="228">
        <v>2.5</v>
      </c>
      <c r="AE176" s="228">
        <v>5.0999999999999996</v>
      </c>
      <c r="AF176" s="228">
        <v>-2.6</v>
      </c>
      <c r="AG176" s="229">
        <v>1.1999999999999999E-3</v>
      </c>
      <c r="AH176" s="228">
        <v>14.5</v>
      </c>
      <c r="AI176" s="228">
        <v>15.3</v>
      </c>
      <c r="AJ176" s="228">
        <v>-0.8</v>
      </c>
      <c r="AK176" s="229">
        <v>7.1999999999999998E-3</v>
      </c>
      <c r="AL176" s="228">
        <v>18.600000000000001</v>
      </c>
      <c r="AM176" s="228">
        <v>14.7</v>
      </c>
      <c r="AN176" s="228">
        <v>3.9</v>
      </c>
      <c r="AO176" s="229">
        <v>9.1999999999999998E-3</v>
      </c>
      <c r="AP176" s="231">
        <v>2030.9</v>
      </c>
      <c r="AQ176" s="231">
        <v>2043.97</v>
      </c>
      <c r="AR176" s="228">
        <v>0</v>
      </c>
      <c r="AS176" s="228">
        <v>196</v>
      </c>
      <c r="AT176" s="228">
        <v>236</v>
      </c>
      <c r="AU176" s="228">
        <v>-40</v>
      </c>
      <c r="AV176" s="229">
        <v>-0.16889999999999999</v>
      </c>
      <c r="AW176" s="228">
        <v>189</v>
      </c>
      <c r="AX176" s="228">
        <v>227</v>
      </c>
      <c r="AY176" s="228">
        <v>-38</v>
      </c>
      <c r="AZ176" s="229">
        <v>-0.16589999999999999</v>
      </c>
      <c r="BA176" s="228">
        <v>6</v>
      </c>
      <c r="BB176" s="228">
        <v>8</v>
      </c>
      <c r="BC176" s="228">
        <v>-2</v>
      </c>
      <c r="BD176" s="229">
        <v>-0.2727</v>
      </c>
      <c r="BE176" s="228">
        <v>0</v>
      </c>
      <c r="BF176" s="228">
        <v>0</v>
      </c>
      <c r="BG176" s="228">
        <v>0</v>
      </c>
      <c r="BH176" s="229">
        <v>0.66669999999999996</v>
      </c>
      <c r="BI176" s="228">
        <v>560</v>
      </c>
      <c r="BJ176" s="228">
        <v>822</v>
      </c>
      <c r="BK176" s="228">
        <v>-262</v>
      </c>
      <c r="BL176" s="229">
        <v>-0.31850000000000001</v>
      </c>
      <c r="BM176" s="228">
        <v>226</v>
      </c>
      <c r="BN176" s="228">
        <v>383</v>
      </c>
      <c r="BO176" s="228">
        <v>-158</v>
      </c>
      <c r="BP176" s="229">
        <v>-0.41160000000000002</v>
      </c>
      <c r="BQ176" s="228">
        <v>981</v>
      </c>
      <c r="BR176" s="230">
        <v>1440</v>
      </c>
      <c r="BS176" s="228">
        <v>-459</v>
      </c>
      <c r="BT176" s="229">
        <v>-0.31879999999999997</v>
      </c>
      <c r="BU176" s="230">
        <v>674728</v>
      </c>
      <c r="BV176" s="230">
        <v>588941</v>
      </c>
      <c r="BW176" s="230">
        <v>85787</v>
      </c>
      <c r="BX176" s="229">
        <v>0.1457</v>
      </c>
      <c r="BY176" s="230">
        <v>2045</v>
      </c>
      <c r="BZ176" s="230">
        <v>2066</v>
      </c>
      <c r="CA176" s="228">
        <v>-21</v>
      </c>
      <c r="CB176" s="229">
        <v>-1.0200000000000001E-2</v>
      </c>
      <c r="CC176" s="230">
        <v>1998</v>
      </c>
      <c r="CD176" s="230">
        <v>2018</v>
      </c>
      <c r="CE176" s="228">
        <v>-20</v>
      </c>
      <c r="CF176" s="229">
        <v>-9.7000000000000003E-3</v>
      </c>
      <c r="CG176" s="228">
        <v>40</v>
      </c>
      <c r="CH176" s="228">
        <v>42</v>
      </c>
      <c r="CI176" s="228">
        <v>-2</v>
      </c>
      <c r="CJ176" s="229">
        <v>-4.0300000000000002E-2</v>
      </c>
      <c r="CK176" s="228">
        <v>7</v>
      </c>
      <c r="CL176" s="228">
        <v>7</v>
      </c>
      <c r="CM176" s="228">
        <v>0</v>
      </c>
      <c r="CN176" s="229">
        <v>2.1499999999999998E-2</v>
      </c>
      <c r="CO176" s="230">
        <v>1088</v>
      </c>
      <c r="CP176" s="230">
        <v>1102</v>
      </c>
      <c r="CQ176" s="228">
        <v>-14</v>
      </c>
      <c r="CR176" s="229">
        <v>-1.2999999999999999E-2</v>
      </c>
      <c r="CS176" s="228">
        <v>406</v>
      </c>
      <c r="CT176" s="228">
        <v>415</v>
      </c>
      <c r="CU176" s="228">
        <v>-9</v>
      </c>
      <c r="CV176" s="229">
        <v>-2.07E-2</v>
      </c>
      <c r="CW176" s="230">
        <v>3539</v>
      </c>
      <c r="CX176" s="230">
        <v>3583</v>
      </c>
      <c r="CY176" s="228">
        <v>-44</v>
      </c>
      <c r="CZ176" s="229">
        <v>-1.23E-2</v>
      </c>
      <c r="DA176" s="228">
        <v>16.809999999999999</v>
      </c>
      <c r="DB176" s="228">
        <v>17.309999999999999</v>
      </c>
      <c r="DC176" s="228">
        <v>-0.5</v>
      </c>
      <c r="DD176" s="228">
        <v>-0.5</v>
      </c>
      <c r="DE176" s="228">
        <v>23.72</v>
      </c>
      <c r="DF176" s="228">
        <v>23.77</v>
      </c>
      <c r="DG176" s="228">
        <v>-6.91</v>
      </c>
      <c r="DH176" s="228">
        <v>-0.05</v>
      </c>
      <c r="DI176" s="228">
        <v>16.12</v>
      </c>
      <c r="DJ176" s="228">
        <v>16.72</v>
      </c>
      <c r="DK176" s="228">
        <v>-0.6</v>
      </c>
      <c r="DL176" s="228">
        <v>-0.6</v>
      </c>
      <c r="DM176" s="228">
        <v>18.52</v>
      </c>
      <c r="DN176" s="228">
        <v>18.579999999999998</v>
      </c>
      <c r="DO176" s="228">
        <v>-0.06</v>
      </c>
      <c r="DP176" s="228">
        <v>-0.06</v>
      </c>
      <c r="DQ176" s="228">
        <v>0.37</v>
      </c>
      <c r="DR176" s="228">
        <v>0.38</v>
      </c>
      <c r="DS176" s="228">
        <v>-0.01</v>
      </c>
      <c r="DT176" s="229">
        <v>-2.63E-2</v>
      </c>
      <c r="DU176" s="231">
        <v>2040</v>
      </c>
      <c r="DV176" s="231">
        <v>2000</v>
      </c>
      <c r="DW176" s="228">
        <v>0.4</v>
      </c>
      <c r="DX176" s="228">
        <v>0.47</v>
      </c>
      <c r="DY176" s="228">
        <v>-7.0000000000000007E-2</v>
      </c>
      <c r="DZ176" s="229">
        <v>-0.1489</v>
      </c>
      <c r="EA176" s="229">
        <v>2.3E-2</v>
      </c>
      <c r="EB176" s="230">
        <v>239625</v>
      </c>
      <c r="EC176" s="229">
        <v>5.8999999999999999E-3</v>
      </c>
      <c r="ED176" s="229">
        <v>2.3E-2</v>
      </c>
      <c r="EE176" s="228">
        <v>13.07</v>
      </c>
      <c r="EF176" s="229">
        <v>6.4000000000000003E-3</v>
      </c>
      <c r="EG176" s="230">
        <v>364095</v>
      </c>
      <c r="EH176" s="230">
        <v>315254</v>
      </c>
      <c r="EI176" s="229">
        <v>0.15490000000000001</v>
      </c>
      <c r="EJ176" s="229">
        <v>0.53959999999999997</v>
      </c>
      <c r="EK176" s="228">
        <v>572.62</v>
      </c>
      <c r="EL176" s="228">
        <v>221.57</v>
      </c>
      <c r="EM176" s="228">
        <v>196</v>
      </c>
      <c r="EN176" s="228">
        <v>32.590000000000003</v>
      </c>
      <c r="EO176" s="228">
        <v>990.19</v>
      </c>
      <c r="EP176" s="231">
        <v>1454.46</v>
      </c>
      <c r="EQ176" s="228">
        <v>-464.27</v>
      </c>
      <c r="ER176" s="229">
        <v>-0.31919999999999998</v>
      </c>
      <c r="ES176" s="231">
        <v>1124.56</v>
      </c>
      <c r="ET176" s="228">
        <v>392.56</v>
      </c>
      <c r="EU176" s="231">
        <v>2045.55</v>
      </c>
      <c r="EV176" s="231">
        <v>44756800</v>
      </c>
      <c r="EW176" s="231">
        <v>3562.68</v>
      </c>
      <c r="EX176" s="231">
        <v>3601.22</v>
      </c>
      <c r="EY176" s="228">
        <v>-38.54</v>
      </c>
      <c r="EZ176" s="229">
        <v>-1.0699999999999999E-2</v>
      </c>
      <c r="FA176" s="229">
        <v>0.38979999999999998</v>
      </c>
      <c r="FB176" s="227" t="s">
        <v>556</v>
      </c>
      <c r="FC176">
        <f t="shared" si="3"/>
        <v>0</v>
      </c>
    </row>
    <row r="177" spans="1:159" ht="17.25" thickBot="1" x14ac:dyDescent="0.3">
      <c r="A177" s="226">
        <v>46064</v>
      </c>
      <c r="B177" s="227" t="s">
        <v>172</v>
      </c>
      <c r="C177" s="227" t="s">
        <v>283</v>
      </c>
      <c r="D177" s="228">
        <v>750</v>
      </c>
      <c r="E177" s="228">
        <v>13</v>
      </c>
      <c r="F177" s="231">
        <v>1180.0999999999999</v>
      </c>
      <c r="G177" s="231">
        <v>1142.4000000000001</v>
      </c>
      <c r="H177" s="228">
        <v>37.700000000000003</v>
      </c>
      <c r="I177" s="229">
        <v>3.3000000000000002E-2</v>
      </c>
      <c r="J177" s="231">
        <v>1182.9000000000001</v>
      </c>
      <c r="K177" s="231">
        <v>1144.0999999999999</v>
      </c>
      <c r="L177" s="228">
        <v>38.799999999999997</v>
      </c>
      <c r="M177" s="229">
        <v>3.39E-2</v>
      </c>
      <c r="N177" s="231">
        <v>1180.0999999999999</v>
      </c>
      <c r="O177" s="231">
        <v>1142.4000000000001</v>
      </c>
      <c r="P177" s="228">
        <v>37.700000000000003</v>
      </c>
      <c r="Q177" s="229">
        <v>3.3000000000000002E-2</v>
      </c>
      <c r="R177" s="231">
        <v>1187.5999999999999</v>
      </c>
      <c r="S177" s="231">
        <v>1149.5999999999999</v>
      </c>
      <c r="T177" s="228">
        <v>38</v>
      </c>
      <c r="U177" s="229">
        <v>3.3099999999999997E-2</v>
      </c>
      <c r="V177" s="231">
        <v>1194.5</v>
      </c>
      <c r="W177" s="231">
        <v>1156</v>
      </c>
      <c r="X177" s="228">
        <v>38.5</v>
      </c>
      <c r="Y177" s="229">
        <v>3.3300000000000003E-2</v>
      </c>
      <c r="Z177" s="228">
        <v>-2.8</v>
      </c>
      <c r="AA177" s="228">
        <v>-1.7</v>
      </c>
      <c r="AB177" s="228">
        <v>-1.1000000000000001</v>
      </c>
      <c r="AC177" s="229">
        <v>-2.3999999999999998E-3</v>
      </c>
      <c r="AD177" s="228">
        <v>-2.8</v>
      </c>
      <c r="AE177" s="228">
        <v>-1.7</v>
      </c>
      <c r="AF177" s="228">
        <v>-1.1000000000000001</v>
      </c>
      <c r="AG177" s="229">
        <v>-2.3999999999999998E-3</v>
      </c>
      <c r="AH177" s="228">
        <v>4.7</v>
      </c>
      <c r="AI177" s="228">
        <v>5.5</v>
      </c>
      <c r="AJ177" s="228">
        <v>-0.8</v>
      </c>
      <c r="AK177" s="229">
        <v>4.0000000000000001E-3</v>
      </c>
      <c r="AL177" s="228">
        <v>11.6</v>
      </c>
      <c r="AM177" s="228">
        <v>11.9</v>
      </c>
      <c r="AN177" s="228">
        <v>-0.3</v>
      </c>
      <c r="AO177" s="229">
        <v>9.7999999999999997E-3</v>
      </c>
      <c r="AP177" s="231">
        <v>1169.07</v>
      </c>
      <c r="AQ177" s="231">
        <v>1177.04</v>
      </c>
      <c r="AR177" s="228">
        <v>0</v>
      </c>
      <c r="AS177" s="230">
        <v>4434</v>
      </c>
      <c r="AT177" s="230">
        <v>1972</v>
      </c>
      <c r="AU177" s="230">
        <v>2462</v>
      </c>
      <c r="AV177" s="229">
        <v>1.2488999999999999</v>
      </c>
      <c r="AW177" s="230">
        <v>3766</v>
      </c>
      <c r="AX177" s="230">
        <v>1801</v>
      </c>
      <c r="AY177" s="230">
        <v>1965</v>
      </c>
      <c r="AZ177" s="229">
        <v>1.0913999999999999</v>
      </c>
      <c r="BA177" s="228">
        <v>574</v>
      </c>
      <c r="BB177" s="228">
        <v>149</v>
      </c>
      <c r="BC177" s="228">
        <v>425</v>
      </c>
      <c r="BD177" s="229">
        <v>2.8447</v>
      </c>
      <c r="BE177" s="228">
        <v>94</v>
      </c>
      <c r="BF177" s="228">
        <v>22</v>
      </c>
      <c r="BG177" s="228">
        <v>72</v>
      </c>
      <c r="BH177" s="229">
        <v>3.3388</v>
      </c>
      <c r="BI177" s="230">
        <v>44186</v>
      </c>
      <c r="BJ177" s="230">
        <v>14561</v>
      </c>
      <c r="BK177" s="230">
        <v>29625</v>
      </c>
      <c r="BL177" s="229">
        <v>2.0345</v>
      </c>
      <c r="BM177" s="230">
        <v>26737</v>
      </c>
      <c r="BN177" s="230">
        <v>10058</v>
      </c>
      <c r="BO177" s="230">
        <v>16679</v>
      </c>
      <c r="BP177" s="229">
        <v>1.6583000000000001</v>
      </c>
      <c r="BQ177" s="230">
        <v>75358</v>
      </c>
      <c r="BR177" s="230">
        <v>26591</v>
      </c>
      <c r="BS177" s="230">
        <v>48767</v>
      </c>
      <c r="BT177" s="229">
        <v>1.8340000000000001</v>
      </c>
      <c r="BU177" s="230">
        <v>31806234</v>
      </c>
      <c r="BV177" s="230">
        <v>18053002</v>
      </c>
      <c r="BW177" s="230">
        <v>13753232</v>
      </c>
      <c r="BX177" s="229">
        <v>0.76180000000000003</v>
      </c>
      <c r="BY177" s="230">
        <v>7712</v>
      </c>
      <c r="BZ177" s="230">
        <v>7410</v>
      </c>
      <c r="CA177" s="228">
        <v>302</v>
      </c>
      <c r="CB177" s="229">
        <v>4.0800000000000003E-2</v>
      </c>
      <c r="CC177" s="230">
        <v>6689</v>
      </c>
      <c r="CD177" s="230">
        <v>6589</v>
      </c>
      <c r="CE177" s="228">
        <v>100</v>
      </c>
      <c r="CF177" s="229">
        <v>1.52E-2</v>
      </c>
      <c r="CG177" s="228">
        <v>878</v>
      </c>
      <c r="CH177" s="228">
        <v>699</v>
      </c>
      <c r="CI177" s="228">
        <v>179</v>
      </c>
      <c r="CJ177" s="229">
        <v>0.25530000000000003</v>
      </c>
      <c r="CK177" s="228">
        <v>146</v>
      </c>
      <c r="CL177" s="228">
        <v>122</v>
      </c>
      <c r="CM177" s="228">
        <v>23</v>
      </c>
      <c r="CN177" s="229">
        <v>0.192</v>
      </c>
      <c r="CO177" s="230">
        <v>7555</v>
      </c>
      <c r="CP177" s="230">
        <v>7196</v>
      </c>
      <c r="CQ177" s="228">
        <v>359</v>
      </c>
      <c r="CR177" s="229">
        <v>4.99E-2</v>
      </c>
      <c r="CS177" s="230">
        <v>10029</v>
      </c>
      <c r="CT177" s="230">
        <v>8092</v>
      </c>
      <c r="CU177" s="230">
        <v>1936</v>
      </c>
      <c r="CV177" s="229">
        <v>0.23930000000000001</v>
      </c>
      <c r="CW177" s="230">
        <v>25296</v>
      </c>
      <c r="CX177" s="230">
        <v>22698</v>
      </c>
      <c r="CY177" s="230">
        <v>2598</v>
      </c>
      <c r="CZ177" s="229">
        <v>0.1144</v>
      </c>
      <c r="DA177" s="228">
        <v>25.33</v>
      </c>
      <c r="DB177" s="228">
        <v>22.1</v>
      </c>
      <c r="DC177" s="228">
        <v>3.23</v>
      </c>
      <c r="DD177" s="228">
        <v>3.23</v>
      </c>
      <c r="DE177" s="228">
        <v>27.42</v>
      </c>
      <c r="DF177" s="228">
        <v>27.11</v>
      </c>
      <c r="DG177" s="228">
        <v>-2.09</v>
      </c>
      <c r="DH177" s="228">
        <v>0.31</v>
      </c>
      <c r="DI177" s="228">
        <v>23.94</v>
      </c>
      <c r="DJ177" s="228">
        <v>20.94</v>
      </c>
      <c r="DK177" s="228">
        <v>3</v>
      </c>
      <c r="DL177" s="228">
        <v>3</v>
      </c>
      <c r="DM177" s="228">
        <v>27.64</v>
      </c>
      <c r="DN177" s="228">
        <v>23.78</v>
      </c>
      <c r="DO177" s="228">
        <v>3.86</v>
      </c>
      <c r="DP177" s="228">
        <v>3.86</v>
      </c>
      <c r="DQ177" s="228">
        <v>1.33</v>
      </c>
      <c r="DR177" s="228">
        <v>1.1200000000000001</v>
      </c>
      <c r="DS177" s="228">
        <v>0.21</v>
      </c>
      <c r="DT177" s="229">
        <v>0.1875</v>
      </c>
      <c r="DU177" s="231">
        <v>1200</v>
      </c>
      <c r="DV177" s="231">
        <v>1100</v>
      </c>
      <c r="DW177" s="228">
        <v>0.61</v>
      </c>
      <c r="DX177" s="228">
        <v>0.69</v>
      </c>
      <c r="DY177" s="228">
        <v>-0.08</v>
      </c>
      <c r="DZ177" s="229">
        <v>-0.1159</v>
      </c>
      <c r="EA177" s="229">
        <v>0.13270000000000001</v>
      </c>
      <c r="EB177" s="230">
        <v>6960000</v>
      </c>
      <c r="EC177" s="229">
        <v>6.4000000000000003E-3</v>
      </c>
      <c r="ED177" s="229">
        <v>0.13270000000000001</v>
      </c>
      <c r="EE177" s="228">
        <v>7.97</v>
      </c>
      <c r="EF177" s="229">
        <v>6.7999999999999996E-3</v>
      </c>
      <c r="EG177" s="230">
        <v>19033035</v>
      </c>
      <c r="EH177" s="230">
        <v>10925476</v>
      </c>
      <c r="EI177" s="229">
        <v>0.74209999999999998</v>
      </c>
      <c r="EJ177" s="229">
        <v>0.59840000000000004</v>
      </c>
      <c r="EK177" s="231">
        <v>45088.79</v>
      </c>
      <c r="EL177" s="231">
        <v>25663.15</v>
      </c>
      <c r="EM177" s="231">
        <v>4397.8599999999997</v>
      </c>
      <c r="EN177" s="228">
        <v>281.36</v>
      </c>
      <c r="EO177" s="231">
        <v>75149.789999999994</v>
      </c>
      <c r="EP177" s="231">
        <v>25970.07</v>
      </c>
      <c r="EQ177" s="231">
        <v>49179.73</v>
      </c>
      <c r="ER177" s="229">
        <v>1.8936999999999999</v>
      </c>
      <c r="ES177" s="231">
        <v>7350.05</v>
      </c>
      <c r="ET177" s="231">
        <v>9286.31</v>
      </c>
      <c r="EU177" s="231">
        <v>7719.54</v>
      </c>
      <c r="EV177" s="231">
        <v>436949195</v>
      </c>
      <c r="EW177" s="231">
        <v>24355.9</v>
      </c>
      <c r="EX177" s="231">
        <v>21407.97</v>
      </c>
      <c r="EY177" s="231">
        <v>2947.93</v>
      </c>
      <c r="EZ177" s="229">
        <v>0.13769999999999999</v>
      </c>
      <c r="FA177" s="229">
        <v>0.49059999999999998</v>
      </c>
      <c r="FB177" s="227" t="s">
        <v>555</v>
      </c>
      <c r="FC177">
        <f t="shared" si="3"/>
        <v>0</v>
      </c>
    </row>
    <row r="178" spans="1:159" ht="17.25" thickBot="1" x14ac:dyDescent="0.3">
      <c r="A178" s="226">
        <v>46064</v>
      </c>
      <c r="B178" s="227" t="s">
        <v>157</v>
      </c>
      <c r="C178" s="227" t="s">
        <v>284</v>
      </c>
      <c r="D178" s="228">
        <v>25</v>
      </c>
      <c r="E178" s="228">
        <v>13</v>
      </c>
      <c r="F178" s="231">
        <v>26670</v>
      </c>
      <c r="G178" s="231">
        <v>26535</v>
      </c>
      <c r="H178" s="228">
        <v>135</v>
      </c>
      <c r="I178" s="229">
        <v>5.1000000000000004E-3</v>
      </c>
      <c r="J178" s="231">
        <v>26805</v>
      </c>
      <c r="K178" s="231">
        <v>26525</v>
      </c>
      <c r="L178" s="228">
        <v>280</v>
      </c>
      <c r="M178" s="229">
        <v>1.06E-2</v>
      </c>
      <c r="N178" s="231">
        <v>26670</v>
      </c>
      <c r="O178" s="231">
        <v>26535</v>
      </c>
      <c r="P178" s="228">
        <v>135</v>
      </c>
      <c r="Q178" s="229">
        <v>5.1000000000000004E-3</v>
      </c>
      <c r="R178" s="231">
        <v>26555</v>
      </c>
      <c r="S178" s="231">
        <v>26480</v>
      </c>
      <c r="T178" s="228">
        <v>75</v>
      </c>
      <c r="U178" s="229">
        <v>2.8E-3</v>
      </c>
      <c r="V178" s="231">
        <v>26540</v>
      </c>
      <c r="W178" s="231">
        <v>26500</v>
      </c>
      <c r="X178" s="228">
        <v>40</v>
      </c>
      <c r="Y178" s="229">
        <v>1.5E-3</v>
      </c>
      <c r="Z178" s="228">
        <v>-135</v>
      </c>
      <c r="AA178" s="228">
        <v>10</v>
      </c>
      <c r="AB178" s="228">
        <v>-145</v>
      </c>
      <c r="AC178" s="229">
        <v>-5.0000000000000001E-3</v>
      </c>
      <c r="AD178" s="228">
        <v>-135</v>
      </c>
      <c r="AE178" s="228">
        <v>10</v>
      </c>
      <c r="AF178" s="228">
        <v>-145</v>
      </c>
      <c r="AG178" s="229">
        <v>-5.0000000000000001E-3</v>
      </c>
      <c r="AH178" s="228">
        <v>-250</v>
      </c>
      <c r="AI178" s="228">
        <v>-45</v>
      </c>
      <c r="AJ178" s="228">
        <v>-205</v>
      </c>
      <c r="AK178" s="229">
        <v>-9.2999999999999992E-3</v>
      </c>
      <c r="AL178" s="228">
        <v>-265</v>
      </c>
      <c r="AM178" s="228">
        <v>-25</v>
      </c>
      <c r="AN178" s="228">
        <v>-240</v>
      </c>
      <c r="AO178" s="229">
        <v>-9.9000000000000008E-3</v>
      </c>
      <c r="AP178" s="231">
        <v>26607.15</v>
      </c>
      <c r="AQ178" s="231">
        <v>26544.18</v>
      </c>
      <c r="AR178" s="228">
        <v>0</v>
      </c>
      <c r="AS178" s="228">
        <v>159</v>
      </c>
      <c r="AT178" s="228">
        <v>217</v>
      </c>
      <c r="AU178" s="228">
        <v>-58</v>
      </c>
      <c r="AV178" s="229">
        <v>-0.2681</v>
      </c>
      <c r="AW178" s="228">
        <v>123</v>
      </c>
      <c r="AX178" s="228">
        <v>200</v>
      </c>
      <c r="AY178" s="228">
        <v>-77</v>
      </c>
      <c r="AZ178" s="229">
        <v>-0.38279999999999997</v>
      </c>
      <c r="BA178" s="228">
        <v>35</v>
      </c>
      <c r="BB178" s="228">
        <v>16</v>
      </c>
      <c r="BC178" s="228">
        <v>18</v>
      </c>
      <c r="BD178" s="229">
        <v>1.1352</v>
      </c>
      <c r="BE178" s="228">
        <v>1</v>
      </c>
      <c r="BF178" s="228">
        <v>1</v>
      </c>
      <c r="BG178" s="228">
        <v>0</v>
      </c>
      <c r="BH178" s="229">
        <v>-0.17649999999999999</v>
      </c>
      <c r="BI178" s="228">
        <v>652</v>
      </c>
      <c r="BJ178" s="230">
        <v>1066</v>
      </c>
      <c r="BK178" s="228">
        <v>-414</v>
      </c>
      <c r="BL178" s="229">
        <v>-0.38840000000000002</v>
      </c>
      <c r="BM178" s="228">
        <v>176</v>
      </c>
      <c r="BN178" s="228">
        <v>356</v>
      </c>
      <c r="BO178" s="228">
        <v>-180</v>
      </c>
      <c r="BP178" s="229">
        <v>-0.50490000000000002</v>
      </c>
      <c r="BQ178" s="228">
        <v>987</v>
      </c>
      <c r="BR178" s="230">
        <v>1639</v>
      </c>
      <c r="BS178" s="228">
        <v>-652</v>
      </c>
      <c r="BT178" s="229">
        <v>-0.3977</v>
      </c>
      <c r="BU178" s="230">
        <v>25973</v>
      </c>
      <c r="BV178" s="230">
        <v>39992</v>
      </c>
      <c r="BW178" s="230">
        <v>-14019</v>
      </c>
      <c r="BX178" s="229">
        <v>-0.35049999999999998</v>
      </c>
      <c r="BY178" s="228">
        <v>951</v>
      </c>
      <c r="BZ178" s="228">
        <v>929</v>
      </c>
      <c r="CA178" s="228">
        <v>22</v>
      </c>
      <c r="CB178" s="229">
        <v>2.3199999999999998E-2</v>
      </c>
      <c r="CC178" s="228">
        <v>891</v>
      </c>
      <c r="CD178" s="228">
        <v>885</v>
      </c>
      <c r="CE178" s="228">
        <v>6</v>
      </c>
      <c r="CF178" s="229">
        <v>6.8999999999999999E-3</v>
      </c>
      <c r="CG178" s="228">
        <v>57</v>
      </c>
      <c r="CH178" s="228">
        <v>42</v>
      </c>
      <c r="CI178" s="228">
        <v>15</v>
      </c>
      <c r="CJ178" s="229">
        <v>0.35410000000000003</v>
      </c>
      <c r="CK178" s="228">
        <v>3</v>
      </c>
      <c r="CL178" s="228">
        <v>2</v>
      </c>
      <c r="CM178" s="228">
        <v>1</v>
      </c>
      <c r="CN178" s="229">
        <v>0.26469999999999999</v>
      </c>
      <c r="CO178" s="228">
        <v>373</v>
      </c>
      <c r="CP178" s="228">
        <v>397</v>
      </c>
      <c r="CQ178" s="228">
        <v>-24</v>
      </c>
      <c r="CR178" s="229">
        <v>-6.0600000000000001E-2</v>
      </c>
      <c r="CS178" s="228">
        <v>160</v>
      </c>
      <c r="CT178" s="228">
        <v>172</v>
      </c>
      <c r="CU178" s="228">
        <v>-13</v>
      </c>
      <c r="CV178" s="229">
        <v>-7.46E-2</v>
      </c>
      <c r="CW178" s="230">
        <v>1484</v>
      </c>
      <c r="CX178" s="230">
        <v>1499</v>
      </c>
      <c r="CY178" s="228">
        <v>-15</v>
      </c>
      <c r="CZ178" s="229">
        <v>-1.03E-2</v>
      </c>
      <c r="DA178" s="228">
        <v>25.85</v>
      </c>
      <c r="DB178" s="228">
        <v>26.78</v>
      </c>
      <c r="DC178" s="228">
        <v>-0.93</v>
      </c>
      <c r="DD178" s="228">
        <v>-0.93</v>
      </c>
      <c r="DE178" s="228">
        <v>24.21</v>
      </c>
      <c r="DF178" s="228">
        <v>24.26</v>
      </c>
      <c r="DG178" s="228">
        <v>1.64</v>
      </c>
      <c r="DH178" s="228">
        <v>-0.05</v>
      </c>
      <c r="DI178" s="228">
        <v>25.94</v>
      </c>
      <c r="DJ178" s="228">
        <v>27.27</v>
      </c>
      <c r="DK178" s="228">
        <v>-1.33</v>
      </c>
      <c r="DL178" s="228">
        <v>-1.33</v>
      </c>
      <c r="DM178" s="228">
        <v>25.55</v>
      </c>
      <c r="DN178" s="228">
        <v>25.31</v>
      </c>
      <c r="DO178" s="228">
        <v>0.24</v>
      </c>
      <c r="DP178" s="228">
        <v>0.24</v>
      </c>
      <c r="DQ178" s="228">
        <v>0.43</v>
      </c>
      <c r="DR178" s="228">
        <v>0.43</v>
      </c>
      <c r="DS178" s="228">
        <v>0</v>
      </c>
      <c r="DT178" s="229">
        <v>0</v>
      </c>
      <c r="DU178" s="231">
        <v>27000</v>
      </c>
      <c r="DV178" s="231">
        <v>26000</v>
      </c>
      <c r="DW178" s="228">
        <v>0.27</v>
      </c>
      <c r="DX178" s="228">
        <v>0.33</v>
      </c>
      <c r="DY178" s="228">
        <v>-0.06</v>
      </c>
      <c r="DZ178" s="229">
        <v>-0.18179999999999999</v>
      </c>
      <c r="EA178" s="229">
        <v>6.2600000000000003E-2</v>
      </c>
      <c r="EB178" s="230">
        <v>16525</v>
      </c>
      <c r="EC178" s="229">
        <v>-4.3E-3</v>
      </c>
      <c r="ED178" s="229">
        <v>6.2600000000000003E-2</v>
      </c>
      <c r="EE178" s="228">
        <v>-62.97</v>
      </c>
      <c r="EF178" s="229">
        <v>-2.3999999999999998E-3</v>
      </c>
      <c r="EG178" s="230">
        <v>13203</v>
      </c>
      <c r="EH178" s="230">
        <v>16131</v>
      </c>
      <c r="EI178" s="229">
        <v>-0.18149999999999999</v>
      </c>
      <c r="EJ178" s="229">
        <v>0.50829999999999997</v>
      </c>
      <c r="EK178" s="228">
        <v>682.34</v>
      </c>
      <c r="EL178" s="228">
        <v>174.24</v>
      </c>
      <c r="EM178" s="228">
        <v>158.63</v>
      </c>
      <c r="EN178" s="228">
        <v>33.159999999999997</v>
      </c>
      <c r="EO178" s="231">
        <v>1015.21</v>
      </c>
      <c r="EP178" s="231">
        <v>1690.83</v>
      </c>
      <c r="EQ178" s="228">
        <v>-675.63</v>
      </c>
      <c r="ER178" s="229">
        <v>-0.39960000000000001</v>
      </c>
      <c r="ES178" s="228">
        <v>390.09</v>
      </c>
      <c r="ET178" s="228">
        <v>156.74</v>
      </c>
      <c r="EU178" s="228">
        <v>950.53</v>
      </c>
      <c r="EV178" s="231">
        <v>1568093</v>
      </c>
      <c r="EW178" s="231">
        <v>1497.36</v>
      </c>
      <c r="EX178" s="231">
        <v>1508.91</v>
      </c>
      <c r="EY178" s="228">
        <v>-11.55</v>
      </c>
      <c r="EZ178" s="229">
        <v>-7.7000000000000002E-3</v>
      </c>
      <c r="FA178" s="229">
        <v>0.3548</v>
      </c>
      <c r="FB178" s="227" t="s">
        <v>555</v>
      </c>
      <c r="FC178">
        <f t="shared" si="3"/>
        <v>0</v>
      </c>
    </row>
    <row r="179" spans="1:159" ht="17.25" thickBot="1" x14ac:dyDescent="0.3">
      <c r="A179" s="226">
        <v>46064</v>
      </c>
      <c r="B179" s="227" t="s">
        <v>175</v>
      </c>
      <c r="C179" s="227" t="s">
        <v>562</v>
      </c>
      <c r="D179" s="228">
        <v>825</v>
      </c>
      <c r="E179" s="228">
        <v>13</v>
      </c>
      <c r="F179" s="231">
        <v>1057.5</v>
      </c>
      <c r="G179" s="231">
        <v>1048.9000000000001</v>
      </c>
      <c r="H179" s="228">
        <v>8.6</v>
      </c>
      <c r="I179" s="229">
        <v>8.2000000000000007E-3</v>
      </c>
      <c r="J179" s="231">
        <v>1056.8</v>
      </c>
      <c r="K179" s="231">
        <v>1048.5999999999999</v>
      </c>
      <c r="L179" s="228">
        <v>8.1999999999999993</v>
      </c>
      <c r="M179" s="229">
        <v>7.7999999999999996E-3</v>
      </c>
      <c r="N179" s="231">
        <v>1057.5</v>
      </c>
      <c r="O179" s="231">
        <v>1048.9000000000001</v>
      </c>
      <c r="P179" s="228">
        <v>8.6</v>
      </c>
      <c r="Q179" s="229">
        <v>8.2000000000000007E-3</v>
      </c>
      <c r="R179" s="231">
        <v>1064.5999999999999</v>
      </c>
      <c r="S179" s="231">
        <v>1055.5</v>
      </c>
      <c r="T179" s="228">
        <v>9.1</v>
      </c>
      <c r="U179" s="229">
        <v>8.6E-3</v>
      </c>
      <c r="V179" s="231">
        <v>1071</v>
      </c>
      <c r="W179" s="231">
        <v>1062</v>
      </c>
      <c r="X179" s="228">
        <v>9</v>
      </c>
      <c r="Y179" s="229">
        <v>8.5000000000000006E-3</v>
      </c>
      <c r="Z179" s="228">
        <v>0.7</v>
      </c>
      <c r="AA179" s="228">
        <v>0.3</v>
      </c>
      <c r="AB179" s="228">
        <v>0.4</v>
      </c>
      <c r="AC179" s="229">
        <v>6.9999999999999999E-4</v>
      </c>
      <c r="AD179" s="228">
        <v>0.7</v>
      </c>
      <c r="AE179" s="228">
        <v>0.3</v>
      </c>
      <c r="AF179" s="228">
        <v>0.4</v>
      </c>
      <c r="AG179" s="229">
        <v>6.9999999999999999E-4</v>
      </c>
      <c r="AH179" s="228">
        <v>7.8</v>
      </c>
      <c r="AI179" s="228">
        <v>6.9</v>
      </c>
      <c r="AJ179" s="228">
        <v>0.9</v>
      </c>
      <c r="AK179" s="229">
        <v>7.4000000000000003E-3</v>
      </c>
      <c r="AL179" s="228">
        <v>14.2</v>
      </c>
      <c r="AM179" s="228">
        <v>13.4</v>
      </c>
      <c r="AN179" s="228">
        <v>0.8</v>
      </c>
      <c r="AO179" s="229">
        <v>1.34E-2</v>
      </c>
      <c r="AP179" s="231">
        <v>1053.27</v>
      </c>
      <c r="AQ179" s="231">
        <v>1059.47</v>
      </c>
      <c r="AR179" s="228">
        <v>0</v>
      </c>
      <c r="AS179" s="228">
        <v>487</v>
      </c>
      <c r="AT179" s="228">
        <v>642</v>
      </c>
      <c r="AU179" s="228">
        <v>-155</v>
      </c>
      <c r="AV179" s="229">
        <v>-0.2412</v>
      </c>
      <c r="AW179" s="228">
        <v>445</v>
      </c>
      <c r="AX179" s="228">
        <v>575</v>
      </c>
      <c r="AY179" s="228">
        <v>-131</v>
      </c>
      <c r="AZ179" s="229">
        <v>-0.2271</v>
      </c>
      <c r="BA179" s="228">
        <v>39</v>
      </c>
      <c r="BB179" s="228">
        <v>57</v>
      </c>
      <c r="BC179" s="228">
        <v>-18</v>
      </c>
      <c r="BD179" s="229">
        <v>-0.31659999999999999</v>
      </c>
      <c r="BE179" s="228">
        <v>4</v>
      </c>
      <c r="BF179" s="228">
        <v>10</v>
      </c>
      <c r="BG179" s="228">
        <v>-6</v>
      </c>
      <c r="BH179" s="229">
        <v>-0.63390000000000002</v>
      </c>
      <c r="BI179" s="230">
        <v>2247</v>
      </c>
      <c r="BJ179" s="230">
        <v>2631</v>
      </c>
      <c r="BK179" s="228">
        <v>-384</v>
      </c>
      <c r="BL179" s="229">
        <v>-0.14610000000000001</v>
      </c>
      <c r="BM179" s="228">
        <v>831</v>
      </c>
      <c r="BN179" s="230">
        <v>1661</v>
      </c>
      <c r="BO179" s="228">
        <v>-830</v>
      </c>
      <c r="BP179" s="229">
        <v>-0.49980000000000002</v>
      </c>
      <c r="BQ179" s="230">
        <v>3565</v>
      </c>
      <c r="BR179" s="230">
        <v>4934</v>
      </c>
      <c r="BS179" s="230">
        <v>-1370</v>
      </c>
      <c r="BT179" s="229">
        <v>-0.27760000000000001</v>
      </c>
      <c r="BU179" s="230">
        <v>5337381</v>
      </c>
      <c r="BV179" s="230">
        <v>4482538</v>
      </c>
      <c r="BW179" s="230">
        <v>854843</v>
      </c>
      <c r="BX179" s="229">
        <v>0.19070000000000001</v>
      </c>
      <c r="BY179" s="230">
        <v>3981</v>
      </c>
      <c r="BZ179" s="230">
        <v>4015</v>
      </c>
      <c r="CA179" s="228">
        <v>-34</v>
      </c>
      <c r="CB179" s="229">
        <v>-8.3999999999999995E-3</v>
      </c>
      <c r="CC179" s="230">
        <v>3845</v>
      </c>
      <c r="CD179" s="230">
        <v>3876</v>
      </c>
      <c r="CE179" s="228">
        <v>-31</v>
      </c>
      <c r="CF179" s="229">
        <v>-8.0999999999999996E-3</v>
      </c>
      <c r="CG179" s="228">
        <v>118</v>
      </c>
      <c r="CH179" s="228">
        <v>121</v>
      </c>
      <c r="CI179" s="228">
        <v>-2</v>
      </c>
      <c r="CJ179" s="229">
        <v>-1.8100000000000002E-2</v>
      </c>
      <c r="CK179" s="228">
        <v>18</v>
      </c>
      <c r="CL179" s="228">
        <v>18</v>
      </c>
      <c r="CM179" s="228">
        <v>0</v>
      </c>
      <c r="CN179" s="229">
        <v>-9.9000000000000008E-3</v>
      </c>
      <c r="CO179" s="230">
        <v>1202</v>
      </c>
      <c r="CP179" s="230">
        <v>1267</v>
      </c>
      <c r="CQ179" s="228">
        <v>-65</v>
      </c>
      <c r="CR179" s="229">
        <v>-5.1499999999999997E-2</v>
      </c>
      <c r="CS179" s="228">
        <v>952</v>
      </c>
      <c r="CT179" s="228">
        <v>930</v>
      </c>
      <c r="CU179" s="228">
        <v>22</v>
      </c>
      <c r="CV179" s="229">
        <v>2.35E-2</v>
      </c>
      <c r="CW179" s="230">
        <v>6135</v>
      </c>
      <c r="CX179" s="230">
        <v>6212</v>
      </c>
      <c r="CY179" s="228">
        <v>-77</v>
      </c>
      <c r="CZ179" s="229">
        <v>-1.24E-2</v>
      </c>
      <c r="DA179" s="228">
        <v>30.64</v>
      </c>
      <c r="DB179" s="228">
        <v>31.43</v>
      </c>
      <c r="DC179" s="228">
        <v>-0.79</v>
      </c>
      <c r="DD179" s="228">
        <v>-0.79</v>
      </c>
      <c r="DE179" s="228">
        <v>38.869999999999997</v>
      </c>
      <c r="DF179" s="228">
        <v>38.950000000000003</v>
      </c>
      <c r="DG179" s="228">
        <v>-8.23</v>
      </c>
      <c r="DH179" s="228">
        <v>-0.08</v>
      </c>
      <c r="DI179" s="228">
        <v>30.17</v>
      </c>
      <c r="DJ179" s="228">
        <v>30.89</v>
      </c>
      <c r="DK179" s="228">
        <v>-0.72</v>
      </c>
      <c r="DL179" s="228">
        <v>-0.72</v>
      </c>
      <c r="DM179" s="228">
        <v>31.9</v>
      </c>
      <c r="DN179" s="228">
        <v>32.270000000000003</v>
      </c>
      <c r="DO179" s="228">
        <v>-0.37</v>
      </c>
      <c r="DP179" s="228">
        <v>-0.37</v>
      </c>
      <c r="DQ179" s="228">
        <v>0.79</v>
      </c>
      <c r="DR179" s="228">
        <v>0.73</v>
      </c>
      <c r="DS179" s="228">
        <v>0.06</v>
      </c>
      <c r="DT179" s="229">
        <v>8.2199999999999995E-2</v>
      </c>
      <c r="DU179" s="231">
        <v>1100</v>
      </c>
      <c r="DV179" s="231">
        <v>1000</v>
      </c>
      <c r="DW179" s="228">
        <v>0.37</v>
      </c>
      <c r="DX179" s="228">
        <v>0.63</v>
      </c>
      <c r="DY179" s="228">
        <v>-0.26</v>
      </c>
      <c r="DZ179" s="229">
        <v>-0.41270000000000001</v>
      </c>
      <c r="EA179" s="229">
        <v>3.4200000000000001E-2</v>
      </c>
      <c r="EB179" s="230">
        <v>1308450</v>
      </c>
      <c r="EC179" s="229">
        <v>6.7000000000000002E-3</v>
      </c>
      <c r="ED179" s="229">
        <v>3.4200000000000001E-2</v>
      </c>
      <c r="EE179" s="228">
        <v>6.2</v>
      </c>
      <c r="EF179" s="229">
        <v>5.8999999999999999E-3</v>
      </c>
      <c r="EG179" s="230">
        <v>3510925</v>
      </c>
      <c r="EH179" s="230">
        <v>2478102</v>
      </c>
      <c r="EI179" s="229">
        <v>0.4168</v>
      </c>
      <c r="EJ179" s="229">
        <v>0.65780000000000005</v>
      </c>
      <c r="EK179" s="231">
        <v>2316.6799999999998</v>
      </c>
      <c r="EL179" s="228">
        <v>813.15</v>
      </c>
      <c r="EM179" s="228">
        <v>485.67</v>
      </c>
      <c r="EN179" s="228">
        <v>81.45</v>
      </c>
      <c r="EO179" s="231">
        <v>3615.5</v>
      </c>
      <c r="EP179" s="231">
        <v>4980.8900000000003</v>
      </c>
      <c r="EQ179" s="231">
        <v>-1365.39</v>
      </c>
      <c r="ER179" s="229">
        <v>-0.27410000000000001</v>
      </c>
      <c r="ES179" s="231">
        <v>1205.5999999999999</v>
      </c>
      <c r="ET179" s="228">
        <v>878.71</v>
      </c>
      <c r="EU179" s="231">
        <v>3981.86</v>
      </c>
      <c r="EV179" s="231">
        <v>210513975</v>
      </c>
      <c r="EW179" s="231">
        <v>6066.18</v>
      </c>
      <c r="EX179" s="231">
        <v>6108.71</v>
      </c>
      <c r="EY179" s="228">
        <v>-42.53</v>
      </c>
      <c r="EZ179" s="229">
        <v>-7.0000000000000001E-3</v>
      </c>
      <c r="FA179" s="229">
        <v>0.27560000000000001</v>
      </c>
      <c r="FB179" s="227" t="s">
        <v>556</v>
      </c>
      <c r="FC179">
        <f t="shared" si="3"/>
        <v>0</v>
      </c>
    </row>
    <row r="180" spans="1:159" ht="17.25" thickBot="1" x14ac:dyDescent="0.3">
      <c r="A180" s="226">
        <v>46064</v>
      </c>
      <c r="B180" s="227" t="s">
        <v>184</v>
      </c>
      <c r="C180" s="227" t="s">
        <v>285</v>
      </c>
      <c r="D180" s="228">
        <v>175</v>
      </c>
      <c r="E180" s="228">
        <v>13</v>
      </c>
      <c r="F180" s="231">
        <v>3156.2</v>
      </c>
      <c r="G180" s="231">
        <v>3117.4</v>
      </c>
      <c r="H180" s="228">
        <v>38.799999999999997</v>
      </c>
      <c r="I180" s="229">
        <v>1.24E-2</v>
      </c>
      <c r="J180" s="231">
        <v>3151.6</v>
      </c>
      <c r="K180" s="231">
        <v>3111.5</v>
      </c>
      <c r="L180" s="228">
        <v>40.1</v>
      </c>
      <c r="M180" s="229">
        <v>1.29E-2</v>
      </c>
      <c r="N180" s="231">
        <v>3156.2</v>
      </c>
      <c r="O180" s="231">
        <v>3117.4</v>
      </c>
      <c r="P180" s="228">
        <v>38.799999999999997</v>
      </c>
      <c r="Q180" s="229">
        <v>1.24E-2</v>
      </c>
      <c r="R180" s="231">
        <v>3164.3</v>
      </c>
      <c r="S180" s="231">
        <v>3129.2</v>
      </c>
      <c r="T180" s="228">
        <v>35.1</v>
      </c>
      <c r="U180" s="229">
        <v>1.12E-2</v>
      </c>
      <c r="V180" s="231">
        <v>3179.1</v>
      </c>
      <c r="W180" s="231">
        <v>3130</v>
      </c>
      <c r="X180" s="228">
        <v>49.1</v>
      </c>
      <c r="Y180" s="229">
        <v>1.5699999999999999E-2</v>
      </c>
      <c r="Z180" s="228">
        <v>4.5999999999999996</v>
      </c>
      <c r="AA180" s="228">
        <v>5.9</v>
      </c>
      <c r="AB180" s="228">
        <v>-1.3</v>
      </c>
      <c r="AC180" s="229">
        <v>1.5E-3</v>
      </c>
      <c r="AD180" s="228">
        <v>4.5999999999999996</v>
      </c>
      <c r="AE180" s="228">
        <v>5.9</v>
      </c>
      <c r="AF180" s="228">
        <v>-1.3</v>
      </c>
      <c r="AG180" s="229">
        <v>1.5E-3</v>
      </c>
      <c r="AH180" s="228">
        <v>12.7</v>
      </c>
      <c r="AI180" s="228">
        <v>17.7</v>
      </c>
      <c r="AJ180" s="228">
        <v>-5</v>
      </c>
      <c r="AK180" s="229">
        <v>4.0000000000000001E-3</v>
      </c>
      <c r="AL180" s="228">
        <v>27.5</v>
      </c>
      <c r="AM180" s="228">
        <v>18.5</v>
      </c>
      <c r="AN180" s="228">
        <v>9</v>
      </c>
      <c r="AO180" s="229">
        <v>8.6999999999999994E-3</v>
      </c>
      <c r="AP180" s="231">
        <v>3140.93</v>
      </c>
      <c r="AQ180" s="231">
        <v>3148.56</v>
      </c>
      <c r="AR180" s="228">
        <v>0</v>
      </c>
      <c r="AS180" s="228">
        <v>185</v>
      </c>
      <c r="AT180" s="228">
        <v>201</v>
      </c>
      <c r="AU180" s="228">
        <v>-17</v>
      </c>
      <c r="AV180" s="229">
        <v>-8.3900000000000002E-2</v>
      </c>
      <c r="AW180" s="228">
        <v>163</v>
      </c>
      <c r="AX180" s="228">
        <v>191</v>
      </c>
      <c r="AY180" s="228">
        <v>-28</v>
      </c>
      <c r="AZ180" s="229">
        <v>-0.14710000000000001</v>
      </c>
      <c r="BA180" s="228">
        <v>20</v>
      </c>
      <c r="BB180" s="228">
        <v>10</v>
      </c>
      <c r="BC180" s="228">
        <v>10</v>
      </c>
      <c r="BD180" s="229">
        <v>0.9617</v>
      </c>
      <c r="BE180" s="228">
        <v>2</v>
      </c>
      <c r="BF180" s="228">
        <v>0</v>
      </c>
      <c r="BG180" s="228">
        <v>1</v>
      </c>
      <c r="BH180" s="229">
        <v>6.75</v>
      </c>
      <c r="BI180" s="230">
        <v>1201</v>
      </c>
      <c r="BJ180" s="228">
        <v>980</v>
      </c>
      <c r="BK180" s="228">
        <v>220</v>
      </c>
      <c r="BL180" s="229">
        <v>0.22470000000000001</v>
      </c>
      <c r="BM180" s="228">
        <v>341</v>
      </c>
      <c r="BN180" s="228">
        <v>342</v>
      </c>
      <c r="BO180" s="228">
        <v>-1</v>
      </c>
      <c r="BP180" s="229">
        <v>-2.7000000000000001E-3</v>
      </c>
      <c r="BQ180" s="230">
        <v>1726</v>
      </c>
      <c r="BR180" s="230">
        <v>1524</v>
      </c>
      <c r="BS180" s="228">
        <v>202</v>
      </c>
      <c r="BT180" s="229">
        <v>0.13289999999999999</v>
      </c>
      <c r="BU180" s="230">
        <v>201675</v>
      </c>
      <c r="BV180" s="230">
        <v>293412</v>
      </c>
      <c r="BW180" s="230">
        <v>-91737</v>
      </c>
      <c r="BX180" s="229">
        <v>-0.31269999999999998</v>
      </c>
      <c r="BY180" s="228">
        <v>777</v>
      </c>
      <c r="BZ180" s="228">
        <v>800</v>
      </c>
      <c r="CA180" s="228">
        <v>-23</v>
      </c>
      <c r="CB180" s="229">
        <v>-2.8500000000000001E-2</v>
      </c>
      <c r="CC180" s="228">
        <v>746</v>
      </c>
      <c r="CD180" s="228">
        <v>772</v>
      </c>
      <c r="CE180" s="228">
        <v>-26</v>
      </c>
      <c r="CF180" s="229">
        <v>-3.3599999999999998E-2</v>
      </c>
      <c r="CG180" s="228">
        <v>27</v>
      </c>
      <c r="CH180" s="228">
        <v>24</v>
      </c>
      <c r="CI180" s="228">
        <v>3</v>
      </c>
      <c r="CJ180" s="229">
        <v>0.14349999999999999</v>
      </c>
      <c r="CK180" s="228">
        <v>4</v>
      </c>
      <c r="CL180" s="228">
        <v>4</v>
      </c>
      <c r="CM180" s="228">
        <v>0</v>
      </c>
      <c r="CN180" s="229">
        <v>-8.3299999999999999E-2</v>
      </c>
      <c r="CO180" s="228">
        <v>618</v>
      </c>
      <c r="CP180" s="228">
        <v>621</v>
      </c>
      <c r="CQ180" s="228">
        <v>-4</v>
      </c>
      <c r="CR180" s="229">
        <v>-5.8999999999999999E-3</v>
      </c>
      <c r="CS180" s="228">
        <v>353</v>
      </c>
      <c r="CT180" s="228">
        <v>358</v>
      </c>
      <c r="CU180" s="228">
        <v>-6</v>
      </c>
      <c r="CV180" s="229">
        <v>-1.5599999999999999E-2</v>
      </c>
      <c r="CW180" s="230">
        <v>1747</v>
      </c>
      <c r="CX180" s="230">
        <v>1779</v>
      </c>
      <c r="CY180" s="228">
        <v>-32</v>
      </c>
      <c r="CZ180" s="229">
        <v>-1.7999999999999999E-2</v>
      </c>
      <c r="DA180" s="228">
        <v>30.9</v>
      </c>
      <c r="DB180" s="228">
        <v>31.99</v>
      </c>
      <c r="DC180" s="228">
        <v>-1.0900000000000001</v>
      </c>
      <c r="DD180" s="228">
        <v>-1.0900000000000001</v>
      </c>
      <c r="DE180" s="228">
        <v>38.11</v>
      </c>
      <c r="DF180" s="228">
        <v>38.17</v>
      </c>
      <c r="DG180" s="228">
        <v>-7.21</v>
      </c>
      <c r="DH180" s="228">
        <v>-0.06</v>
      </c>
      <c r="DI180" s="228">
        <v>30.37</v>
      </c>
      <c r="DJ180" s="228">
        <v>31.73</v>
      </c>
      <c r="DK180" s="228">
        <v>-1.36</v>
      </c>
      <c r="DL180" s="228">
        <v>-1.36</v>
      </c>
      <c r="DM180" s="228">
        <v>32.76</v>
      </c>
      <c r="DN180" s="228">
        <v>32.74</v>
      </c>
      <c r="DO180" s="228">
        <v>0.02</v>
      </c>
      <c r="DP180" s="228">
        <v>0.02</v>
      </c>
      <c r="DQ180" s="228">
        <v>0.56999999999999995</v>
      </c>
      <c r="DR180" s="228">
        <v>0.57999999999999996</v>
      </c>
      <c r="DS180" s="228">
        <v>-0.01</v>
      </c>
      <c r="DT180" s="229">
        <v>-1.72E-2</v>
      </c>
      <c r="DU180" s="231">
        <v>3300</v>
      </c>
      <c r="DV180" s="231">
        <v>3000</v>
      </c>
      <c r="DW180" s="228">
        <v>0.28000000000000003</v>
      </c>
      <c r="DX180" s="228">
        <v>0.35</v>
      </c>
      <c r="DY180" s="228">
        <v>-7.0000000000000007E-2</v>
      </c>
      <c r="DZ180" s="229">
        <v>-0.2</v>
      </c>
      <c r="EA180" s="229">
        <v>3.9800000000000002E-2</v>
      </c>
      <c r="EB180" s="230">
        <v>88200</v>
      </c>
      <c r="EC180" s="229">
        <v>2.5999999999999999E-3</v>
      </c>
      <c r="ED180" s="229">
        <v>3.9800000000000002E-2</v>
      </c>
      <c r="EE180" s="228">
        <v>7.63</v>
      </c>
      <c r="EF180" s="229">
        <v>2.3999999999999998E-3</v>
      </c>
      <c r="EG180" s="230">
        <v>84458</v>
      </c>
      <c r="EH180" s="230">
        <v>99084</v>
      </c>
      <c r="EI180" s="229">
        <v>-0.14760000000000001</v>
      </c>
      <c r="EJ180" s="229">
        <v>0.41880000000000001</v>
      </c>
      <c r="EK180" s="231">
        <v>1258.2</v>
      </c>
      <c r="EL180" s="228">
        <v>327.79</v>
      </c>
      <c r="EM180" s="228">
        <v>183.76</v>
      </c>
      <c r="EN180" s="228">
        <v>71.36</v>
      </c>
      <c r="EO180" s="231">
        <v>1769.75</v>
      </c>
      <c r="EP180" s="231">
        <v>1554.58</v>
      </c>
      <c r="EQ180" s="228">
        <v>215.16</v>
      </c>
      <c r="ER180" s="229">
        <v>0.1384</v>
      </c>
      <c r="ES180" s="228">
        <v>652.52</v>
      </c>
      <c r="ET180" s="228">
        <v>332.26</v>
      </c>
      <c r="EU180" s="228">
        <v>776.9</v>
      </c>
      <c r="EV180" s="231">
        <v>13354588</v>
      </c>
      <c r="EW180" s="231">
        <v>1761.68</v>
      </c>
      <c r="EX180" s="231">
        <v>1781.82</v>
      </c>
      <c r="EY180" s="228">
        <v>-20.14</v>
      </c>
      <c r="EZ180" s="229">
        <v>-1.1299999999999999E-2</v>
      </c>
      <c r="FA180" s="229">
        <v>0.41449999999999998</v>
      </c>
      <c r="FB180" s="227" t="s">
        <v>556</v>
      </c>
      <c r="FC180">
        <f t="shared" si="3"/>
        <v>0</v>
      </c>
    </row>
    <row r="181" spans="1:159" ht="17.25" thickBot="1" x14ac:dyDescent="0.3">
      <c r="A181" s="226">
        <v>46064</v>
      </c>
      <c r="B181" s="227" t="s">
        <v>498</v>
      </c>
      <c r="C181" s="227" t="s">
        <v>646</v>
      </c>
      <c r="D181" s="228">
        <v>50</v>
      </c>
      <c r="E181" s="228">
        <v>13</v>
      </c>
      <c r="F181" s="231">
        <v>13448</v>
      </c>
      <c r="G181" s="231">
        <v>13448</v>
      </c>
      <c r="H181" s="228">
        <v>0</v>
      </c>
      <c r="I181" s="229">
        <v>0</v>
      </c>
      <c r="J181" s="231">
        <v>13445</v>
      </c>
      <c r="K181" s="231">
        <v>13423</v>
      </c>
      <c r="L181" s="228">
        <v>22</v>
      </c>
      <c r="M181" s="229">
        <v>1.6000000000000001E-3</v>
      </c>
      <c r="N181" s="231">
        <v>13448</v>
      </c>
      <c r="O181" s="231">
        <v>13448</v>
      </c>
      <c r="P181" s="228">
        <v>0</v>
      </c>
      <c r="Q181" s="229">
        <v>0</v>
      </c>
      <c r="R181" s="231">
        <v>13541</v>
      </c>
      <c r="S181" s="231">
        <v>13529</v>
      </c>
      <c r="T181" s="228">
        <v>12</v>
      </c>
      <c r="U181" s="229">
        <v>8.9999999999999998E-4</v>
      </c>
      <c r="V181" s="231">
        <v>13647</v>
      </c>
      <c r="W181" s="231">
        <v>13610</v>
      </c>
      <c r="X181" s="228">
        <v>37</v>
      </c>
      <c r="Y181" s="229">
        <v>2.7000000000000001E-3</v>
      </c>
      <c r="Z181" s="228">
        <v>3</v>
      </c>
      <c r="AA181" s="228">
        <v>25</v>
      </c>
      <c r="AB181" s="228">
        <v>-22</v>
      </c>
      <c r="AC181" s="229">
        <v>2.0000000000000001E-4</v>
      </c>
      <c r="AD181" s="228">
        <v>3</v>
      </c>
      <c r="AE181" s="228">
        <v>25</v>
      </c>
      <c r="AF181" s="228">
        <v>-22</v>
      </c>
      <c r="AG181" s="229">
        <v>2.0000000000000001E-4</v>
      </c>
      <c r="AH181" s="228">
        <v>96</v>
      </c>
      <c r="AI181" s="228">
        <v>106</v>
      </c>
      <c r="AJ181" s="228">
        <v>-10</v>
      </c>
      <c r="AK181" s="229">
        <v>7.1000000000000004E-3</v>
      </c>
      <c r="AL181" s="228">
        <v>202</v>
      </c>
      <c r="AM181" s="228">
        <v>187</v>
      </c>
      <c r="AN181" s="228">
        <v>15</v>
      </c>
      <c r="AO181" s="229">
        <v>1.4999999999999999E-2</v>
      </c>
      <c r="AP181" s="231">
        <v>13420.98</v>
      </c>
      <c r="AQ181" s="231">
        <v>13491.43</v>
      </c>
      <c r="AR181" s="228">
        <v>0</v>
      </c>
      <c r="AS181" s="228">
        <v>122</v>
      </c>
      <c r="AT181" s="228">
        <v>135</v>
      </c>
      <c r="AU181" s="228">
        <v>-13</v>
      </c>
      <c r="AV181" s="229">
        <v>-9.7100000000000006E-2</v>
      </c>
      <c r="AW181" s="228">
        <v>113</v>
      </c>
      <c r="AX181" s="228">
        <v>120</v>
      </c>
      <c r="AY181" s="228">
        <v>-8</v>
      </c>
      <c r="AZ181" s="229">
        <v>-6.4299999999999996E-2</v>
      </c>
      <c r="BA181" s="228">
        <v>8</v>
      </c>
      <c r="BB181" s="228">
        <v>12</v>
      </c>
      <c r="BC181" s="228">
        <v>-4</v>
      </c>
      <c r="BD181" s="229">
        <v>-0.32769999999999999</v>
      </c>
      <c r="BE181" s="228">
        <v>1</v>
      </c>
      <c r="BF181" s="228">
        <v>3</v>
      </c>
      <c r="BG181" s="228">
        <v>-1</v>
      </c>
      <c r="BH181" s="229">
        <v>-0.52380000000000004</v>
      </c>
      <c r="BI181" s="228">
        <v>423</v>
      </c>
      <c r="BJ181" s="228">
        <v>603</v>
      </c>
      <c r="BK181" s="228">
        <v>-180</v>
      </c>
      <c r="BL181" s="229">
        <v>-0.2979</v>
      </c>
      <c r="BM181" s="228">
        <v>138</v>
      </c>
      <c r="BN181" s="228">
        <v>263</v>
      </c>
      <c r="BO181" s="228">
        <v>-124</v>
      </c>
      <c r="BP181" s="229">
        <v>-0.47289999999999999</v>
      </c>
      <c r="BQ181" s="228">
        <v>684</v>
      </c>
      <c r="BR181" s="230">
        <v>1001</v>
      </c>
      <c r="BS181" s="228">
        <v>-317</v>
      </c>
      <c r="BT181" s="229">
        <v>-0.31669999999999998</v>
      </c>
      <c r="BU181" s="230">
        <v>77145</v>
      </c>
      <c r="BV181" s="230">
        <v>74281</v>
      </c>
      <c r="BW181" s="230">
        <v>2864</v>
      </c>
      <c r="BX181" s="229">
        <v>3.8600000000000002E-2</v>
      </c>
      <c r="BY181" s="230">
        <v>1274</v>
      </c>
      <c r="BZ181" s="230">
        <v>1290</v>
      </c>
      <c r="CA181" s="228">
        <v>-16</v>
      </c>
      <c r="CB181" s="229">
        <v>-1.2500000000000001E-2</v>
      </c>
      <c r="CC181" s="230">
        <v>1134</v>
      </c>
      <c r="CD181" s="230">
        <v>1151</v>
      </c>
      <c r="CE181" s="228">
        <v>-18</v>
      </c>
      <c r="CF181" s="229">
        <v>-1.55E-2</v>
      </c>
      <c r="CG181" s="228">
        <v>103</v>
      </c>
      <c r="CH181" s="228">
        <v>102</v>
      </c>
      <c r="CI181" s="228">
        <v>2</v>
      </c>
      <c r="CJ181" s="229">
        <v>1.72E-2</v>
      </c>
      <c r="CK181" s="228">
        <v>37</v>
      </c>
      <c r="CL181" s="228">
        <v>37</v>
      </c>
      <c r="CM181" s="228">
        <v>0</v>
      </c>
      <c r="CN181" s="229">
        <v>0</v>
      </c>
      <c r="CO181" s="228">
        <v>741</v>
      </c>
      <c r="CP181" s="228">
        <v>749</v>
      </c>
      <c r="CQ181" s="228">
        <v>-8</v>
      </c>
      <c r="CR181" s="229">
        <v>-1.01E-2</v>
      </c>
      <c r="CS181" s="228">
        <v>352</v>
      </c>
      <c r="CT181" s="228">
        <v>355</v>
      </c>
      <c r="CU181" s="228">
        <v>-3</v>
      </c>
      <c r="CV181" s="229">
        <v>-8.0999999999999996E-3</v>
      </c>
      <c r="CW181" s="230">
        <v>2368</v>
      </c>
      <c r="CX181" s="230">
        <v>2394</v>
      </c>
      <c r="CY181" s="228">
        <v>-27</v>
      </c>
      <c r="CZ181" s="229">
        <v>-1.11E-2</v>
      </c>
      <c r="DA181" s="228">
        <v>39.86</v>
      </c>
      <c r="DB181" s="228">
        <v>41.87</v>
      </c>
      <c r="DC181" s="228">
        <v>-2.0099999999999998</v>
      </c>
      <c r="DD181" s="228">
        <v>-2.0099999999999998</v>
      </c>
      <c r="DE181" s="228">
        <v>41.27</v>
      </c>
      <c r="DF181" s="228">
        <v>41.38</v>
      </c>
      <c r="DG181" s="228">
        <v>-1.41</v>
      </c>
      <c r="DH181" s="228">
        <v>-0.11</v>
      </c>
      <c r="DI181" s="228">
        <v>40.36</v>
      </c>
      <c r="DJ181" s="228">
        <v>41.03</v>
      </c>
      <c r="DK181" s="228">
        <v>-0.67</v>
      </c>
      <c r="DL181" s="228">
        <v>-0.67</v>
      </c>
      <c r="DM181" s="228">
        <v>38.340000000000003</v>
      </c>
      <c r="DN181" s="228">
        <v>43.78</v>
      </c>
      <c r="DO181" s="228">
        <v>-5.44</v>
      </c>
      <c r="DP181" s="228">
        <v>-5.44</v>
      </c>
      <c r="DQ181" s="228">
        <v>0.47</v>
      </c>
      <c r="DR181" s="228">
        <v>0.47</v>
      </c>
      <c r="DS181" s="228">
        <v>0</v>
      </c>
      <c r="DT181" s="229">
        <v>0</v>
      </c>
      <c r="DU181" s="231">
        <v>14000</v>
      </c>
      <c r="DV181" s="231">
        <v>12500</v>
      </c>
      <c r="DW181" s="228">
        <v>0.33</v>
      </c>
      <c r="DX181" s="228">
        <v>0.44</v>
      </c>
      <c r="DY181" s="228">
        <v>-0.11</v>
      </c>
      <c r="DZ181" s="229">
        <v>-0.25</v>
      </c>
      <c r="EA181" s="229">
        <v>0.1105</v>
      </c>
      <c r="EB181" s="230">
        <v>103400</v>
      </c>
      <c r="EC181" s="229">
        <v>6.8999999999999999E-3</v>
      </c>
      <c r="ED181" s="229">
        <v>0.1105</v>
      </c>
      <c r="EE181" s="228">
        <v>70.45</v>
      </c>
      <c r="EF181" s="229">
        <v>5.1999999999999998E-3</v>
      </c>
      <c r="EG181" s="230">
        <v>33877</v>
      </c>
      <c r="EH181" s="230">
        <v>23778</v>
      </c>
      <c r="EI181" s="229">
        <v>0.42470000000000002</v>
      </c>
      <c r="EJ181" s="229">
        <v>0.43909999999999999</v>
      </c>
      <c r="EK181" s="228">
        <v>451.47</v>
      </c>
      <c r="EL181" s="228">
        <v>134.53</v>
      </c>
      <c r="EM181" s="228">
        <v>121.72</v>
      </c>
      <c r="EN181" s="228">
        <v>41.49</v>
      </c>
      <c r="EO181" s="228">
        <v>707.72</v>
      </c>
      <c r="EP181" s="231">
        <v>1020.37</v>
      </c>
      <c r="EQ181" s="228">
        <v>-312.64999999999998</v>
      </c>
      <c r="ER181" s="229">
        <v>-0.30640000000000001</v>
      </c>
      <c r="ES181" s="228">
        <v>784.71</v>
      </c>
      <c r="ET181" s="228">
        <v>339.12</v>
      </c>
      <c r="EU181" s="231">
        <v>1275.5999999999999</v>
      </c>
      <c r="EV181" s="231">
        <v>3644817</v>
      </c>
      <c r="EW181" s="231">
        <v>2399.4299999999998</v>
      </c>
      <c r="EX181" s="231">
        <v>2426.2800000000002</v>
      </c>
      <c r="EY181" s="228">
        <v>-26.85</v>
      </c>
      <c r="EZ181" s="229">
        <v>-1.11E-2</v>
      </c>
      <c r="FA181" s="229">
        <v>0.48299999999999998</v>
      </c>
      <c r="FB181" s="227" t="s">
        <v>237</v>
      </c>
      <c r="FC181">
        <f t="shared" si="3"/>
        <v>0</v>
      </c>
    </row>
    <row r="182" spans="1:159" ht="17.25" thickBot="1" x14ac:dyDescent="0.3">
      <c r="A182" s="226">
        <v>46064</v>
      </c>
      <c r="B182" s="227" t="s">
        <v>162</v>
      </c>
      <c r="C182" s="227" t="s">
        <v>614</v>
      </c>
      <c r="D182" s="228">
        <v>1225</v>
      </c>
      <c r="E182" s="228">
        <v>13</v>
      </c>
      <c r="F182" s="228">
        <v>539.85</v>
      </c>
      <c r="G182" s="228">
        <v>532.04999999999995</v>
      </c>
      <c r="H182" s="228">
        <v>7.8</v>
      </c>
      <c r="I182" s="229">
        <v>1.47E-2</v>
      </c>
      <c r="J182" s="228">
        <v>538</v>
      </c>
      <c r="K182" s="228">
        <v>531.1</v>
      </c>
      <c r="L182" s="228">
        <v>6.9</v>
      </c>
      <c r="M182" s="229">
        <v>1.2999999999999999E-2</v>
      </c>
      <c r="N182" s="228">
        <v>539.85</v>
      </c>
      <c r="O182" s="228">
        <v>532.04999999999995</v>
      </c>
      <c r="P182" s="228">
        <v>7.8</v>
      </c>
      <c r="Q182" s="229">
        <v>1.47E-2</v>
      </c>
      <c r="R182" s="228">
        <v>542.6</v>
      </c>
      <c r="S182" s="228">
        <v>534.79999999999995</v>
      </c>
      <c r="T182" s="228">
        <v>7.8</v>
      </c>
      <c r="U182" s="229">
        <v>1.46E-2</v>
      </c>
      <c r="V182" s="228">
        <v>544.29999999999995</v>
      </c>
      <c r="W182" s="228">
        <v>536.85</v>
      </c>
      <c r="X182" s="228">
        <v>7.45</v>
      </c>
      <c r="Y182" s="229">
        <v>1.3899999999999999E-2</v>
      </c>
      <c r="Z182" s="228">
        <v>1.85</v>
      </c>
      <c r="AA182" s="228">
        <v>0.95</v>
      </c>
      <c r="AB182" s="228">
        <v>0.9</v>
      </c>
      <c r="AC182" s="229">
        <v>3.3999999999999998E-3</v>
      </c>
      <c r="AD182" s="228">
        <v>1.85</v>
      </c>
      <c r="AE182" s="228">
        <v>0.95</v>
      </c>
      <c r="AF182" s="228">
        <v>0.9</v>
      </c>
      <c r="AG182" s="229">
        <v>3.3999999999999998E-3</v>
      </c>
      <c r="AH182" s="228">
        <v>4.5999999999999996</v>
      </c>
      <c r="AI182" s="228">
        <v>3.7</v>
      </c>
      <c r="AJ182" s="228">
        <v>0.9</v>
      </c>
      <c r="AK182" s="229">
        <v>8.6E-3</v>
      </c>
      <c r="AL182" s="228">
        <v>6.3</v>
      </c>
      <c r="AM182" s="228">
        <v>5.75</v>
      </c>
      <c r="AN182" s="228">
        <v>0.55000000000000004</v>
      </c>
      <c r="AO182" s="229">
        <v>1.17E-2</v>
      </c>
      <c r="AP182" s="228">
        <v>538.9</v>
      </c>
      <c r="AQ182" s="228">
        <v>541.6</v>
      </c>
      <c r="AR182" s="228">
        <v>0</v>
      </c>
      <c r="AS182" s="228">
        <v>242</v>
      </c>
      <c r="AT182" s="228">
        <v>124</v>
      </c>
      <c r="AU182" s="228">
        <v>118</v>
      </c>
      <c r="AV182" s="229">
        <v>0.94940000000000002</v>
      </c>
      <c r="AW182" s="228">
        <v>232</v>
      </c>
      <c r="AX182" s="228">
        <v>115</v>
      </c>
      <c r="AY182" s="228">
        <v>117</v>
      </c>
      <c r="AZ182" s="229">
        <v>1.0189999999999999</v>
      </c>
      <c r="BA182" s="228">
        <v>10</v>
      </c>
      <c r="BB182" s="228">
        <v>8</v>
      </c>
      <c r="BC182" s="228">
        <v>1</v>
      </c>
      <c r="BD182" s="229">
        <v>0.1406</v>
      </c>
      <c r="BE182" s="228">
        <v>1</v>
      </c>
      <c r="BF182" s="228">
        <v>1</v>
      </c>
      <c r="BG182" s="228">
        <v>0</v>
      </c>
      <c r="BH182" s="229">
        <v>-0.28570000000000001</v>
      </c>
      <c r="BI182" s="228">
        <v>594</v>
      </c>
      <c r="BJ182" s="228">
        <v>218</v>
      </c>
      <c r="BK182" s="228">
        <v>375</v>
      </c>
      <c r="BL182" s="229">
        <v>1.7204999999999999</v>
      </c>
      <c r="BM182" s="228">
        <v>133</v>
      </c>
      <c r="BN182" s="228">
        <v>108</v>
      </c>
      <c r="BO182" s="228">
        <v>25</v>
      </c>
      <c r="BP182" s="229">
        <v>0.2344</v>
      </c>
      <c r="BQ182" s="228">
        <v>969</v>
      </c>
      <c r="BR182" s="228">
        <v>450</v>
      </c>
      <c r="BS182" s="228">
        <v>518</v>
      </c>
      <c r="BT182" s="229">
        <v>1.1514</v>
      </c>
      <c r="BU182" s="230">
        <v>2253424</v>
      </c>
      <c r="BV182" s="230">
        <v>1314115</v>
      </c>
      <c r="BW182" s="230">
        <v>939309</v>
      </c>
      <c r="BX182" s="229">
        <v>0.71479999999999999</v>
      </c>
      <c r="BY182" s="228">
        <v>721</v>
      </c>
      <c r="BZ182" s="228">
        <v>696</v>
      </c>
      <c r="CA182" s="228">
        <v>25</v>
      </c>
      <c r="CB182" s="229">
        <v>3.6600000000000001E-2</v>
      </c>
      <c r="CC182" s="228">
        <v>707</v>
      </c>
      <c r="CD182" s="228">
        <v>680</v>
      </c>
      <c r="CE182" s="228">
        <v>28</v>
      </c>
      <c r="CF182" s="229">
        <v>4.0599999999999997E-2</v>
      </c>
      <c r="CG182" s="228">
        <v>11</v>
      </c>
      <c r="CH182" s="228">
        <v>13</v>
      </c>
      <c r="CI182" s="228">
        <v>-1</v>
      </c>
      <c r="CJ182" s="229">
        <v>-0.114</v>
      </c>
      <c r="CK182" s="228">
        <v>3</v>
      </c>
      <c r="CL182" s="228">
        <v>3</v>
      </c>
      <c r="CM182" s="228">
        <v>-1</v>
      </c>
      <c r="CN182" s="229">
        <v>-0.1961</v>
      </c>
      <c r="CO182" s="228">
        <v>320</v>
      </c>
      <c r="CP182" s="228">
        <v>316</v>
      </c>
      <c r="CQ182" s="228">
        <v>4</v>
      </c>
      <c r="CR182" s="229">
        <v>1.17E-2</v>
      </c>
      <c r="CS182" s="228">
        <v>211</v>
      </c>
      <c r="CT182" s="228">
        <v>209</v>
      </c>
      <c r="CU182" s="228">
        <v>2</v>
      </c>
      <c r="CV182" s="229">
        <v>1.0800000000000001E-2</v>
      </c>
      <c r="CW182" s="230">
        <v>1252</v>
      </c>
      <c r="CX182" s="230">
        <v>1221</v>
      </c>
      <c r="CY182" s="228">
        <v>31</v>
      </c>
      <c r="CZ182" s="229">
        <v>2.5700000000000001E-2</v>
      </c>
      <c r="DA182" s="228">
        <v>34.11</v>
      </c>
      <c r="DB182" s="228">
        <v>34.85</v>
      </c>
      <c r="DC182" s="228">
        <v>-0.74</v>
      </c>
      <c r="DD182" s="228">
        <v>-0.74</v>
      </c>
      <c r="DE182" s="228">
        <v>39.68</v>
      </c>
      <c r="DF182" s="228">
        <v>39.729999999999997</v>
      </c>
      <c r="DG182" s="228">
        <v>-5.57</v>
      </c>
      <c r="DH182" s="228">
        <v>-0.05</v>
      </c>
      <c r="DI182" s="228">
        <v>33.880000000000003</v>
      </c>
      <c r="DJ182" s="228">
        <v>34.75</v>
      </c>
      <c r="DK182" s="228">
        <v>-0.87</v>
      </c>
      <c r="DL182" s="228">
        <v>-0.87</v>
      </c>
      <c r="DM182" s="228">
        <v>35.11</v>
      </c>
      <c r="DN182" s="228">
        <v>35.049999999999997</v>
      </c>
      <c r="DO182" s="228">
        <v>0.06</v>
      </c>
      <c r="DP182" s="228">
        <v>0.06</v>
      </c>
      <c r="DQ182" s="228">
        <v>0.66</v>
      </c>
      <c r="DR182" s="228">
        <v>0.66</v>
      </c>
      <c r="DS182" s="228">
        <v>0</v>
      </c>
      <c r="DT182" s="229">
        <v>0</v>
      </c>
      <c r="DU182" s="228">
        <v>540</v>
      </c>
      <c r="DV182" s="228">
        <v>535</v>
      </c>
      <c r="DW182" s="228">
        <v>0.22</v>
      </c>
      <c r="DX182" s="228">
        <v>0.5</v>
      </c>
      <c r="DY182" s="228">
        <v>-0.28000000000000003</v>
      </c>
      <c r="DZ182" s="229">
        <v>-0.56000000000000005</v>
      </c>
      <c r="EA182" s="229">
        <v>1.9400000000000001E-2</v>
      </c>
      <c r="EB182" s="230">
        <v>298900</v>
      </c>
      <c r="EC182" s="229">
        <v>5.1000000000000004E-3</v>
      </c>
      <c r="ED182" s="229">
        <v>1.9400000000000001E-2</v>
      </c>
      <c r="EE182" s="228">
        <v>2.7</v>
      </c>
      <c r="EF182" s="229">
        <v>5.0000000000000001E-3</v>
      </c>
      <c r="EG182" s="230">
        <v>1155665</v>
      </c>
      <c r="EH182" s="230">
        <v>663554</v>
      </c>
      <c r="EI182" s="229">
        <v>0.74160000000000004</v>
      </c>
      <c r="EJ182" s="229">
        <v>0.51280000000000003</v>
      </c>
      <c r="EK182" s="228">
        <v>611.91999999999996</v>
      </c>
      <c r="EL182" s="228">
        <v>130.61000000000001</v>
      </c>
      <c r="EM182" s="228">
        <v>241.47</v>
      </c>
      <c r="EN182" s="228">
        <v>25.05</v>
      </c>
      <c r="EO182" s="228">
        <v>984</v>
      </c>
      <c r="EP182" s="228">
        <v>453.74</v>
      </c>
      <c r="EQ182" s="228">
        <v>530.25</v>
      </c>
      <c r="ER182" s="229">
        <v>1.1686000000000001</v>
      </c>
      <c r="ES182" s="228">
        <v>318.08</v>
      </c>
      <c r="ET182" s="228">
        <v>194.71</v>
      </c>
      <c r="EU182" s="228">
        <v>721.38</v>
      </c>
      <c r="EV182" s="231">
        <v>67126548</v>
      </c>
      <c r="EW182" s="231">
        <v>1234.17</v>
      </c>
      <c r="EX182" s="231">
        <v>1192.2</v>
      </c>
      <c r="EY182" s="228">
        <v>41.97</v>
      </c>
      <c r="EZ182" s="229">
        <v>3.5200000000000002E-2</v>
      </c>
      <c r="FA182" s="229">
        <v>0.34549999999999997</v>
      </c>
      <c r="FB182" s="227" t="s">
        <v>555</v>
      </c>
      <c r="FC182">
        <f t="shared" si="3"/>
        <v>0</v>
      </c>
    </row>
    <row r="183" spans="1:159" ht="17.25" thickBot="1" x14ac:dyDescent="0.3">
      <c r="A183" s="226">
        <v>46064</v>
      </c>
      <c r="B183" s="227" t="s">
        <v>197</v>
      </c>
      <c r="C183" s="227" t="s">
        <v>286</v>
      </c>
      <c r="D183" s="228">
        <v>200</v>
      </c>
      <c r="E183" s="228">
        <v>13</v>
      </c>
      <c r="F183" s="231">
        <v>2950.7</v>
      </c>
      <c r="G183" s="231">
        <v>2965.9</v>
      </c>
      <c r="H183" s="228">
        <v>-15.2</v>
      </c>
      <c r="I183" s="229">
        <v>-5.1000000000000004E-3</v>
      </c>
      <c r="J183" s="231">
        <v>2949.1</v>
      </c>
      <c r="K183" s="231">
        <v>2961.9</v>
      </c>
      <c r="L183" s="228">
        <v>-12.8</v>
      </c>
      <c r="M183" s="229">
        <v>-4.3E-3</v>
      </c>
      <c r="N183" s="231">
        <v>2950.7</v>
      </c>
      <c r="O183" s="231">
        <v>2965.9</v>
      </c>
      <c r="P183" s="228">
        <v>-15.2</v>
      </c>
      <c r="Q183" s="229">
        <v>-5.1000000000000004E-3</v>
      </c>
      <c r="R183" s="231">
        <v>2966.9</v>
      </c>
      <c r="S183" s="231">
        <v>2979.6</v>
      </c>
      <c r="T183" s="228">
        <v>-12.7</v>
      </c>
      <c r="U183" s="229">
        <v>-4.3E-3</v>
      </c>
      <c r="V183" s="231">
        <v>2991.6</v>
      </c>
      <c r="W183" s="231">
        <v>3005.7</v>
      </c>
      <c r="X183" s="228">
        <v>-14.1</v>
      </c>
      <c r="Y183" s="229">
        <v>-4.7000000000000002E-3</v>
      </c>
      <c r="Z183" s="228">
        <v>1.6</v>
      </c>
      <c r="AA183" s="228">
        <v>4</v>
      </c>
      <c r="AB183" s="228">
        <v>-2.4</v>
      </c>
      <c r="AC183" s="229">
        <v>5.0000000000000001E-4</v>
      </c>
      <c r="AD183" s="228">
        <v>1.6</v>
      </c>
      <c r="AE183" s="228">
        <v>4</v>
      </c>
      <c r="AF183" s="228">
        <v>-2.4</v>
      </c>
      <c r="AG183" s="229">
        <v>5.0000000000000001E-4</v>
      </c>
      <c r="AH183" s="228">
        <v>17.8</v>
      </c>
      <c r="AI183" s="228">
        <v>17.7</v>
      </c>
      <c r="AJ183" s="228">
        <v>0.1</v>
      </c>
      <c r="AK183" s="229">
        <v>6.0000000000000001E-3</v>
      </c>
      <c r="AL183" s="228">
        <v>42.5</v>
      </c>
      <c r="AM183" s="228">
        <v>43.8</v>
      </c>
      <c r="AN183" s="228">
        <v>-1.3</v>
      </c>
      <c r="AO183" s="229">
        <v>1.44E-2</v>
      </c>
      <c r="AP183" s="231">
        <v>2946.02</v>
      </c>
      <c r="AQ183" s="231">
        <v>2961.2</v>
      </c>
      <c r="AR183" s="228">
        <v>0</v>
      </c>
      <c r="AS183" s="228">
        <v>76</v>
      </c>
      <c r="AT183" s="228">
        <v>136</v>
      </c>
      <c r="AU183" s="228">
        <v>-60</v>
      </c>
      <c r="AV183" s="229">
        <v>-0.44080000000000003</v>
      </c>
      <c r="AW183" s="228">
        <v>69</v>
      </c>
      <c r="AX183" s="228">
        <v>128</v>
      </c>
      <c r="AY183" s="228">
        <v>-59</v>
      </c>
      <c r="AZ183" s="229">
        <v>-0.46</v>
      </c>
      <c r="BA183" s="228">
        <v>6</v>
      </c>
      <c r="BB183" s="228">
        <v>7</v>
      </c>
      <c r="BC183" s="228">
        <v>-1</v>
      </c>
      <c r="BD183" s="229">
        <v>-0.1724</v>
      </c>
      <c r="BE183" s="228">
        <v>1</v>
      </c>
      <c r="BF183" s="228">
        <v>0</v>
      </c>
      <c r="BG183" s="228">
        <v>0</v>
      </c>
      <c r="BH183" s="229">
        <v>1.3332999999999999</v>
      </c>
      <c r="BI183" s="228">
        <v>242</v>
      </c>
      <c r="BJ183" s="228">
        <v>311</v>
      </c>
      <c r="BK183" s="228">
        <v>-69</v>
      </c>
      <c r="BL183" s="229">
        <v>-0.22109999999999999</v>
      </c>
      <c r="BM183" s="228">
        <v>121</v>
      </c>
      <c r="BN183" s="228">
        <v>98</v>
      </c>
      <c r="BO183" s="228">
        <v>23</v>
      </c>
      <c r="BP183" s="229">
        <v>0.23710000000000001</v>
      </c>
      <c r="BQ183" s="228">
        <v>439</v>
      </c>
      <c r="BR183" s="228">
        <v>544</v>
      </c>
      <c r="BS183" s="228">
        <v>-105</v>
      </c>
      <c r="BT183" s="229">
        <v>-0.1933</v>
      </c>
      <c r="BU183" s="230">
        <v>183409</v>
      </c>
      <c r="BV183" s="230">
        <v>227155</v>
      </c>
      <c r="BW183" s="230">
        <v>-43746</v>
      </c>
      <c r="BX183" s="229">
        <v>-0.19259999999999999</v>
      </c>
      <c r="BY183" s="230">
        <v>1097</v>
      </c>
      <c r="BZ183" s="230">
        <v>1095</v>
      </c>
      <c r="CA183" s="228">
        <v>2</v>
      </c>
      <c r="CB183" s="229">
        <v>1.8E-3</v>
      </c>
      <c r="CC183" s="230">
        <v>1074</v>
      </c>
      <c r="CD183" s="230">
        <v>1074</v>
      </c>
      <c r="CE183" s="228">
        <v>1</v>
      </c>
      <c r="CF183" s="229">
        <v>6.9999999999999999E-4</v>
      </c>
      <c r="CG183" s="228">
        <v>20</v>
      </c>
      <c r="CH183" s="228">
        <v>19</v>
      </c>
      <c r="CI183" s="228">
        <v>1</v>
      </c>
      <c r="CJ183" s="229">
        <v>5.33E-2</v>
      </c>
      <c r="CK183" s="228">
        <v>3</v>
      </c>
      <c r="CL183" s="228">
        <v>3</v>
      </c>
      <c r="CM183" s="228">
        <v>0</v>
      </c>
      <c r="CN183" s="229">
        <v>6.9800000000000001E-2</v>
      </c>
      <c r="CO183" s="228">
        <v>385</v>
      </c>
      <c r="CP183" s="228">
        <v>363</v>
      </c>
      <c r="CQ183" s="228">
        <v>22</v>
      </c>
      <c r="CR183" s="229">
        <v>5.9700000000000003E-2</v>
      </c>
      <c r="CS183" s="228">
        <v>234</v>
      </c>
      <c r="CT183" s="228">
        <v>232</v>
      </c>
      <c r="CU183" s="228">
        <v>2</v>
      </c>
      <c r="CV183" s="229">
        <v>7.4000000000000003E-3</v>
      </c>
      <c r="CW183" s="230">
        <v>1715</v>
      </c>
      <c r="CX183" s="230">
        <v>1690</v>
      </c>
      <c r="CY183" s="228">
        <v>25</v>
      </c>
      <c r="CZ183" s="229">
        <v>1.4999999999999999E-2</v>
      </c>
      <c r="DA183" s="228">
        <v>25.43</v>
      </c>
      <c r="DB183" s="228">
        <v>25.34</v>
      </c>
      <c r="DC183" s="228">
        <v>0.09</v>
      </c>
      <c r="DD183" s="228">
        <v>0.09</v>
      </c>
      <c r="DE183" s="228">
        <v>32.590000000000003</v>
      </c>
      <c r="DF183" s="228">
        <v>32.659999999999997</v>
      </c>
      <c r="DG183" s="228">
        <v>-7.16</v>
      </c>
      <c r="DH183" s="228">
        <v>-7.0000000000000007E-2</v>
      </c>
      <c r="DI183" s="228">
        <v>24.71</v>
      </c>
      <c r="DJ183" s="228">
        <v>25.12</v>
      </c>
      <c r="DK183" s="228">
        <v>-0.41</v>
      </c>
      <c r="DL183" s="228">
        <v>-0.41</v>
      </c>
      <c r="DM183" s="228">
        <v>26.87</v>
      </c>
      <c r="DN183" s="228">
        <v>26.03</v>
      </c>
      <c r="DO183" s="228">
        <v>0.84</v>
      </c>
      <c r="DP183" s="228">
        <v>0.84</v>
      </c>
      <c r="DQ183" s="228">
        <v>0.61</v>
      </c>
      <c r="DR183" s="228">
        <v>0.64</v>
      </c>
      <c r="DS183" s="228">
        <v>-0.03</v>
      </c>
      <c r="DT183" s="229">
        <v>-4.6899999999999997E-2</v>
      </c>
      <c r="DU183" s="231">
        <v>3000</v>
      </c>
      <c r="DV183" s="231">
        <v>2800</v>
      </c>
      <c r="DW183" s="228">
        <v>0.5</v>
      </c>
      <c r="DX183" s="228">
        <v>0.32</v>
      </c>
      <c r="DY183" s="228">
        <v>0.18</v>
      </c>
      <c r="DZ183" s="229">
        <v>0.5625</v>
      </c>
      <c r="EA183" s="229">
        <v>2.06E-2</v>
      </c>
      <c r="EB183" s="230">
        <v>72400</v>
      </c>
      <c r="EC183" s="229">
        <v>5.4999999999999997E-3</v>
      </c>
      <c r="ED183" s="229">
        <v>2.06E-2</v>
      </c>
      <c r="EE183" s="228">
        <v>15.18</v>
      </c>
      <c r="EF183" s="229">
        <v>5.1999999999999998E-3</v>
      </c>
      <c r="EG183" s="230">
        <v>112090</v>
      </c>
      <c r="EH183" s="230">
        <v>122302</v>
      </c>
      <c r="EI183" s="229">
        <v>-8.3500000000000005E-2</v>
      </c>
      <c r="EJ183" s="229">
        <v>0.61109999999999998</v>
      </c>
      <c r="EK183" s="228">
        <v>250.52</v>
      </c>
      <c r="EL183" s="228">
        <v>117.45</v>
      </c>
      <c r="EM183" s="228">
        <v>75.75</v>
      </c>
      <c r="EN183" s="228">
        <v>22.59</v>
      </c>
      <c r="EO183" s="228">
        <v>443.72</v>
      </c>
      <c r="EP183" s="228">
        <v>557.55999999999995</v>
      </c>
      <c r="EQ183" s="228">
        <v>-113.84</v>
      </c>
      <c r="ER183" s="229">
        <v>-0.20419999999999999</v>
      </c>
      <c r="ES183" s="228">
        <v>392.1</v>
      </c>
      <c r="ET183" s="228">
        <v>222.69</v>
      </c>
      <c r="EU183" s="231">
        <v>1097.0999999999999</v>
      </c>
      <c r="EV183" s="231">
        <v>18529108</v>
      </c>
      <c r="EW183" s="231">
        <v>1711.89</v>
      </c>
      <c r="EX183" s="231">
        <v>1691.66</v>
      </c>
      <c r="EY183" s="228">
        <v>20.23</v>
      </c>
      <c r="EZ183" s="229">
        <v>1.2E-2</v>
      </c>
      <c r="FA183" s="229">
        <v>0.31380000000000002</v>
      </c>
      <c r="FB183" s="227" t="s">
        <v>567</v>
      </c>
      <c r="FC183">
        <f t="shared" si="3"/>
        <v>0</v>
      </c>
    </row>
    <row r="184" spans="1:159" ht="17.25" thickBot="1" x14ac:dyDescent="0.3">
      <c r="A184" s="226">
        <v>46064</v>
      </c>
      <c r="B184" s="227" t="s">
        <v>170</v>
      </c>
      <c r="C184" s="227" t="s">
        <v>288</v>
      </c>
      <c r="D184" s="228">
        <v>350</v>
      </c>
      <c r="E184" s="228">
        <v>13</v>
      </c>
      <c r="F184" s="231">
        <v>1712</v>
      </c>
      <c r="G184" s="231">
        <v>1708.9</v>
      </c>
      <c r="H184" s="228">
        <v>3.1</v>
      </c>
      <c r="I184" s="229">
        <v>1.8E-3</v>
      </c>
      <c r="J184" s="231">
        <v>1711.1</v>
      </c>
      <c r="K184" s="231">
        <v>1707.8</v>
      </c>
      <c r="L184" s="228">
        <v>3.3</v>
      </c>
      <c r="M184" s="229">
        <v>1.9E-3</v>
      </c>
      <c r="N184" s="231">
        <v>1712</v>
      </c>
      <c r="O184" s="231">
        <v>1708.9</v>
      </c>
      <c r="P184" s="228">
        <v>3.1</v>
      </c>
      <c r="Q184" s="229">
        <v>1.8E-3</v>
      </c>
      <c r="R184" s="231">
        <v>1722.4</v>
      </c>
      <c r="S184" s="231">
        <v>1719.3</v>
      </c>
      <c r="T184" s="228">
        <v>3.1</v>
      </c>
      <c r="U184" s="229">
        <v>1.8E-3</v>
      </c>
      <c r="V184" s="231">
        <v>1732.2</v>
      </c>
      <c r="W184" s="231">
        <v>1729.6</v>
      </c>
      <c r="X184" s="228">
        <v>2.6</v>
      </c>
      <c r="Y184" s="229">
        <v>1.5E-3</v>
      </c>
      <c r="Z184" s="228">
        <v>0.9</v>
      </c>
      <c r="AA184" s="228">
        <v>1.1000000000000001</v>
      </c>
      <c r="AB184" s="228">
        <v>-0.2</v>
      </c>
      <c r="AC184" s="229">
        <v>5.0000000000000001E-4</v>
      </c>
      <c r="AD184" s="228">
        <v>0.9</v>
      </c>
      <c r="AE184" s="228">
        <v>1.1000000000000001</v>
      </c>
      <c r="AF184" s="228">
        <v>-0.2</v>
      </c>
      <c r="AG184" s="229">
        <v>5.0000000000000001E-4</v>
      </c>
      <c r="AH184" s="228">
        <v>11.3</v>
      </c>
      <c r="AI184" s="228">
        <v>11.5</v>
      </c>
      <c r="AJ184" s="228">
        <v>-0.2</v>
      </c>
      <c r="AK184" s="229">
        <v>6.6E-3</v>
      </c>
      <c r="AL184" s="228">
        <v>21.1</v>
      </c>
      <c r="AM184" s="228">
        <v>21.8</v>
      </c>
      <c r="AN184" s="228">
        <v>-0.7</v>
      </c>
      <c r="AO184" s="229">
        <v>1.23E-2</v>
      </c>
      <c r="AP184" s="231">
        <v>1711.53</v>
      </c>
      <c r="AQ184" s="231">
        <v>1722.97</v>
      </c>
      <c r="AR184" s="228">
        <v>0</v>
      </c>
      <c r="AS184" s="228">
        <v>164</v>
      </c>
      <c r="AT184" s="228">
        <v>293</v>
      </c>
      <c r="AU184" s="228">
        <v>-130</v>
      </c>
      <c r="AV184" s="229">
        <v>-0.44190000000000002</v>
      </c>
      <c r="AW184" s="228">
        <v>155</v>
      </c>
      <c r="AX184" s="228">
        <v>279</v>
      </c>
      <c r="AY184" s="228">
        <v>-123</v>
      </c>
      <c r="AZ184" s="229">
        <v>-0.44230000000000003</v>
      </c>
      <c r="BA184" s="228">
        <v>8</v>
      </c>
      <c r="BB184" s="228">
        <v>13</v>
      </c>
      <c r="BC184" s="228">
        <v>-6</v>
      </c>
      <c r="BD184" s="229">
        <v>-0.4375</v>
      </c>
      <c r="BE184" s="228">
        <v>1</v>
      </c>
      <c r="BF184" s="228">
        <v>1</v>
      </c>
      <c r="BG184" s="228">
        <v>0</v>
      </c>
      <c r="BH184" s="229">
        <v>-0.38890000000000002</v>
      </c>
      <c r="BI184" s="230">
        <v>1105</v>
      </c>
      <c r="BJ184" s="230">
        <v>1803</v>
      </c>
      <c r="BK184" s="228">
        <v>-698</v>
      </c>
      <c r="BL184" s="229">
        <v>-0.38729999999999998</v>
      </c>
      <c r="BM184" s="228">
        <v>703</v>
      </c>
      <c r="BN184" s="228">
        <v>925</v>
      </c>
      <c r="BO184" s="228">
        <v>-222</v>
      </c>
      <c r="BP184" s="229">
        <v>-0.2399</v>
      </c>
      <c r="BQ184" s="230">
        <v>1971</v>
      </c>
      <c r="BR184" s="230">
        <v>3021</v>
      </c>
      <c r="BS184" s="230">
        <v>-1050</v>
      </c>
      <c r="BT184" s="229">
        <v>-0.34749999999999998</v>
      </c>
      <c r="BU184" s="230">
        <v>1192686</v>
      </c>
      <c r="BV184" s="230">
        <v>1938210</v>
      </c>
      <c r="BW184" s="230">
        <v>-745524</v>
      </c>
      <c r="BX184" s="229">
        <v>-0.3846</v>
      </c>
      <c r="BY184" s="230">
        <v>3875</v>
      </c>
      <c r="BZ184" s="230">
        <v>3892</v>
      </c>
      <c r="CA184" s="228">
        <v>-17</v>
      </c>
      <c r="CB184" s="229">
        <v>-4.3E-3</v>
      </c>
      <c r="CC184" s="230">
        <v>3803</v>
      </c>
      <c r="CD184" s="230">
        <v>3820</v>
      </c>
      <c r="CE184" s="228">
        <v>-17</v>
      </c>
      <c r="CF184" s="229">
        <v>-4.4999999999999997E-3</v>
      </c>
      <c r="CG184" s="228">
        <v>63</v>
      </c>
      <c r="CH184" s="228">
        <v>63</v>
      </c>
      <c r="CI184" s="228">
        <v>0</v>
      </c>
      <c r="CJ184" s="229">
        <v>1E-3</v>
      </c>
      <c r="CK184" s="228">
        <v>9</v>
      </c>
      <c r="CL184" s="228">
        <v>9</v>
      </c>
      <c r="CM184" s="228">
        <v>0</v>
      </c>
      <c r="CN184" s="229">
        <v>3.27E-2</v>
      </c>
      <c r="CO184" s="230">
        <v>2491</v>
      </c>
      <c r="CP184" s="230">
        <v>2490</v>
      </c>
      <c r="CQ184" s="228">
        <v>1</v>
      </c>
      <c r="CR184" s="229">
        <v>5.0000000000000001E-4</v>
      </c>
      <c r="CS184" s="230">
        <v>1445</v>
      </c>
      <c r="CT184" s="230">
        <v>1461</v>
      </c>
      <c r="CU184" s="228">
        <v>-16</v>
      </c>
      <c r="CV184" s="229">
        <v>-1.11E-2</v>
      </c>
      <c r="CW184" s="230">
        <v>7811</v>
      </c>
      <c r="CX184" s="230">
        <v>7843</v>
      </c>
      <c r="CY184" s="228">
        <v>-32</v>
      </c>
      <c r="CZ184" s="229">
        <v>-4.0000000000000001E-3</v>
      </c>
      <c r="DA184" s="228">
        <v>17.02</v>
      </c>
      <c r="DB184" s="228">
        <v>16.07</v>
      </c>
      <c r="DC184" s="228">
        <v>0.95</v>
      </c>
      <c r="DD184" s="228">
        <v>0.95</v>
      </c>
      <c r="DE184" s="228">
        <v>23.25</v>
      </c>
      <c r="DF184" s="228">
        <v>23.3</v>
      </c>
      <c r="DG184" s="228">
        <v>-6.23</v>
      </c>
      <c r="DH184" s="228">
        <v>-0.05</v>
      </c>
      <c r="DI184" s="228">
        <v>15.26</v>
      </c>
      <c r="DJ184" s="228">
        <v>15.17</v>
      </c>
      <c r="DK184" s="228">
        <v>0.09</v>
      </c>
      <c r="DL184" s="228">
        <v>0.09</v>
      </c>
      <c r="DM184" s="228">
        <v>19.78</v>
      </c>
      <c r="DN184" s="228">
        <v>17.829999999999998</v>
      </c>
      <c r="DO184" s="228">
        <v>1.95</v>
      </c>
      <c r="DP184" s="228">
        <v>1.95</v>
      </c>
      <c r="DQ184" s="228">
        <v>0.57999999999999996</v>
      </c>
      <c r="DR184" s="228">
        <v>0.59</v>
      </c>
      <c r="DS184" s="228">
        <v>-0.01</v>
      </c>
      <c r="DT184" s="229">
        <v>-1.6899999999999998E-2</v>
      </c>
      <c r="DU184" s="231">
        <v>1720</v>
      </c>
      <c r="DV184" s="231">
        <v>1700</v>
      </c>
      <c r="DW184" s="228">
        <v>0.64</v>
      </c>
      <c r="DX184" s="228">
        <v>0.51</v>
      </c>
      <c r="DY184" s="228">
        <v>0.13</v>
      </c>
      <c r="DZ184" s="229">
        <v>0.25490000000000002</v>
      </c>
      <c r="EA184" s="229">
        <v>1.8700000000000001E-2</v>
      </c>
      <c r="EB184" s="230">
        <v>420700</v>
      </c>
      <c r="EC184" s="229">
        <v>6.1000000000000004E-3</v>
      </c>
      <c r="ED184" s="229">
        <v>1.8700000000000001E-2</v>
      </c>
      <c r="EE184" s="228">
        <v>11.44</v>
      </c>
      <c r="EF184" s="229">
        <v>6.7000000000000002E-3</v>
      </c>
      <c r="EG184" s="230">
        <v>893875</v>
      </c>
      <c r="EH184" s="230">
        <v>1428223</v>
      </c>
      <c r="EI184" s="229">
        <v>-0.37409999999999999</v>
      </c>
      <c r="EJ184" s="229">
        <v>0.74950000000000006</v>
      </c>
      <c r="EK184" s="231">
        <v>1125.79</v>
      </c>
      <c r="EL184" s="228">
        <v>680.95</v>
      </c>
      <c r="EM184" s="228">
        <v>163.66</v>
      </c>
      <c r="EN184" s="228">
        <v>56.08</v>
      </c>
      <c r="EO184" s="231">
        <v>1970.4</v>
      </c>
      <c r="EP184" s="231">
        <v>3037.72</v>
      </c>
      <c r="EQ184" s="231">
        <v>-1067.32</v>
      </c>
      <c r="ER184" s="229">
        <v>-0.35139999999999999</v>
      </c>
      <c r="ES184" s="231">
        <v>2476.0700000000002</v>
      </c>
      <c r="ET184" s="231">
        <v>1373.52</v>
      </c>
      <c r="EU184" s="231">
        <v>3875.58</v>
      </c>
      <c r="EV184" s="231">
        <v>109220043</v>
      </c>
      <c r="EW184" s="231">
        <v>7725.16</v>
      </c>
      <c r="EX184" s="231">
        <v>7748.85</v>
      </c>
      <c r="EY184" s="228">
        <v>-23.69</v>
      </c>
      <c r="EZ184" s="229">
        <v>-3.0999999999999999E-3</v>
      </c>
      <c r="FA184" s="229">
        <v>0.4178</v>
      </c>
      <c r="FB184" s="227" t="s">
        <v>556</v>
      </c>
      <c r="FC184">
        <f t="shared" si="3"/>
        <v>0</v>
      </c>
    </row>
    <row r="185" spans="1:159" ht="17.25" thickBot="1" x14ac:dyDescent="0.3">
      <c r="A185" s="226">
        <v>46064</v>
      </c>
      <c r="B185" s="227" t="s">
        <v>184</v>
      </c>
      <c r="C185" s="227" t="s">
        <v>574</v>
      </c>
      <c r="D185" s="228">
        <v>175</v>
      </c>
      <c r="E185" s="228">
        <v>13</v>
      </c>
      <c r="F185" s="231">
        <v>3850.8</v>
      </c>
      <c r="G185" s="231">
        <v>3698.3</v>
      </c>
      <c r="H185" s="228">
        <v>152.5</v>
      </c>
      <c r="I185" s="229">
        <v>4.1200000000000001E-2</v>
      </c>
      <c r="J185" s="231">
        <v>3849.4</v>
      </c>
      <c r="K185" s="231">
        <v>3690.7</v>
      </c>
      <c r="L185" s="228">
        <v>158.69999999999999</v>
      </c>
      <c r="M185" s="229">
        <v>4.2999999999999997E-2</v>
      </c>
      <c r="N185" s="231">
        <v>3850.8</v>
      </c>
      <c r="O185" s="231">
        <v>3698.3</v>
      </c>
      <c r="P185" s="228">
        <v>152.5</v>
      </c>
      <c r="Q185" s="229">
        <v>4.1200000000000001E-2</v>
      </c>
      <c r="R185" s="231">
        <v>3856.2</v>
      </c>
      <c r="S185" s="231">
        <v>3705.4</v>
      </c>
      <c r="T185" s="228">
        <v>150.80000000000001</v>
      </c>
      <c r="U185" s="229">
        <v>4.07E-2</v>
      </c>
      <c r="V185" s="231">
        <v>3870</v>
      </c>
      <c r="W185" s="231">
        <v>3770</v>
      </c>
      <c r="X185" s="228">
        <v>100</v>
      </c>
      <c r="Y185" s="229">
        <v>2.6499999999999999E-2</v>
      </c>
      <c r="Z185" s="228">
        <v>1.4</v>
      </c>
      <c r="AA185" s="228">
        <v>7.6</v>
      </c>
      <c r="AB185" s="228">
        <v>-6.2</v>
      </c>
      <c r="AC185" s="229">
        <v>4.0000000000000002E-4</v>
      </c>
      <c r="AD185" s="228">
        <v>1.4</v>
      </c>
      <c r="AE185" s="228">
        <v>7.6</v>
      </c>
      <c r="AF185" s="228">
        <v>-6.2</v>
      </c>
      <c r="AG185" s="229">
        <v>4.0000000000000002E-4</v>
      </c>
      <c r="AH185" s="228">
        <v>6.8</v>
      </c>
      <c r="AI185" s="228">
        <v>14.7</v>
      </c>
      <c r="AJ185" s="228">
        <v>-7.9</v>
      </c>
      <c r="AK185" s="229">
        <v>1.8E-3</v>
      </c>
      <c r="AL185" s="228">
        <v>20.6</v>
      </c>
      <c r="AM185" s="228">
        <v>79.3</v>
      </c>
      <c r="AN185" s="228">
        <v>-58.7</v>
      </c>
      <c r="AO185" s="229">
        <v>5.4000000000000003E-3</v>
      </c>
      <c r="AP185" s="231">
        <v>3804.92</v>
      </c>
      <c r="AQ185" s="231">
        <v>3799.93</v>
      </c>
      <c r="AR185" s="228">
        <v>0</v>
      </c>
      <c r="AS185" s="228">
        <v>243</v>
      </c>
      <c r="AT185" s="228">
        <v>207</v>
      </c>
      <c r="AU185" s="228">
        <v>36</v>
      </c>
      <c r="AV185" s="229">
        <v>0.17610000000000001</v>
      </c>
      <c r="AW185" s="228">
        <v>217</v>
      </c>
      <c r="AX185" s="228">
        <v>186</v>
      </c>
      <c r="AY185" s="228">
        <v>31</v>
      </c>
      <c r="AZ185" s="229">
        <v>0.1641</v>
      </c>
      <c r="BA185" s="228">
        <v>26</v>
      </c>
      <c r="BB185" s="228">
        <v>20</v>
      </c>
      <c r="BC185" s="228">
        <v>5</v>
      </c>
      <c r="BD185" s="229">
        <v>0.27</v>
      </c>
      <c r="BE185" s="228">
        <v>1</v>
      </c>
      <c r="BF185" s="228">
        <v>0</v>
      </c>
      <c r="BG185" s="228">
        <v>0</v>
      </c>
      <c r="BH185" s="229">
        <v>1</v>
      </c>
      <c r="BI185" s="230">
        <v>1840</v>
      </c>
      <c r="BJ185" s="230">
        <v>1388</v>
      </c>
      <c r="BK185" s="228">
        <v>452</v>
      </c>
      <c r="BL185" s="229">
        <v>0.32569999999999999</v>
      </c>
      <c r="BM185" s="228">
        <v>380</v>
      </c>
      <c r="BN185" s="228">
        <v>293</v>
      </c>
      <c r="BO185" s="228">
        <v>87</v>
      </c>
      <c r="BP185" s="229">
        <v>0.29780000000000001</v>
      </c>
      <c r="BQ185" s="230">
        <v>2463</v>
      </c>
      <c r="BR185" s="230">
        <v>1887</v>
      </c>
      <c r="BS185" s="228">
        <v>576</v>
      </c>
      <c r="BT185" s="229">
        <v>0.30499999999999999</v>
      </c>
      <c r="BU185" s="230">
        <v>606006</v>
      </c>
      <c r="BV185" s="230">
        <v>449201</v>
      </c>
      <c r="BW185" s="230">
        <v>156805</v>
      </c>
      <c r="BX185" s="229">
        <v>0.34910000000000002</v>
      </c>
      <c r="BY185" s="228">
        <v>667</v>
      </c>
      <c r="BZ185" s="228">
        <v>701</v>
      </c>
      <c r="CA185" s="228">
        <v>-34</v>
      </c>
      <c r="CB185" s="229">
        <v>-4.8599999999999997E-2</v>
      </c>
      <c r="CC185" s="228">
        <v>643</v>
      </c>
      <c r="CD185" s="228">
        <v>678</v>
      </c>
      <c r="CE185" s="228">
        <v>-35</v>
      </c>
      <c r="CF185" s="229">
        <v>-5.1400000000000001E-2</v>
      </c>
      <c r="CG185" s="228">
        <v>24</v>
      </c>
      <c r="CH185" s="228">
        <v>23</v>
      </c>
      <c r="CI185" s="228">
        <v>1</v>
      </c>
      <c r="CJ185" s="229">
        <v>2.64E-2</v>
      </c>
      <c r="CK185" s="228">
        <v>1</v>
      </c>
      <c r="CL185" s="228">
        <v>1</v>
      </c>
      <c r="CM185" s="228">
        <v>0</v>
      </c>
      <c r="CN185" s="229">
        <v>0.18179999999999999</v>
      </c>
      <c r="CO185" s="228">
        <v>285</v>
      </c>
      <c r="CP185" s="228">
        <v>312</v>
      </c>
      <c r="CQ185" s="228">
        <v>-27</v>
      </c>
      <c r="CR185" s="229">
        <v>-8.7300000000000003E-2</v>
      </c>
      <c r="CS185" s="228">
        <v>202</v>
      </c>
      <c r="CT185" s="228">
        <v>168</v>
      </c>
      <c r="CU185" s="228">
        <v>34</v>
      </c>
      <c r="CV185" s="229">
        <v>0.2021</v>
      </c>
      <c r="CW185" s="230">
        <v>1154</v>
      </c>
      <c r="CX185" s="230">
        <v>1182</v>
      </c>
      <c r="CY185" s="228">
        <v>-27</v>
      </c>
      <c r="CZ185" s="229">
        <v>-2.3099999999999999E-2</v>
      </c>
      <c r="DA185" s="228">
        <v>30.88</v>
      </c>
      <c r="DB185" s="228">
        <v>30.07</v>
      </c>
      <c r="DC185" s="228">
        <v>0.81</v>
      </c>
      <c r="DD185" s="228">
        <v>0.81</v>
      </c>
      <c r="DE185" s="228">
        <v>38.700000000000003</v>
      </c>
      <c r="DF185" s="228">
        <v>38.369999999999997</v>
      </c>
      <c r="DG185" s="228">
        <v>-7.82</v>
      </c>
      <c r="DH185" s="228">
        <v>0.33</v>
      </c>
      <c r="DI185" s="228">
        <v>30.67</v>
      </c>
      <c r="DJ185" s="228">
        <v>30.13</v>
      </c>
      <c r="DK185" s="228">
        <v>0.54</v>
      </c>
      <c r="DL185" s="228">
        <v>0.54</v>
      </c>
      <c r="DM185" s="228">
        <v>31.88</v>
      </c>
      <c r="DN185" s="228">
        <v>29.78</v>
      </c>
      <c r="DO185" s="228">
        <v>2.1</v>
      </c>
      <c r="DP185" s="228">
        <v>2.1</v>
      </c>
      <c r="DQ185" s="228">
        <v>0.71</v>
      </c>
      <c r="DR185" s="228">
        <v>0.54</v>
      </c>
      <c r="DS185" s="228">
        <v>0.17</v>
      </c>
      <c r="DT185" s="229">
        <v>0.31480000000000002</v>
      </c>
      <c r="DU185" s="231">
        <v>4000</v>
      </c>
      <c r="DV185" s="231">
        <v>3600</v>
      </c>
      <c r="DW185" s="228">
        <v>0.21</v>
      </c>
      <c r="DX185" s="228">
        <v>0.21</v>
      </c>
      <c r="DY185" s="228">
        <v>0</v>
      </c>
      <c r="DZ185" s="229">
        <v>0</v>
      </c>
      <c r="EA185" s="229">
        <v>3.6700000000000003E-2</v>
      </c>
      <c r="EB185" s="230">
        <v>61600</v>
      </c>
      <c r="EC185" s="229">
        <v>1.4E-3</v>
      </c>
      <c r="ED185" s="229">
        <v>3.6700000000000003E-2</v>
      </c>
      <c r="EE185" s="228">
        <v>-4.99</v>
      </c>
      <c r="EF185" s="229">
        <v>-1.2999999999999999E-3</v>
      </c>
      <c r="EG185" s="230">
        <v>322806</v>
      </c>
      <c r="EH185" s="230">
        <v>225530</v>
      </c>
      <c r="EI185" s="229">
        <v>0.43130000000000002</v>
      </c>
      <c r="EJ185" s="229">
        <v>0.53269999999999995</v>
      </c>
      <c r="EK185" s="231">
        <v>1896.28</v>
      </c>
      <c r="EL185" s="228">
        <v>364.15</v>
      </c>
      <c r="EM185" s="228">
        <v>240.09</v>
      </c>
      <c r="EN185" s="228">
        <v>21.25</v>
      </c>
      <c r="EO185" s="231">
        <v>2500.5100000000002</v>
      </c>
      <c r="EP185" s="231">
        <v>1896.96</v>
      </c>
      <c r="EQ185" s="228">
        <v>603.55999999999995</v>
      </c>
      <c r="ER185" s="229">
        <v>0.31819999999999998</v>
      </c>
      <c r="ES185" s="228">
        <v>286.89</v>
      </c>
      <c r="ET185" s="228">
        <v>186.23</v>
      </c>
      <c r="EU185" s="228">
        <v>667.19</v>
      </c>
      <c r="EV185" s="231">
        <v>9736357</v>
      </c>
      <c r="EW185" s="231">
        <v>1140.31</v>
      </c>
      <c r="EX185" s="231">
        <v>1135.8699999999999</v>
      </c>
      <c r="EY185" s="228">
        <v>4.4400000000000004</v>
      </c>
      <c r="EZ185" s="229">
        <v>3.8999999999999998E-3</v>
      </c>
      <c r="FA185" s="229">
        <v>0.30790000000000001</v>
      </c>
      <c r="FB185" s="227" t="s">
        <v>556</v>
      </c>
      <c r="FC185">
        <f t="shared" si="3"/>
        <v>0</v>
      </c>
    </row>
    <row r="186" spans="1:159" ht="17.25" thickBot="1" x14ac:dyDescent="0.3">
      <c r="A186" s="226">
        <v>46064</v>
      </c>
      <c r="B186" s="227" t="s">
        <v>161</v>
      </c>
      <c r="C186" s="227" t="s">
        <v>683</v>
      </c>
      <c r="D186" s="228">
        <v>9025</v>
      </c>
      <c r="E186" s="228">
        <v>13</v>
      </c>
      <c r="F186" s="228">
        <v>47.44</v>
      </c>
      <c r="G186" s="228">
        <v>47.81</v>
      </c>
      <c r="H186" s="228">
        <v>-0.37</v>
      </c>
      <c r="I186" s="229">
        <v>-7.7000000000000002E-3</v>
      </c>
      <c r="J186" s="228">
        <v>47.38</v>
      </c>
      <c r="K186" s="228">
        <v>47.69</v>
      </c>
      <c r="L186" s="228">
        <v>-0.31</v>
      </c>
      <c r="M186" s="229">
        <v>-6.4999999999999997E-3</v>
      </c>
      <c r="N186" s="228">
        <v>47.44</v>
      </c>
      <c r="O186" s="228">
        <v>47.81</v>
      </c>
      <c r="P186" s="228">
        <v>-0.37</v>
      </c>
      <c r="Q186" s="229">
        <v>-7.7000000000000002E-3</v>
      </c>
      <c r="R186" s="228">
        <v>47.72</v>
      </c>
      <c r="S186" s="228">
        <v>48.09</v>
      </c>
      <c r="T186" s="228">
        <v>-0.37</v>
      </c>
      <c r="U186" s="229">
        <v>-7.7000000000000002E-3</v>
      </c>
      <c r="V186" s="228">
        <v>48.07</v>
      </c>
      <c r="W186" s="228">
        <v>48.41</v>
      </c>
      <c r="X186" s="228">
        <v>-0.34</v>
      </c>
      <c r="Y186" s="229">
        <v>-7.0000000000000001E-3</v>
      </c>
      <c r="Z186" s="228">
        <v>0.06</v>
      </c>
      <c r="AA186" s="228">
        <v>0.12</v>
      </c>
      <c r="AB186" s="228">
        <v>-0.06</v>
      </c>
      <c r="AC186" s="229">
        <v>1.2999999999999999E-3</v>
      </c>
      <c r="AD186" s="228">
        <v>0.06</v>
      </c>
      <c r="AE186" s="228">
        <v>0.12</v>
      </c>
      <c r="AF186" s="228">
        <v>-0.06</v>
      </c>
      <c r="AG186" s="229">
        <v>1.2999999999999999E-3</v>
      </c>
      <c r="AH186" s="228">
        <v>0.34</v>
      </c>
      <c r="AI186" s="228">
        <v>0.4</v>
      </c>
      <c r="AJ186" s="228">
        <v>-0.06</v>
      </c>
      <c r="AK186" s="229">
        <v>7.1999999999999998E-3</v>
      </c>
      <c r="AL186" s="228">
        <v>0.69</v>
      </c>
      <c r="AM186" s="228">
        <v>0.72</v>
      </c>
      <c r="AN186" s="228">
        <v>-0.03</v>
      </c>
      <c r="AO186" s="229">
        <v>1.46E-2</v>
      </c>
      <c r="AP186" s="228">
        <v>47.14</v>
      </c>
      <c r="AQ186" s="228">
        <v>47.37</v>
      </c>
      <c r="AR186" s="228">
        <v>0</v>
      </c>
      <c r="AS186" s="228">
        <v>225</v>
      </c>
      <c r="AT186" s="228">
        <v>155</v>
      </c>
      <c r="AU186" s="228">
        <v>70</v>
      </c>
      <c r="AV186" s="229">
        <v>0.45250000000000001</v>
      </c>
      <c r="AW186" s="228">
        <v>184</v>
      </c>
      <c r="AX186" s="228">
        <v>127</v>
      </c>
      <c r="AY186" s="228">
        <v>58</v>
      </c>
      <c r="AZ186" s="229">
        <v>0.45469999999999999</v>
      </c>
      <c r="BA186" s="228">
        <v>36</v>
      </c>
      <c r="BB186" s="228">
        <v>23</v>
      </c>
      <c r="BC186" s="228">
        <v>12</v>
      </c>
      <c r="BD186" s="229">
        <v>0.53200000000000003</v>
      </c>
      <c r="BE186" s="228">
        <v>5</v>
      </c>
      <c r="BF186" s="228">
        <v>5</v>
      </c>
      <c r="BG186" s="228">
        <v>0</v>
      </c>
      <c r="BH186" s="229">
        <v>-9.2999999999999992E-3</v>
      </c>
      <c r="BI186" s="228">
        <v>740</v>
      </c>
      <c r="BJ186" s="228">
        <v>649</v>
      </c>
      <c r="BK186" s="228">
        <v>91</v>
      </c>
      <c r="BL186" s="229">
        <v>0.13969999999999999</v>
      </c>
      <c r="BM186" s="228">
        <v>181</v>
      </c>
      <c r="BN186" s="228">
        <v>121</v>
      </c>
      <c r="BO186" s="228">
        <v>60</v>
      </c>
      <c r="BP186" s="229">
        <v>0.49419999999999997</v>
      </c>
      <c r="BQ186" s="230">
        <v>1145</v>
      </c>
      <c r="BR186" s="228">
        <v>925</v>
      </c>
      <c r="BS186" s="228">
        <v>221</v>
      </c>
      <c r="BT186" s="229">
        <v>0.23849999999999999</v>
      </c>
      <c r="BU186" s="230">
        <v>64589818</v>
      </c>
      <c r="BV186" s="230">
        <v>46521477</v>
      </c>
      <c r="BW186" s="230">
        <v>18068341</v>
      </c>
      <c r="BX186" s="229">
        <v>0.38840000000000002</v>
      </c>
      <c r="BY186" s="230">
        <v>1583</v>
      </c>
      <c r="BZ186" s="230">
        <v>1575</v>
      </c>
      <c r="CA186" s="228">
        <v>9</v>
      </c>
      <c r="CB186" s="229">
        <v>5.4999999999999997E-3</v>
      </c>
      <c r="CC186" s="230">
        <v>1419</v>
      </c>
      <c r="CD186" s="230">
        <v>1430</v>
      </c>
      <c r="CE186" s="228">
        <v>-11</v>
      </c>
      <c r="CF186" s="229">
        <v>-7.7000000000000002E-3</v>
      </c>
      <c r="CG186" s="228">
        <v>146</v>
      </c>
      <c r="CH186" s="228">
        <v>129</v>
      </c>
      <c r="CI186" s="228">
        <v>17</v>
      </c>
      <c r="CJ186" s="229">
        <v>0.13350000000000001</v>
      </c>
      <c r="CK186" s="228">
        <v>18</v>
      </c>
      <c r="CL186" s="228">
        <v>16</v>
      </c>
      <c r="CM186" s="228">
        <v>2</v>
      </c>
      <c r="CN186" s="229">
        <v>0.15490000000000001</v>
      </c>
      <c r="CO186" s="230">
        <v>1083</v>
      </c>
      <c r="CP186" s="230">
        <v>1051</v>
      </c>
      <c r="CQ186" s="228">
        <v>32</v>
      </c>
      <c r="CR186" s="229">
        <v>3.04E-2</v>
      </c>
      <c r="CS186" s="228">
        <v>337</v>
      </c>
      <c r="CT186" s="228">
        <v>330</v>
      </c>
      <c r="CU186" s="228">
        <v>7</v>
      </c>
      <c r="CV186" s="229">
        <v>2.12E-2</v>
      </c>
      <c r="CW186" s="230">
        <v>3003</v>
      </c>
      <c r="CX186" s="230">
        <v>2955</v>
      </c>
      <c r="CY186" s="228">
        <v>48</v>
      </c>
      <c r="CZ186" s="229">
        <v>1.61E-2</v>
      </c>
      <c r="DA186" s="228">
        <v>35.93</v>
      </c>
      <c r="DB186" s="228">
        <v>38.770000000000003</v>
      </c>
      <c r="DC186" s="228">
        <v>-2.84</v>
      </c>
      <c r="DD186" s="228">
        <v>-2.84</v>
      </c>
      <c r="DE186" s="228">
        <v>46.32</v>
      </c>
      <c r="DF186" s="228">
        <v>46.42</v>
      </c>
      <c r="DG186" s="228">
        <v>-10.39</v>
      </c>
      <c r="DH186" s="228">
        <v>-0.1</v>
      </c>
      <c r="DI186" s="228">
        <v>36.159999999999997</v>
      </c>
      <c r="DJ186" s="228">
        <v>39.229999999999997</v>
      </c>
      <c r="DK186" s="228">
        <v>-3.07</v>
      </c>
      <c r="DL186" s="228">
        <v>-3.07</v>
      </c>
      <c r="DM186" s="228">
        <v>34.99</v>
      </c>
      <c r="DN186" s="228">
        <v>36.33</v>
      </c>
      <c r="DO186" s="228">
        <v>-1.34</v>
      </c>
      <c r="DP186" s="228">
        <v>-1.34</v>
      </c>
      <c r="DQ186" s="228">
        <v>0.31</v>
      </c>
      <c r="DR186" s="228">
        <v>0.31</v>
      </c>
      <c r="DS186" s="228">
        <v>0</v>
      </c>
      <c r="DT186" s="229">
        <v>0</v>
      </c>
      <c r="DU186" s="228">
        <v>50</v>
      </c>
      <c r="DV186" s="228">
        <v>45</v>
      </c>
      <c r="DW186" s="228">
        <v>0.24</v>
      </c>
      <c r="DX186" s="228">
        <v>0.19</v>
      </c>
      <c r="DY186" s="228">
        <v>0.05</v>
      </c>
      <c r="DZ186" s="229">
        <v>0.26319999999999999</v>
      </c>
      <c r="EA186" s="229">
        <v>0.1038</v>
      </c>
      <c r="EB186" s="230">
        <v>30495475</v>
      </c>
      <c r="EC186" s="229">
        <v>5.8999999999999999E-3</v>
      </c>
      <c r="ED186" s="229">
        <v>0.1038</v>
      </c>
      <c r="EE186" s="228">
        <v>0.23</v>
      </c>
      <c r="EF186" s="229">
        <v>4.8999999999999998E-3</v>
      </c>
      <c r="EG186" s="230">
        <v>27515993</v>
      </c>
      <c r="EH186" s="230">
        <v>21667062</v>
      </c>
      <c r="EI186" s="229">
        <v>0.26989999999999997</v>
      </c>
      <c r="EJ186" s="229">
        <v>0.42599999999999999</v>
      </c>
      <c r="EK186" s="228">
        <v>798.82</v>
      </c>
      <c r="EL186" s="228">
        <v>180.86</v>
      </c>
      <c r="EM186" s="228">
        <v>223.39</v>
      </c>
      <c r="EN186" s="228">
        <v>64.040000000000006</v>
      </c>
      <c r="EO186" s="231">
        <v>1203.07</v>
      </c>
      <c r="EP186" s="231">
        <v>1002.96</v>
      </c>
      <c r="EQ186" s="228">
        <v>200.1</v>
      </c>
      <c r="ER186" s="229">
        <v>0.19950000000000001</v>
      </c>
      <c r="ES186" s="231">
        <v>1189.5</v>
      </c>
      <c r="ET186" s="228">
        <v>339.27</v>
      </c>
      <c r="EU186" s="231">
        <v>1584.39</v>
      </c>
      <c r="EV186" s="231">
        <v>1814982173</v>
      </c>
      <c r="EW186" s="231">
        <v>3113.16</v>
      </c>
      <c r="EX186" s="231">
        <v>3079.01</v>
      </c>
      <c r="EY186" s="228">
        <v>34.15</v>
      </c>
      <c r="EZ186" s="229">
        <v>1.11E-2</v>
      </c>
      <c r="FA186" s="229">
        <v>0.3488</v>
      </c>
      <c r="FB186" s="227" t="s">
        <v>567</v>
      </c>
      <c r="FC186">
        <f t="shared" si="3"/>
        <v>0</v>
      </c>
    </row>
    <row r="187" spans="1:159" ht="17.25" thickBot="1" x14ac:dyDescent="0.3">
      <c r="A187" s="226">
        <v>46064</v>
      </c>
      <c r="B187" s="227" t="s">
        <v>615</v>
      </c>
      <c r="C187" s="227" t="s">
        <v>692</v>
      </c>
      <c r="D187" s="228">
        <v>1300</v>
      </c>
      <c r="E187" s="228">
        <v>13</v>
      </c>
      <c r="F187" s="228">
        <v>341.6</v>
      </c>
      <c r="G187" s="228">
        <v>354</v>
      </c>
      <c r="H187" s="228">
        <v>-12.4</v>
      </c>
      <c r="I187" s="229">
        <v>-3.5000000000000003E-2</v>
      </c>
      <c r="J187" s="228">
        <v>342.3</v>
      </c>
      <c r="K187" s="228">
        <v>355.75</v>
      </c>
      <c r="L187" s="228">
        <v>-13.45</v>
      </c>
      <c r="M187" s="229">
        <v>-3.78E-2</v>
      </c>
      <c r="N187" s="228">
        <v>341.6</v>
      </c>
      <c r="O187" s="228">
        <v>354</v>
      </c>
      <c r="P187" s="228">
        <v>-12.4</v>
      </c>
      <c r="Q187" s="229">
        <v>-3.5000000000000003E-2</v>
      </c>
      <c r="R187" s="228">
        <v>339.2</v>
      </c>
      <c r="S187" s="228">
        <v>351.95</v>
      </c>
      <c r="T187" s="228">
        <v>-12.75</v>
      </c>
      <c r="U187" s="229">
        <v>-3.6200000000000003E-2</v>
      </c>
      <c r="V187" s="228">
        <v>338.6</v>
      </c>
      <c r="W187" s="228">
        <v>350.55</v>
      </c>
      <c r="X187" s="228">
        <v>-11.95</v>
      </c>
      <c r="Y187" s="229">
        <v>-3.4099999999999998E-2</v>
      </c>
      <c r="Z187" s="228">
        <v>-0.7</v>
      </c>
      <c r="AA187" s="228">
        <v>-1.75</v>
      </c>
      <c r="AB187" s="228">
        <v>1.05</v>
      </c>
      <c r="AC187" s="229">
        <v>-2E-3</v>
      </c>
      <c r="AD187" s="228">
        <v>-0.7</v>
      </c>
      <c r="AE187" s="228">
        <v>-1.75</v>
      </c>
      <c r="AF187" s="228">
        <v>1.05</v>
      </c>
      <c r="AG187" s="229">
        <v>-2E-3</v>
      </c>
      <c r="AH187" s="228">
        <v>-3.1</v>
      </c>
      <c r="AI187" s="228">
        <v>-3.8</v>
      </c>
      <c r="AJ187" s="228">
        <v>0.7</v>
      </c>
      <c r="AK187" s="229">
        <v>-9.1000000000000004E-3</v>
      </c>
      <c r="AL187" s="228">
        <v>-3.7</v>
      </c>
      <c r="AM187" s="228">
        <v>-5.2</v>
      </c>
      <c r="AN187" s="228">
        <v>1.5</v>
      </c>
      <c r="AO187" s="229">
        <v>-1.0800000000000001E-2</v>
      </c>
      <c r="AP187" s="228">
        <v>343.6</v>
      </c>
      <c r="AQ187" s="228">
        <v>340.7</v>
      </c>
      <c r="AR187" s="228">
        <v>0</v>
      </c>
      <c r="AS187" s="228">
        <v>385</v>
      </c>
      <c r="AT187" s="228">
        <v>924</v>
      </c>
      <c r="AU187" s="228">
        <v>-539</v>
      </c>
      <c r="AV187" s="229">
        <v>-0.58330000000000004</v>
      </c>
      <c r="AW187" s="228">
        <v>281</v>
      </c>
      <c r="AX187" s="228">
        <v>745</v>
      </c>
      <c r="AY187" s="228">
        <v>-464</v>
      </c>
      <c r="AZ187" s="229">
        <v>-0.62219999999999998</v>
      </c>
      <c r="BA187" s="228">
        <v>102</v>
      </c>
      <c r="BB187" s="228">
        <v>174</v>
      </c>
      <c r="BC187" s="228">
        <v>-71</v>
      </c>
      <c r="BD187" s="229">
        <v>-0.40939999999999999</v>
      </c>
      <c r="BE187" s="228">
        <v>1</v>
      </c>
      <c r="BF187" s="228">
        <v>6</v>
      </c>
      <c r="BG187" s="228">
        <v>-5</v>
      </c>
      <c r="BH187" s="229">
        <v>-0.78949999999999998</v>
      </c>
      <c r="BI187" s="228">
        <v>631</v>
      </c>
      <c r="BJ187" s="230">
        <v>1896</v>
      </c>
      <c r="BK187" s="230">
        <v>-1265</v>
      </c>
      <c r="BL187" s="229">
        <v>-0.6673</v>
      </c>
      <c r="BM187" s="228">
        <v>407</v>
      </c>
      <c r="BN187" s="228">
        <v>667</v>
      </c>
      <c r="BO187" s="228">
        <v>-261</v>
      </c>
      <c r="BP187" s="229">
        <v>-0.3906</v>
      </c>
      <c r="BQ187" s="230">
        <v>1423</v>
      </c>
      <c r="BR187" s="230">
        <v>3487</v>
      </c>
      <c r="BS187" s="230">
        <v>-2065</v>
      </c>
      <c r="BT187" s="229">
        <v>-0.59209999999999996</v>
      </c>
      <c r="BU187" s="230">
        <v>8093842</v>
      </c>
      <c r="BV187" s="230">
        <v>31081429</v>
      </c>
      <c r="BW187" s="230">
        <v>-22987587</v>
      </c>
      <c r="BX187" s="229">
        <v>-0.73960000000000004</v>
      </c>
      <c r="BY187" s="230">
        <v>1401</v>
      </c>
      <c r="BZ187" s="230">
        <v>1322</v>
      </c>
      <c r="CA187" s="228">
        <v>79</v>
      </c>
      <c r="CB187" s="229">
        <v>5.9900000000000002E-2</v>
      </c>
      <c r="CC187" s="230">
        <v>1235</v>
      </c>
      <c r="CD187" s="230">
        <v>1206</v>
      </c>
      <c r="CE187" s="228">
        <v>29</v>
      </c>
      <c r="CF187" s="229">
        <v>2.41E-2</v>
      </c>
      <c r="CG187" s="228">
        <v>160</v>
      </c>
      <c r="CH187" s="228">
        <v>110</v>
      </c>
      <c r="CI187" s="228">
        <v>50</v>
      </c>
      <c r="CJ187" s="229">
        <v>0.44829999999999998</v>
      </c>
      <c r="CK187" s="228">
        <v>5</v>
      </c>
      <c r="CL187" s="228">
        <v>5</v>
      </c>
      <c r="CM187" s="228">
        <v>1</v>
      </c>
      <c r="CN187" s="229">
        <v>0.1215</v>
      </c>
      <c r="CO187" s="228">
        <v>227</v>
      </c>
      <c r="CP187" s="228">
        <v>251</v>
      </c>
      <c r="CQ187" s="228">
        <v>-23</v>
      </c>
      <c r="CR187" s="229">
        <v>-9.35E-2</v>
      </c>
      <c r="CS187" s="228">
        <v>252</v>
      </c>
      <c r="CT187" s="228">
        <v>248</v>
      </c>
      <c r="CU187" s="228">
        <v>4</v>
      </c>
      <c r="CV187" s="229">
        <v>1.6500000000000001E-2</v>
      </c>
      <c r="CW187" s="230">
        <v>1880</v>
      </c>
      <c r="CX187" s="230">
        <v>1820</v>
      </c>
      <c r="CY187" s="228">
        <v>60</v>
      </c>
      <c r="CZ187" s="229">
        <v>3.2800000000000003E-2</v>
      </c>
      <c r="DA187" s="228">
        <v>40.43</v>
      </c>
      <c r="DB187" s="228">
        <v>42.54</v>
      </c>
      <c r="DC187" s="228">
        <v>-2.11</v>
      </c>
      <c r="DD187" s="228">
        <v>-2.11</v>
      </c>
      <c r="DE187" s="228">
        <v>45.64</v>
      </c>
      <c r="DF187" s="228">
        <v>45.46</v>
      </c>
      <c r="DG187" s="228">
        <v>-5.21</v>
      </c>
      <c r="DH187" s="228">
        <v>0.18</v>
      </c>
      <c r="DI187" s="228">
        <v>39.65</v>
      </c>
      <c r="DJ187" s="228">
        <v>41.68</v>
      </c>
      <c r="DK187" s="228">
        <v>-2.0299999999999998</v>
      </c>
      <c r="DL187" s="228">
        <v>-2.0299999999999998</v>
      </c>
      <c r="DM187" s="228">
        <v>41.63</v>
      </c>
      <c r="DN187" s="228">
        <v>44.97</v>
      </c>
      <c r="DO187" s="228">
        <v>-3.34</v>
      </c>
      <c r="DP187" s="228">
        <v>-3.34</v>
      </c>
      <c r="DQ187" s="228">
        <v>1.1100000000000001</v>
      </c>
      <c r="DR187" s="228">
        <v>0.99</v>
      </c>
      <c r="DS187" s="228">
        <v>0.12</v>
      </c>
      <c r="DT187" s="229">
        <v>0.1212</v>
      </c>
      <c r="DU187" s="228">
        <v>350</v>
      </c>
      <c r="DV187" s="228">
        <v>300</v>
      </c>
      <c r="DW187" s="228">
        <v>0.65</v>
      </c>
      <c r="DX187" s="228">
        <v>0.35</v>
      </c>
      <c r="DY187" s="228">
        <v>0.3</v>
      </c>
      <c r="DZ187" s="229">
        <v>0.85709999999999997</v>
      </c>
      <c r="EA187" s="229">
        <v>0.11799999999999999</v>
      </c>
      <c r="EB187" s="230">
        <v>3372200</v>
      </c>
      <c r="EC187" s="229">
        <v>-7.0000000000000001E-3</v>
      </c>
      <c r="ED187" s="229">
        <v>0.11799999999999999</v>
      </c>
      <c r="EE187" s="228">
        <v>-2.9</v>
      </c>
      <c r="EF187" s="229">
        <v>-8.3999999999999995E-3</v>
      </c>
      <c r="EG187" s="230">
        <v>2663910</v>
      </c>
      <c r="EH187" s="230">
        <v>13410545</v>
      </c>
      <c r="EI187" s="229">
        <v>-0.8014</v>
      </c>
      <c r="EJ187" s="229">
        <v>0.3291</v>
      </c>
      <c r="EK187" s="228">
        <v>678.17</v>
      </c>
      <c r="EL187" s="228">
        <v>404.03</v>
      </c>
      <c r="EM187" s="228">
        <v>386.57</v>
      </c>
      <c r="EN187" s="228">
        <v>82.62</v>
      </c>
      <c r="EO187" s="231">
        <v>1468.77</v>
      </c>
      <c r="EP187" s="231">
        <v>3619.13</v>
      </c>
      <c r="EQ187" s="231">
        <v>-2150.36</v>
      </c>
      <c r="ER187" s="229">
        <v>-0.59419999999999995</v>
      </c>
      <c r="ES187" s="228">
        <v>232.88</v>
      </c>
      <c r="ET187" s="228">
        <v>232.35</v>
      </c>
      <c r="EU187" s="231">
        <v>1399.5</v>
      </c>
      <c r="EV187" s="231">
        <v>375529891</v>
      </c>
      <c r="EW187" s="231">
        <v>1864.74</v>
      </c>
      <c r="EX187" s="231">
        <v>1856.93</v>
      </c>
      <c r="EY187" s="228">
        <v>7.81</v>
      </c>
      <c r="EZ187" s="229">
        <v>4.1999999999999997E-3</v>
      </c>
      <c r="FA187" s="229">
        <v>0.14660000000000001</v>
      </c>
      <c r="FB187" s="227" t="s">
        <v>567</v>
      </c>
      <c r="FC187">
        <f t="shared" si="3"/>
        <v>0</v>
      </c>
    </row>
    <row r="188" spans="1:159" ht="17.25" thickBot="1" x14ac:dyDescent="0.3">
      <c r="A188" s="226">
        <v>46064</v>
      </c>
      <c r="B188" s="227" t="s">
        <v>170</v>
      </c>
      <c r="C188" s="227" t="s">
        <v>520</v>
      </c>
      <c r="D188" s="228">
        <v>1000</v>
      </c>
      <c r="E188" s="228">
        <v>13</v>
      </c>
      <c r="F188" s="228">
        <v>456.75</v>
      </c>
      <c r="G188" s="228">
        <v>454.65</v>
      </c>
      <c r="H188" s="228">
        <v>2.1</v>
      </c>
      <c r="I188" s="229">
        <v>4.5999999999999999E-3</v>
      </c>
      <c r="J188" s="228">
        <v>455.1</v>
      </c>
      <c r="K188" s="228">
        <v>452.8</v>
      </c>
      <c r="L188" s="228">
        <v>2.2999999999999998</v>
      </c>
      <c r="M188" s="229">
        <v>5.1000000000000004E-3</v>
      </c>
      <c r="N188" s="228">
        <v>456.75</v>
      </c>
      <c r="O188" s="228">
        <v>454.65</v>
      </c>
      <c r="P188" s="228">
        <v>2.1</v>
      </c>
      <c r="Q188" s="229">
        <v>4.5999999999999999E-3</v>
      </c>
      <c r="R188" s="228">
        <v>459.25</v>
      </c>
      <c r="S188" s="228">
        <v>457.05</v>
      </c>
      <c r="T188" s="228">
        <v>2.2000000000000002</v>
      </c>
      <c r="U188" s="229">
        <v>4.7999999999999996E-3</v>
      </c>
      <c r="V188" s="228">
        <v>0</v>
      </c>
      <c r="W188" s="228">
        <v>0</v>
      </c>
      <c r="X188" s="228">
        <v>0</v>
      </c>
      <c r="Y188" s="229">
        <v>0</v>
      </c>
      <c r="Z188" s="228">
        <v>1.65</v>
      </c>
      <c r="AA188" s="228">
        <v>1.85</v>
      </c>
      <c r="AB188" s="228">
        <v>-0.2</v>
      </c>
      <c r="AC188" s="229">
        <v>3.5999999999999999E-3</v>
      </c>
      <c r="AD188" s="228">
        <v>1.65</v>
      </c>
      <c r="AE188" s="228">
        <v>1.85</v>
      </c>
      <c r="AF188" s="228">
        <v>-0.2</v>
      </c>
      <c r="AG188" s="229">
        <v>3.5999999999999999E-3</v>
      </c>
      <c r="AH188" s="228">
        <v>4.1500000000000004</v>
      </c>
      <c r="AI188" s="228">
        <v>4.25</v>
      </c>
      <c r="AJ188" s="228">
        <v>-0.1</v>
      </c>
      <c r="AK188" s="229">
        <v>9.1000000000000004E-3</v>
      </c>
      <c r="AL188" s="228">
        <v>0</v>
      </c>
      <c r="AM188" s="228">
        <v>0</v>
      </c>
      <c r="AN188" s="228">
        <v>0</v>
      </c>
      <c r="AO188" s="229">
        <v>0</v>
      </c>
      <c r="AP188" s="228">
        <v>457.28</v>
      </c>
      <c r="AQ188" s="228">
        <v>459.54</v>
      </c>
      <c r="AR188" s="228">
        <v>0</v>
      </c>
      <c r="AS188" s="228">
        <v>141</v>
      </c>
      <c r="AT188" s="228">
        <v>89</v>
      </c>
      <c r="AU188" s="228">
        <v>52</v>
      </c>
      <c r="AV188" s="229">
        <v>0.59030000000000005</v>
      </c>
      <c r="AW188" s="228">
        <v>123</v>
      </c>
      <c r="AX188" s="228">
        <v>79</v>
      </c>
      <c r="AY188" s="228">
        <v>44</v>
      </c>
      <c r="AZ188" s="229">
        <v>0.54900000000000004</v>
      </c>
      <c r="BA188" s="228">
        <v>18</v>
      </c>
      <c r="BB188" s="228">
        <v>9</v>
      </c>
      <c r="BC188" s="228">
        <v>9</v>
      </c>
      <c r="BD188" s="229">
        <v>0.93720000000000003</v>
      </c>
      <c r="BE188" s="228">
        <v>0</v>
      </c>
      <c r="BF188" s="228">
        <v>0</v>
      </c>
      <c r="BG188" s="228">
        <v>0</v>
      </c>
      <c r="BH188" s="229">
        <v>0</v>
      </c>
      <c r="BI188" s="228">
        <v>333</v>
      </c>
      <c r="BJ188" s="228">
        <v>178</v>
      </c>
      <c r="BK188" s="228">
        <v>155</v>
      </c>
      <c r="BL188" s="229">
        <v>0.86799999999999999</v>
      </c>
      <c r="BM188" s="228">
        <v>95</v>
      </c>
      <c r="BN188" s="228">
        <v>55</v>
      </c>
      <c r="BO188" s="228">
        <v>40</v>
      </c>
      <c r="BP188" s="229">
        <v>0.73229999999999995</v>
      </c>
      <c r="BQ188" s="228">
        <v>569</v>
      </c>
      <c r="BR188" s="228">
        <v>322</v>
      </c>
      <c r="BS188" s="228">
        <v>247</v>
      </c>
      <c r="BT188" s="229">
        <v>0.76829999999999998</v>
      </c>
      <c r="BU188" s="230">
        <v>3131558</v>
      </c>
      <c r="BV188" s="230">
        <v>1235976</v>
      </c>
      <c r="BW188" s="230">
        <v>1895582</v>
      </c>
      <c r="BX188" s="229">
        <v>1.5337000000000001</v>
      </c>
      <c r="BY188" s="228">
        <v>496</v>
      </c>
      <c r="BZ188" s="228">
        <v>454</v>
      </c>
      <c r="CA188" s="228">
        <v>42</v>
      </c>
      <c r="CB188" s="229">
        <v>9.2700000000000005E-2</v>
      </c>
      <c r="CC188" s="228">
        <v>457</v>
      </c>
      <c r="CD188" s="228">
        <v>420</v>
      </c>
      <c r="CE188" s="228">
        <v>37</v>
      </c>
      <c r="CF188" s="229">
        <v>8.9399999999999993E-2</v>
      </c>
      <c r="CG188" s="228">
        <v>39</v>
      </c>
      <c r="CH188" s="228">
        <v>35</v>
      </c>
      <c r="CI188" s="228">
        <v>5</v>
      </c>
      <c r="CJ188" s="229">
        <v>0.13270000000000001</v>
      </c>
      <c r="CK188" s="228">
        <v>0</v>
      </c>
      <c r="CL188" s="228">
        <v>0</v>
      </c>
      <c r="CM188" s="228">
        <v>0</v>
      </c>
      <c r="CN188" s="229">
        <v>0</v>
      </c>
      <c r="CO188" s="228">
        <v>451</v>
      </c>
      <c r="CP188" s="228">
        <v>439</v>
      </c>
      <c r="CQ188" s="228">
        <v>11</v>
      </c>
      <c r="CR188" s="229">
        <v>2.5600000000000001E-2</v>
      </c>
      <c r="CS188" s="228">
        <v>253</v>
      </c>
      <c r="CT188" s="228">
        <v>248</v>
      </c>
      <c r="CU188" s="228">
        <v>5</v>
      </c>
      <c r="CV188" s="229">
        <v>2.0500000000000001E-2</v>
      </c>
      <c r="CW188" s="230">
        <v>1200</v>
      </c>
      <c r="CX188" s="230">
        <v>1141</v>
      </c>
      <c r="CY188" s="228">
        <v>58</v>
      </c>
      <c r="CZ188" s="229">
        <v>5.1200000000000002E-2</v>
      </c>
      <c r="DA188" s="228">
        <v>41.36</v>
      </c>
      <c r="DB188" s="228">
        <v>41.26</v>
      </c>
      <c r="DC188" s="228">
        <v>0.1</v>
      </c>
      <c r="DD188" s="228">
        <v>0.1</v>
      </c>
      <c r="DE188" s="228">
        <v>36.340000000000003</v>
      </c>
      <c r="DF188" s="228">
        <v>36.43</v>
      </c>
      <c r="DG188" s="228">
        <v>5.0199999999999996</v>
      </c>
      <c r="DH188" s="228">
        <v>-0.09</v>
      </c>
      <c r="DI188" s="228">
        <v>41.72</v>
      </c>
      <c r="DJ188" s="228">
        <v>41.81</v>
      </c>
      <c r="DK188" s="228">
        <v>-0.09</v>
      </c>
      <c r="DL188" s="228">
        <v>-0.09</v>
      </c>
      <c r="DM188" s="228">
        <v>40.1</v>
      </c>
      <c r="DN188" s="228">
        <v>39.479999999999997</v>
      </c>
      <c r="DO188" s="228">
        <v>0.62</v>
      </c>
      <c r="DP188" s="228">
        <v>0.62</v>
      </c>
      <c r="DQ188" s="228">
        <v>0.56000000000000005</v>
      </c>
      <c r="DR188" s="228">
        <v>0.56000000000000005</v>
      </c>
      <c r="DS188" s="228">
        <v>0</v>
      </c>
      <c r="DT188" s="229">
        <v>0</v>
      </c>
      <c r="DU188" s="228">
        <v>500</v>
      </c>
      <c r="DV188" s="228">
        <v>450</v>
      </c>
      <c r="DW188" s="228">
        <v>0.28000000000000003</v>
      </c>
      <c r="DX188" s="228">
        <v>0.31</v>
      </c>
      <c r="DY188" s="228">
        <v>-0.03</v>
      </c>
      <c r="DZ188" s="229">
        <v>-9.6799999999999997E-2</v>
      </c>
      <c r="EA188" s="229">
        <v>7.9299999999999995E-2</v>
      </c>
      <c r="EB188" s="230">
        <v>761000</v>
      </c>
      <c r="EC188" s="229">
        <v>5.4999999999999997E-3</v>
      </c>
      <c r="ED188" s="229">
        <v>7.9299999999999995E-2</v>
      </c>
      <c r="EE188" s="228">
        <v>2.2599999999999998</v>
      </c>
      <c r="EF188" s="229">
        <v>4.8999999999999998E-3</v>
      </c>
      <c r="EG188" s="230">
        <v>2158412</v>
      </c>
      <c r="EH188" s="230">
        <v>684735</v>
      </c>
      <c r="EI188" s="229">
        <v>2.1522000000000001</v>
      </c>
      <c r="EJ188" s="229">
        <v>0.68920000000000003</v>
      </c>
      <c r="EK188" s="228">
        <v>356.96</v>
      </c>
      <c r="EL188" s="228">
        <v>96.62</v>
      </c>
      <c r="EM188" s="228">
        <v>141.38999999999999</v>
      </c>
      <c r="EN188" s="228">
        <v>20.91</v>
      </c>
      <c r="EO188" s="228">
        <v>594.97</v>
      </c>
      <c r="EP188" s="228">
        <v>337.79</v>
      </c>
      <c r="EQ188" s="228">
        <v>257.18</v>
      </c>
      <c r="ER188" s="229">
        <v>0.76139999999999997</v>
      </c>
      <c r="ES188" s="228">
        <v>511.48</v>
      </c>
      <c r="ET188" s="228">
        <v>270.04000000000002</v>
      </c>
      <c r="EU188" s="228">
        <v>496.66</v>
      </c>
      <c r="EV188" s="231">
        <v>24733183</v>
      </c>
      <c r="EW188" s="231">
        <v>1278.17</v>
      </c>
      <c r="EX188" s="231">
        <v>1218.28</v>
      </c>
      <c r="EY188" s="228">
        <v>59.89</v>
      </c>
      <c r="EZ188" s="229">
        <v>4.9200000000000001E-2</v>
      </c>
      <c r="FA188" s="229">
        <v>1.0621</v>
      </c>
      <c r="FB188" s="227" t="s">
        <v>555</v>
      </c>
      <c r="FC188">
        <f t="shared" si="3"/>
        <v>0</v>
      </c>
    </row>
    <row r="189" spans="1:159" ht="17.25" thickBot="1" x14ac:dyDescent="0.3">
      <c r="A189" s="226">
        <v>46064</v>
      </c>
      <c r="B189" s="227" t="s">
        <v>168</v>
      </c>
      <c r="C189" s="227" t="s">
        <v>291</v>
      </c>
      <c r="D189" s="228">
        <v>550</v>
      </c>
      <c r="E189" s="228">
        <v>13</v>
      </c>
      <c r="F189" s="231">
        <v>1155.7</v>
      </c>
      <c r="G189" s="231">
        <v>1156.2</v>
      </c>
      <c r="H189" s="228">
        <v>-0.5</v>
      </c>
      <c r="I189" s="229">
        <v>-4.0000000000000002E-4</v>
      </c>
      <c r="J189" s="231">
        <v>1152.5999999999999</v>
      </c>
      <c r="K189" s="231">
        <v>1152.2</v>
      </c>
      <c r="L189" s="228">
        <v>0.4</v>
      </c>
      <c r="M189" s="229">
        <v>2.9999999999999997E-4</v>
      </c>
      <c r="N189" s="231">
        <v>1155.7</v>
      </c>
      <c r="O189" s="231">
        <v>1156.2</v>
      </c>
      <c r="P189" s="228">
        <v>-0.5</v>
      </c>
      <c r="Q189" s="229">
        <v>-4.0000000000000002E-4</v>
      </c>
      <c r="R189" s="231">
        <v>1163.4000000000001</v>
      </c>
      <c r="S189" s="231">
        <v>1162.8</v>
      </c>
      <c r="T189" s="228">
        <v>0.6</v>
      </c>
      <c r="U189" s="229">
        <v>5.0000000000000001E-4</v>
      </c>
      <c r="V189" s="231">
        <v>1170.7</v>
      </c>
      <c r="W189" s="231">
        <v>1169</v>
      </c>
      <c r="X189" s="228">
        <v>1.7</v>
      </c>
      <c r="Y189" s="229">
        <v>1.5E-3</v>
      </c>
      <c r="Z189" s="228">
        <v>3.1</v>
      </c>
      <c r="AA189" s="228">
        <v>4</v>
      </c>
      <c r="AB189" s="228">
        <v>-0.9</v>
      </c>
      <c r="AC189" s="229">
        <v>2.7000000000000001E-3</v>
      </c>
      <c r="AD189" s="228">
        <v>3.1</v>
      </c>
      <c r="AE189" s="228">
        <v>4</v>
      </c>
      <c r="AF189" s="228">
        <v>-0.9</v>
      </c>
      <c r="AG189" s="229">
        <v>2.7000000000000001E-3</v>
      </c>
      <c r="AH189" s="228">
        <v>10.8</v>
      </c>
      <c r="AI189" s="228">
        <v>10.6</v>
      </c>
      <c r="AJ189" s="228">
        <v>0.2</v>
      </c>
      <c r="AK189" s="229">
        <v>9.4000000000000004E-3</v>
      </c>
      <c r="AL189" s="228">
        <v>18.100000000000001</v>
      </c>
      <c r="AM189" s="228">
        <v>16.8</v>
      </c>
      <c r="AN189" s="228">
        <v>1.3</v>
      </c>
      <c r="AO189" s="229">
        <v>1.5699999999999999E-2</v>
      </c>
      <c r="AP189" s="231">
        <v>1157.8599999999999</v>
      </c>
      <c r="AQ189" s="231">
        <v>1165.5899999999999</v>
      </c>
      <c r="AR189" s="228">
        <v>0</v>
      </c>
      <c r="AS189" s="228">
        <v>96</v>
      </c>
      <c r="AT189" s="228">
        <v>147</v>
      </c>
      <c r="AU189" s="228">
        <v>-50</v>
      </c>
      <c r="AV189" s="229">
        <v>-0.34300000000000003</v>
      </c>
      <c r="AW189" s="228">
        <v>91</v>
      </c>
      <c r="AX189" s="228">
        <v>128</v>
      </c>
      <c r="AY189" s="228">
        <v>-38</v>
      </c>
      <c r="AZ189" s="229">
        <v>-0.29270000000000002</v>
      </c>
      <c r="BA189" s="228">
        <v>5</v>
      </c>
      <c r="BB189" s="228">
        <v>18</v>
      </c>
      <c r="BC189" s="228">
        <v>-13</v>
      </c>
      <c r="BD189" s="229">
        <v>-0.71279999999999999</v>
      </c>
      <c r="BE189" s="228">
        <v>0</v>
      </c>
      <c r="BF189" s="228">
        <v>0</v>
      </c>
      <c r="BG189" s="228">
        <v>0</v>
      </c>
      <c r="BH189" s="229">
        <v>0.2</v>
      </c>
      <c r="BI189" s="228">
        <v>263</v>
      </c>
      <c r="BJ189" s="228">
        <v>357</v>
      </c>
      <c r="BK189" s="228">
        <v>-95</v>
      </c>
      <c r="BL189" s="229">
        <v>-0.26540000000000002</v>
      </c>
      <c r="BM189" s="228">
        <v>80</v>
      </c>
      <c r="BN189" s="228">
        <v>202</v>
      </c>
      <c r="BO189" s="228">
        <v>-123</v>
      </c>
      <c r="BP189" s="229">
        <v>-0.60580000000000001</v>
      </c>
      <c r="BQ189" s="228">
        <v>439</v>
      </c>
      <c r="BR189" s="228">
        <v>706</v>
      </c>
      <c r="BS189" s="228">
        <v>-268</v>
      </c>
      <c r="BT189" s="229">
        <v>-0.379</v>
      </c>
      <c r="BU189" s="230">
        <v>766971</v>
      </c>
      <c r="BV189" s="230">
        <v>1046398</v>
      </c>
      <c r="BW189" s="230">
        <v>-279427</v>
      </c>
      <c r="BX189" s="229">
        <v>-0.26700000000000002</v>
      </c>
      <c r="BY189" s="230">
        <v>1565</v>
      </c>
      <c r="BZ189" s="230">
        <v>1571</v>
      </c>
      <c r="CA189" s="228">
        <v>-6</v>
      </c>
      <c r="CB189" s="229">
        <v>-3.7000000000000002E-3</v>
      </c>
      <c r="CC189" s="230">
        <v>1501</v>
      </c>
      <c r="CD189" s="230">
        <v>1507</v>
      </c>
      <c r="CE189" s="228">
        <v>-6</v>
      </c>
      <c r="CF189" s="229">
        <v>-4.1000000000000003E-3</v>
      </c>
      <c r="CG189" s="228">
        <v>60</v>
      </c>
      <c r="CH189" s="228">
        <v>60</v>
      </c>
      <c r="CI189" s="228">
        <v>0</v>
      </c>
      <c r="CJ189" s="229">
        <v>2.0999999999999999E-3</v>
      </c>
      <c r="CK189" s="228">
        <v>4</v>
      </c>
      <c r="CL189" s="228">
        <v>4</v>
      </c>
      <c r="CM189" s="228">
        <v>0</v>
      </c>
      <c r="CN189" s="229">
        <v>0.05</v>
      </c>
      <c r="CO189" s="228">
        <v>525</v>
      </c>
      <c r="CP189" s="228">
        <v>513</v>
      </c>
      <c r="CQ189" s="228">
        <v>12</v>
      </c>
      <c r="CR189" s="229">
        <v>2.41E-2</v>
      </c>
      <c r="CS189" s="228">
        <v>393</v>
      </c>
      <c r="CT189" s="228">
        <v>393</v>
      </c>
      <c r="CU189" s="228">
        <v>0</v>
      </c>
      <c r="CV189" s="229">
        <v>0</v>
      </c>
      <c r="CW189" s="230">
        <v>2483</v>
      </c>
      <c r="CX189" s="230">
        <v>2477</v>
      </c>
      <c r="CY189" s="228">
        <v>6</v>
      </c>
      <c r="CZ189" s="229">
        <v>2.5999999999999999E-3</v>
      </c>
      <c r="DA189" s="228">
        <v>22.71</v>
      </c>
      <c r="DB189" s="228">
        <v>23.4</v>
      </c>
      <c r="DC189" s="228">
        <v>-0.69</v>
      </c>
      <c r="DD189" s="228">
        <v>-0.69</v>
      </c>
      <c r="DE189" s="228">
        <v>27.52</v>
      </c>
      <c r="DF189" s="228">
        <v>27.59</v>
      </c>
      <c r="DG189" s="228">
        <v>-4.8099999999999996</v>
      </c>
      <c r="DH189" s="228">
        <v>-7.0000000000000007E-2</v>
      </c>
      <c r="DI189" s="228">
        <v>22.58</v>
      </c>
      <c r="DJ189" s="228">
        <v>22.82</v>
      </c>
      <c r="DK189" s="228">
        <v>-0.24</v>
      </c>
      <c r="DL189" s="228">
        <v>-0.24</v>
      </c>
      <c r="DM189" s="228">
        <v>23.14</v>
      </c>
      <c r="DN189" s="228">
        <v>24.41</v>
      </c>
      <c r="DO189" s="228">
        <v>-1.27</v>
      </c>
      <c r="DP189" s="228">
        <v>-1.27</v>
      </c>
      <c r="DQ189" s="228">
        <v>0.75</v>
      </c>
      <c r="DR189" s="228">
        <v>0.77</v>
      </c>
      <c r="DS189" s="228">
        <v>-0.02</v>
      </c>
      <c r="DT189" s="229">
        <v>-2.5999999999999999E-2</v>
      </c>
      <c r="DU189" s="231">
        <v>1200</v>
      </c>
      <c r="DV189" s="231">
        <v>1120</v>
      </c>
      <c r="DW189" s="228">
        <v>0.3</v>
      </c>
      <c r="DX189" s="228">
        <v>0.56999999999999995</v>
      </c>
      <c r="DY189" s="228">
        <v>-0.27</v>
      </c>
      <c r="DZ189" s="229">
        <v>-0.47370000000000001</v>
      </c>
      <c r="EA189" s="229">
        <v>4.1099999999999998E-2</v>
      </c>
      <c r="EB189" s="230">
        <v>553300</v>
      </c>
      <c r="EC189" s="229">
        <v>6.7000000000000002E-3</v>
      </c>
      <c r="ED189" s="229">
        <v>4.1099999999999998E-2</v>
      </c>
      <c r="EE189" s="228">
        <v>7.73</v>
      </c>
      <c r="EF189" s="229">
        <v>6.7000000000000002E-3</v>
      </c>
      <c r="EG189" s="230">
        <v>399660</v>
      </c>
      <c r="EH189" s="230">
        <v>677652</v>
      </c>
      <c r="EI189" s="229">
        <v>-0.41020000000000001</v>
      </c>
      <c r="EJ189" s="229">
        <v>0.52110000000000001</v>
      </c>
      <c r="EK189" s="228">
        <v>272.58999999999997</v>
      </c>
      <c r="EL189" s="228">
        <v>78.61</v>
      </c>
      <c r="EM189" s="228">
        <v>96.52</v>
      </c>
      <c r="EN189" s="228">
        <v>26.53</v>
      </c>
      <c r="EO189" s="228">
        <v>447.72</v>
      </c>
      <c r="EP189" s="228">
        <v>717.23</v>
      </c>
      <c r="EQ189" s="228">
        <v>-269.51</v>
      </c>
      <c r="ER189" s="229">
        <v>-0.37580000000000002</v>
      </c>
      <c r="ES189" s="228">
        <v>549.32000000000005</v>
      </c>
      <c r="ET189" s="228">
        <v>368.78</v>
      </c>
      <c r="EU189" s="231">
        <v>1565.77</v>
      </c>
      <c r="EV189" s="231">
        <v>65472326</v>
      </c>
      <c r="EW189" s="231">
        <v>2483.87</v>
      </c>
      <c r="EX189" s="231">
        <v>2477.63</v>
      </c>
      <c r="EY189" s="228">
        <v>6.24</v>
      </c>
      <c r="EZ189" s="229">
        <v>2.5000000000000001E-3</v>
      </c>
      <c r="FA189" s="229">
        <v>0.32819999999999999</v>
      </c>
      <c r="FB189" s="227" t="s">
        <v>568</v>
      </c>
      <c r="FC189">
        <f t="shared" si="3"/>
        <v>0</v>
      </c>
    </row>
    <row r="190" spans="1:159" ht="17.25" thickBot="1" x14ac:dyDescent="0.3">
      <c r="A190" s="226">
        <v>46064</v>
      </c>
      <c r="B190" s="227" t="s">
        <v>221</v>
      </c>
      <c r="C190" s="227" t="s">
        <v>604</v>
      </c>
      <c r="D190" s="228">
        <v>100</v>
      </c>
      <c r="E190" s="228">
        <v>13</v>
      </c>
      <c r="F190" s="231">
        <v>5240</v>
      </c>
      <c r="G190" s="231">
        <v>5385.5</v>
      </c>
      <c r="H190" s="228">
        <v>-145.5</v>
      </c>
      <c r="I190" s="229">
        <v>-2.7E-2</v>
      </c>
      <c r="J190" s="231">
        <v>5250.5</v>
      </c>
      <c r="K190" s="231">
        <v>5381</v>
      </c>
      <c r="L190" s="228">
        <v>-130.5</v>
      </c>
      <c r="M190" s="229">
        <v>-2.4299999999999999E-2</v>
      </c>
      <c r="N190" s="231">
        <v>5240</v>
      </c>
      <c r="O190" s="231">
        <v>5385.5</v>
      </c>
      <c r="P190" s="228">
        <v>-145.5</v>
      </c>
      <c r="Q190" s="229">
        <v>-2.7E-2</v>
      </c>
      <c r="R190" s="231">
        <v>5232</v>
      </c>
      <c r="S190" s="231">
        <v>5375.5</v>
      </c>
      <c r="T190" s="228">
        <v>-143.5</v>
      </c>
      <c r="U190" s="229">
        <v>-2.6700000000000002E-2</v>
      </c>
      <c r="V190" s="231">
        <v>5240</v>
      </c>
      <c r="W190" s="231">
        <v>5389</v>
      </c>
      <c r="X190" s="228">
        <v>-149</v>
      </c>
      <c r="Y190" s="229">
        <v>-2.76E-2</v>
      </c>
      <c r="Z190" s="228">
        <v>-10.5</v>
      </c>
      <c r="AA190" s="228">
        <v>4.5</v>
      </c>
      <c r="AB190" s="228">
        <v>-15</v>
      </c>
      <c r="AC190" s="229">
        <v>-2E-3</v>
      </c>
      <c r="AD190" s="228">
        <v>-10.5</v>
      </c>
      <c r="AE190" s="228">
        <v>4.5</v>
      </c>
      <c r="AF190" s="228">
        <v>-15</v>
      </c>
      <c r="AG190" s="229">
        <v>-2E-3</v>
      </c>
      <c r="AH190" s="228">
        <v>-18.5</v>
      </c>
      <c r="AI190" s="228">
        <v>-5.5</v>
      </c>
      <c r="AJ190" s="228">
        <v>-13</v>
      </c>
      <c r="AK190" s="229">
        <v>-3.5000000000000001E-3</v>
      </c>
      <c r="AL190" s="228">
        <v>-10.5</v>
      </c>
      <c r="AM190" s="228">
        <v>8</v>
      </c>
      <c r="AN190" s="228">
        <v>-18.5</v>
      </c>
      <c r="AO190" s="229">
        <v>-2E-3</v>
      </c>
      <c r="AP190" s="231">
        <v>5277.36</v>
      </c>
      <c r="AQ190" s="231">
        <v>5268.24</v>
      </c>
      <c r="AR190" s="228">
        <v>0</v>
      </c>
      <c r="AS190" s="228">
        <v>150</v>
      </c>
      <c r="AT190" s="228">
        <v>195</v>
      </c>
      <c r="AU190" s="228">
        <v>-45</v>
      </c>
      <c r="AV190" s="229">
        <v>-0.22939999999999999</v>
      </c>
      <c r="AW190" s="228">
        <v>111</v>
      </c>
      <c r="AX190" s="228">
        <v>164</v>
      </c>
      <c r="AY190" s="228">
        <v>-53</v>
      </c>
      <c r="AZ190" s="229">
        <v>-0.3216</v>
      </c>
      <c r="BA190" s="228">
        <v>38</v>
      </c>
      <c r="BB190" s="228">
        <v>29</v>
      </c>
      <c r="BC190" s="228">
        <v>8</v>
      </c>
      <c r="BD190" s="229">
        <v>0.27400000000000002</v>
      </c>
      <c r="BE190" s="228">
        <v>2</v>
      </c>
      <c r="BF190" s="228">
        <v>2</v>
      </c>
      <c r="BG190" s="228">
        <v>0</v>
      </c>
      <c r="BH190" s="229">
        <v>-5.8799999999999998E-2</v>
      </c>
      <c r="BI190" s="228">
        <v>781</v>
      </c>
      <c r="BJ190" s="230">
        <v>1635</v>
      </c>
      <c r="BK190" s="228">
        <v>-854</v>
      </c>
      <c r="BL190" s="229">
        <v>-0.52210000000000001</v>
      </c>
      <c r="BM190" s="228">
        <v>239</v>
      </c>
      <c r="BN190" s="228">
        <v>309</v>
      </c>
      <c r="BO190" s="228">
        <v>-70</v>
      </c>
      <c r="BP190" s="229">
        <v>-0.22550000000000001</v>
      </c>
      <c r="BQ190" s="230">
        <v>1171</v>
      </c>
      <c r="BR190" s="230">
        <v>2139</v>
      </c>
      <c r="BS190" s="228">
        <v>-968</v>
      </c>
      <c r="BT190" s="229">
        <v>-0.45250000000000001</v>
      </c>
      <c r="BU190" s="230">
        <v>167998</v>
      </c>
      <c r="BV190" s="230">
        <v>234402</v>
      </c>
      <c r="BW190" s="230">
        <v>-66404</v>
      </c>
      <c r="BX190" s="229">
        <v>-0.2833</v>
      </c>
      <c r="BY190" s="228">
        <v>744</v>
      </c>
      <c r="BZ190" s="228">
        <v>716</v>
      </c>
      <c r="CA190" s="228">
        <v>28</v>
      </c>
      <c r="CB190" s="229">
        <v>3.9699999999999999E-2</v>
      </c>
      <c r="CC190" s="228">
        <v>617</v>
      </c>
      <c r="CD190" s="228">
        <v>609</v>
      </c>
      <c r="CE190" s="228">
        <v>8</v>
      </c>
      <c r="CF190" s="229">
        <v>1.38E-2</v>
      </c>
      <c r="CG190" s="228">
        <v>121</v>
      </c>
      <c r="CH190" s="228">
        <v>102</v>
      </c>
      <c r="CI190" s="228">
        <v>19</v>
      </c>
      <c r="CJ190" s="229">
        <v>0.18640000000000001</v>
      </c>
      <c r="CK190" s="228">
        <v>6</v>
      </c>
      <c r="CL190" s="228">
        <v>5</v>
      </c>
      <c r="CM190" s="228">
        <v>1</v>
      </c>
      <c r="CN190" s="229">
        <v>0.19800000000000001</v>
      </c>
      <c r="CO190" s="230">
        <v>1017</v>
      </c>
      <c r="CP190" s="228">
        <v>920</v>
      </c>
      <c r="CQ190" s="228">
        <v>97</v>
      </c>
      <c r="CR190" s="229">
        <v>0.1056</v>
      </c>
      <c r="CS190" s="228">
        <v>279</v>
      </c>
      <c r="CT190" s="228">
        <v>283</v>
      </c>
      <c r="CU190" s="228">
        <v>-4</v>
      </c>
      <c r="CV190" s="229">
        <v>-1.4999999999999999E-2</v>
      </c>
      <c r="CW190" s="230">
        <v>2040</v>
      </c>
      <c r="CX190" s="230">
        <v>1919</v>
      </c>
      <c r="CY190" s="228">
        <v>121</v>
      </c>
      <c r="CZ190" s="229">
        <v>6.3200000000000006E-2</v>
      </c>
      <c r="DA190" s="228">
        <v>38.880000000000003</v>
      </c>
      <c r="DB190" s="228">
        <v>37.5</v>
      </c>
      <c r="DC190" s="228">
        <v>1.38</v>
      </c>
      <c r="DD190" s="228">
        <v>1.38</v>
      </c>
      <c r="DE190" s="228">
        <v>37.76</v>
      </c>
      <c r="DF190" s="228">
        <v>37.67</v>
      </c>
      <c r="DG190" s="228">
        <v>1.1200000000000001</v>
      </c>
      <c r="DH190" s="228">
        <v>0.09</v>
      </c>
      <c r="DI190" s="228">
        <v>39.43</v>
      </c>
      <c r="DJ190" s="228">
        <v>37.58</v>
      </c>
      <c r="DK190" s="228">
        <v>1.85</v>
      </c>
      <c r="DL190" s="228">
        <v>1.85</v>
      </c>
      <c r="DM190" s="228">
        <v>37.1</v>
      </c>
      <c r="DN190" s="228">
        <v>37.090000000000003</v>
      </c>
      <c r="DO190" s="228">
        <v>0.01</v>
      </c>
      <c r="DP190" s="228">
        <v>0.01</v>
      </c>
      <c r="DQ190" s="228">
        <v>0.27</v>
      </c>
      <c r="DR190" s="228">
        <v>0.31</v>
      </c>
      <c r="DS190" s="228">
        <v>-0.04</v>
      </c>
      <c r="DT190" s="229">
        <v>-0.129</v>
      </c>
      <c r="DU190" s="231">
        <v>6000</v>
      </c>
      <c r="DV190" s="231">
        <v>5000</v>
      </c>
      <c r="DW190" s="228">
        <v>0.31</v>
      </c>
      <c r="DX190" s="228">
        <v>0.19</v>
      </c>
      <c r="DY190" s="228">
        <v>0.12</v>
      </c>
      <c r="DZ190" s="229">
        <v>0.63160000000000005</v>
      </c>
      <c r="EA190" s="229">
        <v>0.17080000000000001</v>
      </c>
      <c r="EB190" s="230">
        <v>204300</v>
      </c>
      <c r="EC190" s="229">
        <v>-1.5E-3</v>
      </c>
      <c r="ED190" s="229">
        <v>0.17080000000000001</v>
      </c>
      <c r="EE190" s="228">
        <v>-9.1199999999999992</v>
      </c>
      <c r="EF190" s="229">
        <v>-1.6999999999999999E-3</v>
      </c>
      <c r="EG190" s="230">
        <v>74225</v>
      </c>
      <c r="EH190" s="230">
        <v>77066</v>
      </c>
      <c r="EI190" s="229">
        <v>-3.6900000000000002E-2</v>
      </c>
      <c r="EJ190" s="229">
        <v>0.44180000000000003</v>
      </c>
      <c r="EK190" s="228">
        <v>847.21</v>
      </c>
      <c r="EL190" s="228">
        <v>237.58</v>
      </c>
      <c r="EM190" s="228">
        <v>151.5</v>
      </c>
      <c r="EN190" s="228">
        <v>52.06</v>
      </c>
      <c r="EO190" s="231">
        <v>1236.29</v>
      </c>
      <c r="EP190" s="231">
        <v>2282.5100000000002</v>
      </c>
      <c r="EQ190" s="231">
        <v>-1046.22</v>
      </c>
      <c r="ER190" s="229">
        <v>-0.45839999999999997</v>
      </c>
      <c r="ES190" s="231">
        <v>1122.73</v>
      </c>
      <c r="ET190" s="228">
        <v>275.47000000000003</v>
      </c>
      <c r="EU190" s="228">
        <v>744</v>
      </c>
      <c r="EV190" s="231">
        <v>5241546</v>
      </c>
      <c r="EW190" s="231">
        <v>2142.1999999999998</v>
      </c>
      <c r="EX190" s="231">
        <v>2036.51</v>
      </c>
      <c r="EY190" s="228">
        <v>105.69</v>
      </c>
      <c r="EZ190" s="229">
        <v>5.1900000000000002E-2</v>
      </c>
      <c r="FA190" s="229">
        <v>0.7429</v>
      </c>
      <c r="FB190" s="227" t="s">
        <v>567</v>
      </c>
      <c r="FC190">
        <f t="shared" si="3"/>
        <v>0</v>
      </c>
    </row>
    <row r="191" spans="1:159" ht="17.25" thickBot="1" x14ac:dyDescent="0.3">
      <c r="A191" s="226">
        <v>46064</v>
      </c>
      <c r="B191" s="227" t="s">
        <v>161</v>
      </c>
      <c r="C191" s="227" t="s">
        <v>293</v>
      </c>
      <c r="D191" s="228">
        <v>1450</v>
      </c>
      <c r="E191" s="228">
        <v>13</v>
      </c>
      <c r="F191" s="228">
        <v>376.8</v>
      </c>
      <c r="G191" s="228">
        <v>370.8</v>
      </c>
      <c r="H191" s="228">
        <v>6</v>
      </c>
      <c r="I191" s="229">
        <v>1.6199999999999999E-2</v>
      </c>
      <c r="J191" s="228">
        <v>375.65</v>
      </c>
      <c r="K191" s="228">
        <v>369.95</v>
      </c>
      <c r="L191" s="228">
        <v>5.7</v>
      </c>
      <c r="M191" s="229">
        <v>1.54E-2</v>
      </c>
      <c r="N191" s="228">
        <v>376.8</v>
      </c>
      <c r="O191" s="228">
        <v>370.8</v>
      </c>
      <c r="P191" s="228">
        <v>6</v>
      </c>
      <c r="Q191" s="229">
        <v>1.6199999999999999E-2</v>
      </c>
      <c r="R191" s="228">
        <v>379.05</v>
      </c>
      <c r="S191" s="228">
        <v>373.1</v>
      </c>
      <c r="T191" s="228">
        <v>5.95</v>
      </c>
      <c r="U191" s="229">
        <v>1.5900000000000001E-2</v>
      </c>
      <c r="V191" s="228">
        <v>381.55</v>
      </c>
      <c r="W191" s="228">
        <v>375.65</v>
      </c>
      <c r="X191" s="228">
        <v>5.9</v>
      </c>
      <c r="Y191" s="229">
        <v>1.5699999999999999E-2</v>
      </c>
      <c r="Z191" s="228">
        <v>1.1499999999999999</v>
      </c>
      <c r="AA191" s="228">
        <v>0.85</v>
      </c>
      <c r="AB191" s="228">
        <v>0.3</v>
      </c>
      <c r="AC191" s="229">
        <v>3.0999999999999999E-3</v>
      </c>
      <c r="AD191" s="228">
        <v>1.1499999999999999</v>
      </c>
      <c r="AE191" s="228">
        <v>0.85</v>
      </c>
      <c r="AF191" s="228">
        <v>0.3</v>
      </c>
      <c r="AG191" s="229">
        <v>3.0999999999999999E-3</v>
      </c>
      <c r="AH191" s="228">
        <v>3.4</v>
      </c>
      <c r="AI191" s="228">
        <v>3.15</v>
      </c>
      <c r="AJ191" s="228">
        <v>0.25</v>
      </c>
      <c r="AK191" s="229">
        <v>9.1000000000000004E-3</v>
      </c>
      <c r="AL191" s="228">
        <v>5.9</v>
      </c>
      <c r="AM191" s="228">
        <v>5.7</v>
      </c>
      <c r="AN191" s="228">
        <v>0.2</v>
      </c>
      <c r="AO191" s="229">
        <v>1.5699999999999999E-2</v>
      </c>
      <c r="AP191" s="228">
        <v>373.28</v>
      </c>
      <c r="AQ191" s="228">
        <v>374.93</v>
      </c>
      <c r="AR191" s="228">
        <v>0</v>
      </c>
      <c r="AS191" s="228">
        <v>261</v>
      </c>
      <c r="AT191" s="228">
        <v>111</v>
      </c>
      <c r="AU191" s="228">
        <v>150</v>
      </c>
      <c r="AV191" s="229">
        <v>1.3532</v>
      </c>
      <c r="AW191" s="228">
        <v>221</v>
      </c>
      <c r="AX191" s="228">
        <v>90</v>
      </c>
      <c r="AY191" s="228">
        <v>131</v>
      </c>
      <c r="AZ191" s="229">
        <v>1.4631000000000001</v>
      </c>
      <c r="BA191" s="228">
        <v>35</v>
      </c>
      <c r="BB191" s="228">
        <v>20</v>
      </c>
      <c r="BC191" s="228">
        <v>15</v>
      </c>
      <c r="BD191" s="229">
        <v>0.77749999999999997</v>
      </c>
      <c r="BE191" s="228">
        <v>5</v>
      </c>
      <c r="BF191" s="228">
        <v>2</v>
      </c>
      <c r="BG191" s="228">
        <v>4</v>
      </c>
      <c r="BH191" s="229">
        <v>2.3929</v>
      </c>
      <c r="BI191" s="230">
        <v>1687</v>
      </c>
      <c r="BJ191" s="228">
        <v>633</v>
      </c>
      <c r="BK191" s="230">
        <v>1054</v>
      </c>
      <c r="BL191" s="229">
        <v>1.6651</v>
      </c>
      <c r="BM191" s="228">
        <v>654</v>
      </c>
      <c r="BN191" s="228">
        <v>391</v>
      </c>
      <c r="BO191" s="228">
        <v>263</v>
      </c>
      <c r="BP191" s="229">
        <v>0.67269999999999996</v>
      </c>
      <c r="BQ191" s="230">
        <v>2602</v>
      </c>
      <c r="BR191" s="230">
        <v>1135</v>
      </c>
      <c r="BS191" s="230">
        <v>1467</v>
      </c>
      <c r="BT191" s="229">
        <v>1.2927999999999999</v>
      </c>
      <c r="BU191" s="230">
        <v>3660476</v>
      </c>
      <c r="BV191" s="230">
        <v>2170477</v>
      </c>
      <c r="BW191" s="230">
        <v>1489999</v>
      </c>
      <c r="BX191" s="229">
        <v>0.6865</v>
      </c>
      <c r="BY191" s="230">
        <v>2148</v>
      </c>
      <c r="BZ191" s="230">
        <v>2153</v>
      </c>
      <c r="CA191" s="228">
        <v>-5</v>
      </c>
      <c r="CB191" s="229">
        <v>-2.5000000000000001E-3</v>
      </c>
      <c r="CC191" s="230">
        <v>2036</v>
      </c>
      <c r="CD191" s="230">
        <v>2050</v>
      </c>
      <c r="CE191" s="228">
        <v>-14</v>
      </c>
      <c r="CF191" s="229">
        <v>-6.7000000000000002E-3</v>
      </c>
      <c r="CG191" s="228">
        <v>95</v>
      </c>
      <c r="CH191" s="228">
        <v>89</v>
      </c>
      <c r="CI191" s="228">
        <v>7</v>
      </c>
      <c r="CJ191" s="229">
        <v>7.7200000000000005E-2</v>
      </c>
      <c r="CK191" s="228">
        <v>17</v>
      </c>
      <c r="CL191" s="228">
        <v>15</v>
      </c>
      <c r="CM191" s="228">
        <v>2</v>
      </c>
      <c r="CN191" s="229">
        <v>0.1004</v>
      </c>
      <c r="CO191" s="230">
        <v>1337</v>
      </c>
      <c r="CP191" s="230">
        <v>1287</v>
      </c>
      <c r="CQ191" s="228">
        <v>50</v>
      </c>
      <c r="CR191" s="229">
        <v>3.8699999999999998E-2</v>
      </c>
      <c r="CS191" s="230">
        <v>1056</v>
      </c>
      <c r="CT191" s="230">
        <v>1047</v>
      </c>
      <c r="CU191" s="228">
        <v>9</v>
      </c>
      <c r="CV191" s="229">
        <v>8.6999999999999994E-3</v>
      </c>
      <c r="CW191" s="230">
        <v>4540</v>
      </c>
      <c r="CX191" s="230">
        <v>4487</v>
      </c>
      <c r="CY191" s="228">
        <v>53</v>
      </c>
      <c r="CZ191" s="229">
        <v>1.1900000000000001E-2</v>
      </c>
      <c r="DA191" s="228">
        <v>25.88</v>
      </c>
      <c r="DB191" s="228">
        <v>24.11</v>
      </c>
      <c r="DC191" s="228">
        <v>1.77</v>
      </c>
      <c r="DD191" s="228">
        <v>1.77</v>
      </c>
      <c r="DE191" s="228">
        <v>31.21</v>
      </c>
      <c r="DF191" s="228">
        <v>31.22</v>
      </c>
      <c r="DG191" s="228">
        <v>-5.33</v>
      </c>
      <c r="DH191" s="228">
        <v>-0.01</v>
      </c>
      <c r="DI191" s="228">
        <v>25.45</v>
      </c>
      <c r="DJ191" s="228">
        <v>24.02</v>
      </c>
      <c r="DK191" s="228">
        <v>1.43</v>
      </c>
      <c r="DL191" s="228">
        <v>1.43</v>
      </c>
      <c r="DM191" s="228">
        <v>26.98</v>
      </c>
      <c r="DN191" s="228">
        <v>24.26</v>
      </c>
      <c r="DO191" s="228">
        <v>2.72</v>
      </c>
      <c r="DP191" s="228">
        <v>2.72</v>
      </c>
      <c r="DQ191" s="228">
        <v>0.79</v>
      </c>
      <c r="DR191" s="228">
        <v>0.81</v>
      </c>
      <c r="DS191" s="228">
        <v>-0.02</v>
      </c>
      <c r="DT191" s="229">
        <v>-2.47E-2</v>
      </c>
      <c r="DU191" s="228">
        <v>380</v>
      </c>
      <c r="DV191" s="228">
        <v>350</v>
      </c>
      <c r="DW191" s="228">
        <v>0.39</v>
      </c>
      <c r="DX191" s="228">
        <v>0.62</v>
      </c>
      <c r="DY191" s="228">
        <v>-0.23</v>
      </c>
      <c r="DZ191" s="229">
        <v>-0.371</v>
      </c>
      <c r="EA191" s="229">
        <v>5.2200000000000003E-2</v>
      </c>
      <c r="EB191" s="230">
        <v>2753550</v>
      </c>
      <c r="EC191" s="229">
        <v>6.0000000000000001E-3</v>
      </c>
      <c r="ED191" s="229">
        <v>5.2200000000000003E-2</v>
      </c>
      <c r="EE191" s="228">
        <v>1.65</v>
      </c>
      <c r="EF191" s="229">
        <v>4.4000000000000003E-3</v>
      </c>
      <c r="EG191" s="230">
        <v>1708574</v>
      </c>
      <c r="EH191" s="230">
        <v>898246</v>
      </c>
      <c r="EI191" s="229">
        <v>0.90210000000000001</v>
      </c>
      <c r="EJ191" s="229">
        <v>0.46679999999999999</v>
      </c>
      <c r="EK191" s="231">
        <v>1731.79</v>
      </c>
      <c r="EL191" s="228">
        <v>637.26</v>
      </c>
      <c r="EM191" s="228">
        <v>259.14</v>
      </c>
      <c r="EN191" s="228">
        <v>39.89</v>
      </c>
      <c r="EO191" s="231">
        <v>2628.19</v>
      </c>
      <c r="EP191" s="231">
        <v>1134.31</v>
      </c>
      <c r="EQ191" s="231">
        <v>1493.89</v>
      </c>
      <c r="ER191" s="229">
        <v>1.3169999999999999</v>
      </c>
      <c r="ES191" s="231">
        <v>1367.46</v>
      </c>
      <c r="ET191" s="231">
        <v>1039.76</v>
      </c>
      <c r="EU191" s="231">
        <v>2148.58</v>
      </c>
      <c r="EV191" s="231">
        <v>202215001</v>
      </c>
      <c r="EW191" s="231">
        <v>4555.8</v>
      </c>
      <c r="EX191" s="231">
        <v>4465.12</v>
      </c>
      <c r="EY191" s="228">
        <v>90.68</v>
      </c>
      <c r="EZ191" s="229">
        <v>2.0299999999999999E-2</v>
      </c>
      <c r="FA191" s="229">
        <v>0.59589999999999999</v>
      </c>
      <c r="FB191" s="227" t="s">
        <v>556</v>
      </c>
      <c r="FC191">
        <f t="shared" si="3"/>
        <v>0</v>
      </c>
    </row>
    <row r="192" spans="1:159" ht="17.25" thickBot="1" x14ac:dyDescent="0.3">
      <c r="A192" s="226">
        <v>46064</v>
      </c>
      <c r="B192" s="227" t="s">
        <v>227</v>
      </c>
      <c r="C192" s="227" t="s">
        <v>294</v>
      </c>
      <c r="D192" s="228">
        <v>5500</v>
      </c>
      <c r="E192" s="228">
        <v>13</v>
      </c>
      <c r="F192" s="228">
        <v>208.13</v>
      </c>
      <c r="G192" s="228">
        <v>208.09</v>
      </c>
      <c r="H192" s="228">
        <v>0.04</v>
      </c>
      <c r="I192" s="229">
        <v>2.0000000000000001E-4</v>
      </c>
      <c r="J192" s="228">
        <v>207.59</v>
      </c>
      <c r="K192" s="228">
        <v>208.01</v>
      </c>
      <c r="L192" s="228">
        <v>-0.42</v>
      </c>
      <c r="M192" s="229">
        <v>-2E-3</v>
      </c>
      <c r="N192" s="228">
        <v>208.13</v>
      </c>
      <c r="O192" s="228">
        <v>208.09</v>
      </c>
      <c r="P192" s="228">
        <v>0.04</v>
      </c>
      <c r="Q192" s="229">
        <v>2.0000000000000001E-4</v>
      </c>
      <c r="R192" s="228">
        <v>209.4</v>
      </c>
      <c r="S192" s="228">
        <v>209.37</v>
      </c>
      <c r="T192" s="228">
        <v>0.03</v>
      </c>
      <c r="U192" s="229">
        <v>1E-4</v>
      </c>
      <c r="V192" s="228">
        <v>210.81</v>
      </c>
      <c r="W192" s="228">
        <v>210.62</v>
      </c>
      <c r="X192" s="228">
        <v>0.19</v>
      </c>
      <c r="Y192" s="229">
        <v>8.9999999999999998E-4</v>
      </c>
      <c r="Z192" s="228">
        <v>0.54</v>
      </c>
      <c r="AA192" s="228">
        <v>0.08</v>
      </c>
      <c r="AB192" s="228">
        <v>0.46</v>
      </c>
      <c r="AC192" s="229">
        <v>2.5999999999999999E-3</v>
      </c>
      <c r="AD192" s="228">
        <v>0.54</v>
      </c>
      <c r="AE192" s="228">
        <v>0.08</v>
      </c>
      <c r="AF192" s="228">
        <v>0.46</v>
      </c>
      <c r="AG192" s="229">
        <v>2.5999999999999999E-3</v>
      </c>
      <c r="AH192" s="228">
        <v>1.81</v>
      </c>
      <c r="AI192" s="228">
        <v>1.36</v>
      </c>
      <c r="AJ192" s="228">
        <v>0.45</v>
      </c>
      <c r="AK192" s="229">
        <v>8.6999999999999994E-3</v>
      </c>
      <c r="AL192" s="228">
        <v>3.22</v>
      </c>
      <c r="AM192" s="228">
        <v>2.61</v>
      </c>
      <c r="AN192" s="228">
        <v>0.61</v>
      </c>
      <c r="AO192" s="229">
        <v>1.55E-2</v>
      </c>
      <c r="AP192" s="228">
        <v>208.31</v>
      </c>
      <c r="AQ192" s="228">
        <v>209.54</v>
      </c>
      <c r="AR192" s="228">
        <v>0</v>
      </c>
      <c r="AS192" s="230">
        <v>1076</v>
      </c>
      <c r="AT192" s="230">
        <v>2211</v>
      </c>
      <c r="AU192" s="230">
        <v>-1135</v>
      </c>
      <c r="AV192" s="229">
        <v>-0.51319999999999999</v>
      </c>
      <c r="AW192" s="228">
        <v>935</v>
      </c>
      <c r="AX192" s="230">
        <v>1944</v>
      </c>
      <c r="AY192" s="230">
        <v>-1010</v>
      </c>
      <c r="AZ192" s="229">
        <v>-0.51929999999999998</v>
      </c>
      <c r="BA192" s="228">
        <v>115</v>
      </c>
      <c r="BB192" s="228">
        <v>219</v>
      </c>
      <c r="BC192" s="228">
        <v>-104</v>
      </c>
      <c r="BD192" s="229">
        <v>-0.47539999999999999</v>
      </c>
      <c r="BE192" s="228">
        <v>27</v>
      </c>
      <c r="BF192" s="228">
        <v>48</v>
      </c>
      <c r="BG192" s="228">
        <v>-21</v>
      </c>
      <c r="BH192" s="229">
        <v>-0.43880000000000002</v>
      </c>
      <c r="BI192" s="230">
        <v>5172</v>
      </c>
      <c r="BJ192" s="230">
        <v>14312</v>
      </c>
      <c r="BK192" s="230">
        <v>-9140</v>
      </c>
      <c r="BL192" s="229">
        <v>-0.63870000000000005</v>
      </c>
      <c r="BM192" s="230">
        <v>2872</v>
      </c>
      <c r="BN192" s="230">
        <v>6484</v>
      </c>
      <c r="BO192" s="230">
        <v>-3612</v>
      </c>
      <c r="BP192" s="229">
        <v>-0.55700000000000005</v>
      </c>
      <c r="BQ192" s="230">
        <v>9120</v>
      </c>
      <c r="BR192" s="230">
        <v>23007</v>
      </c>
      <c r="BS192" s="230">
        <v>-13887</v>
      </c>
      <c r="BT192" s="229">
        <v>-0.60360000000000003</v>
      </c>
      <c r="BU192" s="230">
        <v>49968274</v>
      </c>
      <c r="BV192" s="230">
        <v>107760584</v>
      </c>
      <c r="BW192" s="230">
        <v>-57792310</v>
      </c>
      <c r="BX192" s="229">
        <v>-0.5363</v>
      </c>
      <c r="BY192" s="230">
        <v>4507</v>
      </c>
      <c r="BZ192" s="230">
        <v>4594</v>
      </c>
      <c r="CA192" s="228">
        <v>-87</v>
      </c>
      <c r="CB192" s="229">
        <v>-1.89E-2</v>
      </c>
      <c r="CC192" s="230">
        <v>3991</v>
      </c>
      <c r="CD192" s="230">
        <v>4099</v>
      </c>
      <c r="CE192" s="228">
        <v>-108</v>
      </c>
      <c r="CF192" s="229">
        <v>-2.64E-2</v>
      </c>
      <c r="CG192" s="228">
        <v>443</v>
      </c>
      <c r="CH192" s="228">
        <v>426</v>
      </c>
      <c r="CI192" s="228">
        <v>16</v>
      </c>
      <c r="CJ192" s="229">
        <v>3.7900000000000003E-2</v>
      </c>
      <c r="CK192" s="228">
        <v>74</v>
      </c>
      <c r="CL192" s="228">
        <v>68</v>
      </c>
      <c r="CM192" s="228">
        <v>5</v>
      </c>
      <c r="CN192" s="229">
        <v>7.8899999999999998E-2</v>
      </c>
      <c r="CO192" s="230">
        <v>2955</v>
      </c>
      <c r="CP192" s="230">
        <v>2956</v>
      </c>
      <c r="CQ192" s="228">
        <v>-1</v>
      </c>
      <c r="CR192" s="229">
        <v>-2.0000000000000001E-4</v>
      </c>
      <c r="CS192" s="230">
        <v>2427</v>
      </c>
      <c r="CT192" s="230">
        <v>2389</v>
      </c>
      <c r="CU192" s="228">
        <v>38</v>
      </c>
      <c r="CV192" s="229">
        <v>1.5900000000000001E-2</v>
      </c>
      <c r="CW192" s="230">
        <v>9889</v>
      </c>
      <c r="CX192" s="230">
        <v>9939</v>
      </c>
      <c r="CY192" s="228">
        <v>-49</v>
      </c>
      <c r="CZ192" s="229">
        <v>-5.0000000000000001E-3</v>
      </c>
      <c r="DA192" s="228">
        <v>31.51</v>
      </c>
      <c r="DB192" s="228">
        <v>30.54</v>
      </c>
      <c r="DC192" s="228">
        <v>0.97</v>
      </c>
      <c r="DD192" s="228">
        <v>0.97</v>
      </c>
      <c r="DE192" s="228">
        <v>33.79</v>
      </c>
      <c r="DF192" s="228">
        <v>33.880000000000003</v>
      </c>
      <c r="DG192" s="228">
        <v>-2.2799999999999998</v>
      </c>
      <c r="DH192" s="228">
        <v>-0.09</v>
      </c>
      <c r="DI192" s="228">
        <v>30.72</v>
      </c>
      <c r="DJ192" s="228">
        <v>29.79</v>
      </c>
      <c r="DK192" s="228">
        <v>0.93</v>
      </c>
      <c r="DL192" s="228">
        <v>0.93</v>
      </c>
      <c r="DM192" s="228">
        <v>32.92</v>
      </c>
      <c r="DN192" s="228">
        <v>32.19</v>
      </c>
      <c r="DO192" s="228">
        <v>0.73</v>
      </c>
      <c r="DP192" s="228">
        <v>0.73</v>
      </c>
      <c r="DQ192" s="228">
        <v>0.82</v>
      </c>
      <c r="DR192" s="228">
        <v>0.81</v>
      </c>
      <c r="DS192" s="228">
        <v>0.01</v>
      </c>
      <c r="DT192" s="229">
        <v>1.23E-2</v>
      </c>
      <c r="DU192" s="228">
        <v>210</v>
      </c>
      <c r="DV192" s="228">
        <v>190</v>
      </c>
      <c r="DW192" s="228">
        <v>0.56000000000000005</v>
      </c>
      <c r="DX192" s="228">
        <v>0.45</v>
      </c>
      <c r="DY192" s="228">
        <v>0.11</v>
      </c>
      <c r="DZ192" s="229">
        <v>0.24440000000000001</v>
      </c>
      <c r="EA192" s="229">
        <v>0.1145</v>
      </c>
      <c r="EB192" s="230">
        <v>23765500</v>
      </c>
      <c r="EC192" s="229">
        <v>6.1000000000000004E-3</v>
      </c>
      <c r="ED192" s="229">
        <v>0.1145</v>
      </c>
      <c r="EE192" s="228">
        <v>1.23</v>
      </c>
      <c r="EF192" s="229">
        <v>5.8999999999999999E-3</v>
      </c>
      <c r="EG192" s="230">
        <v>22576316</v>
      </c>
      <c r="EH192" s="230">
        <v>49111971</v>
      </c>
      <c r="EI192" s="229">
        <v>-0.5403</v>
      </c>
      <c r="EJ192" s="229">
        <v>0.45179999999999998</v>
      </c>
      <c r="EK192" s="231">
        <v>5365.8</v>
      </c>
      <c r="EL192" s="231">
        <v>2824.35</v>
      </c>
      <c r="EM192" s="231">
        <v>1077.98</v>
      </c>
      <c r="EN192" s="228">
        <v>118.08</v>
      </c>
      <c r="EO192" s="231">
        <v>9268.14</v>
      </c>
      <c r="EP192" s="231">
        <v>23307.63</v>
      </c>
      <c r="EQ192" s="231">
        <v>-14039.49</v>
      </c>
      <c r="ER192" s="229">
        <v>-0.60240000000000005</v>
      </c>
      <c r="ES192" s="231">
        <v>2941.47</v>
      </c>
      <c r="ET192" s="231">
        <v>2232.2600000000002</v>
      </c>
      <c r="EU192" s="231">
        <v>4510.8500000000004</v>
      </c>
      <c r="EV192" s="231">
        <v>872935214</v>
      </c>
      <c r="EW192" s="231">
        <v>9684.58</v>
      </c>
      <c r="EX192" s="231">
        <v>9724.57</v>
      </c>
      <c r="EY192" s="228">
        <v>-39.99</v>
      </c>
      <c r="EZ192" s="229">
        <v>-4.1000000000000003E-3</v>
      </c>
      <c r="FA192" s="229">
        <v>0.54430000000000001</v>
      </c>
      <c r="FB192" s="227" t="s">
        <v>556</v>
      </c>
      <c r="FC192">
        <f t="shared" si="3"/>
        <v>0</v>
      </c>
    </row>
    <row r="193" spans="1:159" ht="17.25" thickBot="1" x14ac:dyDescent="0.3">
      <c r="A193" s="226">
        <v>46064</v>
      </c>
      <c r="B193" s="227" t="s">
        <v>221</v>
      </c>
      <c r="C193" s="227" t="s">
        <v>663</v>
      </c>
      <c r="D193" s="228">
        <v>800</v>
      </c>
      <c r="E193" s="228">
        <v>13</v>
      </c>
      <c r="F193" s="228">
        <v>628.65</v>
      </c>
      <c r="G193" s="228">
        <v>632.79999999999995</v>
      </c>
      <c r="H193" s="228">
        <v>-4.1500000000000004</v>
      </c>
      <c r="I193" s="229">
        <v>-6.6E-3</v>
      </c>
      <c r="J193" s="228">
        <v>627.95000000000005</v>
      </c>
      <c r="K193" s="228">
        <v>630.70000000000005</v>
      </c>
      <c r="L193" s="228">
        <v>-2.75</v>
      </c>
      <c r="M193" s="229">
        <v>-4.4000000000000003E-3</v>
      </c>
      <c r="N193" s="228">
        <v>628.65</v>
      </c>
      <c r="O193" s="228">
        <v>632.79999999999995</v>
      </c>
      <c r="P193" s="228">
        <v>-4.1500000000000004</v>
      </c>
      <c r="Q193" s="229">
        <v>-6.6E-3</v>
      </c>
      <c r="R193" s="228">
        <v>630.54999999999995</v>
      </c>
      <c r="S193" s="228">
        <v>635.15</v>
      </c>
      <c r="T193" s="228">
        <v>-4.5999999999999996</v>
      </c>
      <c r="U193" s="229">
        <v>-7.1999999999999998E-3</v>
      </c>
      <c r="V193" s="228">
        <v>633</v>
      </c>
      <c r="W193" s="228">
        <v>637.5</v>
      </c>
      <c r="X193" s="228">
        <v>-4.5</v>
      </c>
      <c r="Y193" s="229">
        <v>-7.1000000000000004E-3</v>
      </c>
      <c r="Z193" s="228">
        <v>0.7</v>
      </c>
      <c r="AA193" s="228">
        <v>2.1</v>
      </c>
      <c r="AB193" s="228">
        <v>-1.4</v>
      </c>
      <c r="AC193" s="229">
        <v>1.1000000000000001E-3</v>
      </c>
      <c r="AD193" s="228">
        <v>0.7</v>
      </c>
      <c r="AE193" s="228">
        <v>2.1</v>
      </c>
      <c r="AF193" s="228">
        <v>-1.4</v>
      </c>
      <c r="AG193" s="229">
        <v>1.1000000000000001E-3</v>
      </c>
      <c r="AH193" s="228">
        <v>2.6</v>
      </c>
      <c r="AI193" s="228">
        <v>4.45</v>
      </c>
      <c r="AJ193" s="228">
        <v>-1.85</v>
      </c>
      <c r="AK193" s="229">
        <v>4.1000000000000003E-3</v>
      </c>
      <c r="AL193" s="228">
        <v>5.05</v>
      </c>
      <c r="AM193" s="228">
        <v>6.8</v>
      </c>
      <c r="AN193" s="228">
        <v>-1.75</v>
      </c>
      <c r="AO193" s="229">
        <v>8.0000000000000002E-3</v>
      </c>
      <c r="AP193" s="228">
        <v>628.17999999999995</v>
      </c>
      <c r="AQ193" s="228">
        <v>630.07000000000005</v>
      </c>
      <c r="AR193" s="228">
        <v>0</v>
      </c>
      <c r="AS193" s="228">
        <v>75</v>
      </c>
      <c r="AT193" s="228">
        <v>163</v>
      </c>
      <c r="AU193" s="228">
        <v>-88</v>
      </c>
      <c r="AV193" s="229">
        <v>-0.53910000000000002</v>
      </c>
      <c r="AW193" s="228">
        <v>55</v>
      </c>
      <c r="AX193" s="228">
        <v>131</v>
      </c>
      <c r="AY193" s="228">
        <v>-76</v>
      </c>
      <c r="AZ193" s="229">
        <v>-0.58099999999999996</v>
      </c>
      <c r="BA193" s="228">
        <v>15</v>
      </c>
      <c r="BB193" s="228">
        <v>27</v>
      </c>
      <c r="BC193" s="228">
        <v>-12</v>
      </c>
      <c r="BD193" s="229">
        <v>-0.43230000000000002</v>
      </c>
      <c r="BE193" s="228">
        <v>5</v>
      </c>
      <c r="BF193" s="228">
        <v>5</v>
      </c>
      <c r="BG193" s="228">
        <v>0</v>
      </c>
      <c r="BH193" s="229">
        <v>-1.9800000000000002E-2</v>
      </c>
      <c r="BI193" s="228">
        <v>132</v>
      </c>
      <c r="BJ193" s="228">
        <v>421</v>
      </c>
      <c r="BK193" s="228">
        <v>-289</v>
      </c>
      <c r="BL193" s="229">
        <v>-0.68579999999999997</v>
      </c>
      <c r="BM193" s="228">
        <v>82</v>
      </c>
      <c r="BN193" s="228">
        <v>137</v>
      </c>
      <c r="BO193" s="228">
        <v>-55</v>
      </c>
      <c r="BP193" s="229">
        <v>-0.40329999999999999</v>
      </c>
      <c r="BQ193" s="228">
        <v>289</v>
      </c>
      <c r="BR193" s="228">
        <v>721</v>
      </c>
      <c r="BS193" s="228">
        <v>-432</v>
      </c>
      <c r="BT193" s="229">
        <v>-0.59889999999999999</v>
      </c>
      <c r="BU193" s="230">
        <v>486186</v>
      </c>
      <c r="BV193" s="230">
        <v>1165910</v>
      </c>
      <c r="BW193" s="230">
        <v>-679724</v>
      </c>
      <c r="BX193" s="229">
        <v>-0.58299999999999996</v>
      </c>
      <c r="BY193" s="228">
        <v>761</v>
      </c>
      <c r="BZ193" s="228">
        <v>746</v>
      </c>
      <c r="CA193" s="228">
        <v>15</v>
      </c>
      <c r="CB193" s="229">
        <v>2.0199999999999999E-2</v>
      </c>
      <c r="CC193" s="228">
        <v>673</v>
      </c>
      <c r="CD193" s="228">
        <v>668</v>
      </c>
      <c r="CE193" s="228">
        <v>5</v>
      </c>
      <c r="CF193" s="229">
        <v>7.6E-3</v>
      </c>
      <c r="CG193" s="228">
        <v>73</v>
      </c>
      <c r="CH193" s="228">
        <v>66</v>
      </c>
      <c r="CI193" s="228">
        <v>7</v>
      </c>
      <c r="CJ193" s="229">
        <v>9.8799999999999999E-2</v>
      </c>
      <c r="CK193" s="228">
        <v>15</v>
      </c>
      <c r="CL193" s="228">
        <v>12</v>
      </c>
      <c r="CM193" s="228">
        <v>3</v>
      </c>
      <c r="CN193" s="229">
        <v>0.29110000000000003</v>
      </c>
      <c r="CO193" s="228">
        <v>329</v>
      </c>
      <c r="CP193" s="228">
        <v>327</v>
      </c>
      <c r="CQ193" s="228">
        <v>2</v>
      </c>
      <c r="CR193" s="229">
        <v>7.4000000000000003E-3</v>
      </c>
      <c r="CS193" s="228">
        <v>222</v>
      </c>
      <c r="CT193" s="228">
        <v>219</v>
      </c>
      <c r="CU193" s="228">
        <v>4</v>
      </c>
      <c r="CV193" s="229">
        <v>1.6799999999999999E-2</v>
      </c>
      <c r="CW193" s="230">
        <v>1313</v>
      </c>
      <c r="CX193" s="230">
        <v>1292</v>
      </c>
      <c r="CY193" s="228">
        <v>21</v>
      </c>
      <c r="CZ193" s="229">
        <v>1.6400000000000001E-2</v>
      </c>
      <c r="DA193" s="228">
        <v>30.81</v>
      </c>
      <c r="DB193" s="228">
        <v>29.81</v>
      </c>
      <c r="DC193" s="228">
        <v>1</v>
      </c>
      <c r="DD193" s="228">
        <v>1</v>
      </c>
      <c r="DE193" s="228">
        <v>30.61</v>
      </c>
      <c r="DF193" s="228">
        <v>30.68</v>
      </c>
      <c r="DG193" s="228">
        <v>0.2</v>
      </c>
      <c r="DH193" s="228">
        <v>-7.0000000000000007E-2</v>
      </c>
      <c r="DI193" s="228">
        <v>31.13</v>
      </c>
      <c r="DJ193" s="228">
        <v>29.66</v>
      </c>
      <c r="DK193" s="228">
        <v>1.47</v>
      </c>
      <c r="DL193" s="228">
        <v>1.47</v>
      </c>
      <c r="DM193" s="228">
        <v>30.29</v>
      </c>
      <c r="DN193" s="228">
        <v>30.27</v>
      </c>
      <c r="DO193" s="228">
        <v>0.02</v>
      </c>
      <c r="DP193" s="228">
        <v>0.02</v>
      </c>
      <c r="DQ193" s="228">
        <v>0.68</v>
      </c>
      <c r="DR193" s="228">
        <v>0.67</v>
      </c>
      <c r="DS193" s="228">
        <v>0.01</v>
      </c>
      <c r="DT193" s="229">
        <v>1.49E-2</v>
      </c>
      <c r="DU193" s="228">
        <v>650</v>
      </c>
      <c r="DV193" s="228">
        <v>620</v>
      </c>
      <c r="DW193" s="228">
        <v>0.62</v>
      </c>
      <c r="DX193" s="228">
        <v>0.33</v>
      </c>
      <c r="DY193" s="228">
        <v>0.28999999999999998</v>
      </c>
      <c r="DZ193" s="229">
        <v>0.87880000000000003</v>
      </c>
      <c r="EA193" s="229">
        <v>0.1157</v>
      </c>
      <c r="EB193" s="230">
        <v>1242400</v>
      </c>
      <c r="EC193" s="229">
        <v>3.0000000000000001E-3</v>
      </c>
      <c r="ED193" s="229">
        <v>0.1157</v>
      </c>
      <c r="EE193" s="228">
        <v>1.89</v>
      </c>
      <c r="EF193" s="229">
        <v>3.0000000000000001E-3</v>
      </c>
      <c r="EG193" s="230">
        <v>189110</v>
      </c>
      <c r="EH193" s="230">
        <v>398061</v>
      </c>
      <c r="EI193" s="229">
        <v>-0.52490000000000003</v>
      </c>
      <c r="EJ193" s="229">
        <v>0.38900000000000001</v>
      </c>
      <c r="EK193" s="228">
        <v>139.05000000000001</v>
      </c>
      <c r="EL193" s="228">
        <v>81.98</v>
      </c>
      <c r="EM193" s="228">
        <v>75.22</v>
      </c>
      <c r="EN193" s="228">
        <v>34.770000000000003</v>
      </c>
      <c r="EO193" s="228">
        <v>296.25</v>
      </c>
      <c r="EP193" s="228">
        <v>742.23</v>
      </c>
      <c r="EQ193" s="228">
        <v>-445.98</v>
      </c>
      <c r="ER193" s="229">
        <v>-0.60089999999999999</v>
      </c>
      <c r="ES193" s="228">
        <v>351.52</v>
      </c>
      <c r="ET193" s="228">
        <v>225.75</v>
      </c>
      <c r="EU193" s="228">
        <v>761.65</v>
      </c>
      <c r="EV193" s="231">
        <v>25116370</v>
      </c>
      <c r="EW193" s="231">
        <v>1338.92</v>
      </c>
      <c r="EX193" s="231">
        <v>1323.28</v>
      </c>
      <c r="EY193" s="228">
        <v>15.64</v>
      </c>
      <c r="EZ193" s="229">
        <v>1.18E-2</v>
      </c>
      <c r="FA193" s="229">
        <v>0.83150000000000002</v>
      </c>
      <c r="FB193" s="227" t="s">
        <v>567</v>
      </c>
      <c r="FC193">
        <f t="shared" si="3"/>
        <v>0</v>
      </c>
    </row>
    <row r="194" spans="1:159" ht="17.25" thickBot="1" x14ac:dyDescent="0.3">
      <c r="A194" s="226">
        <v>46064</v>
      </c>
      <c r="B194" s="227" t="s">
        <v>221</v>
      </c>
      <c r="C194" s="227" t="s">
        <v>295</v>
      </c>
      <c r="D194" s="228">
        <v>175</v>
      </c>
      <c r="E194" s="228">
        <v>13</v>
      </c>
      <c r="F194" s="231">
        <v>2918.3</v>
      </c>
      <c r="G194" s="231">
        <v>2991.7</v>
      </c>
      <c r="H194" s="228">
        <v>-73.400000000000006</v>
      </c>
      <c r="I194" s="229">
        <v>-2.4500000000000001E-2</v>
      </c>
      <c r="J194" s="231">
        <v>2909.8</v>
      </c>
      <c r="K194" s="231">
        <v>2984.6</v>
      </c>
      <c r="L194" s="228">
        <v>-74.8</v>
      </c>
      <c r="M194" s="229">
        <v>-2.5100000000000001E-2</v>
      </c>
      <c r="N194" s="231">
        <v>2918.3</v>
      </c>
      <c r="O194" s="231">
        <v>2991.7</v>
      </c>
      <c r="P194" s="228">
        <v>-73.400000000000006</v>
      </c>
      <c r="Q194" s="229">
        <v>-2.4500000000000001E-2</v>
      </c>
      <c r="R194" s="231">
        <v>2936.3</v>
      </c>
      <c r="S194" s="231">
        <v>3010.4</v>
      </c>
      <c r="T194" s="228">
        <v>-74.099999999999994</v>
      </c>
      <c r="U194" s="229">
        <v>-2.46E-2</v>
      </c>
      <c r="V194" s="231">
        <v>2954.8</v>
      </c>
      <c r="W194" s="231">
        <v>3027.2</v>
      </c>
      <c r="X194" s="228">
        <v>-72.400000000000006</v>
      </c>
      <c r="Y194" s="229">
        <v>-2.3900000000000001E-2</v>
      </c>
      <c r="Z194" s="228">
        <v>8.5</v>
      </c>
      <c r="AA194" s="228">
        <v>7.1</v>
      </c>
      <c r="AB194" s="228">
        <v>1.4</v>
      </c>
      <c r="AC194" s="229">
        <v>2.8999999999999998E-3</v>
      </c>
      <c r="AD194" s="228">
        <v>8.5</v>
      </c>
      <c r="AE194" s="228">
        <v>7.1</v>
      </c>
      <c r="AF194" s="228">
        <v>1.4</v>
      </c>
      <c r="AG194" s="229">
        <v>2.8999999999999998E-3</v>
      </c>
      <c r="AH194" s="228">
        <v>26.5</v>
      </c>
      <c r="AI194" s="228">
        <v>25.8</v>
      </c>
      <c r="AJ194" s="228">
        <v>0.7</v>
      </c>
      <c r="AK194" s="229">
        <v>9.1000000000000004E-3</v>
      </c>
      <c r="AL194" s="228">
        <v>45</v>
      </c>
      <c r="AM194" s="228">
        <v>42.6</v>
      </c>
      <c r="AN194" s="228">
        <v>2.4</v>
      </c>
      <c r="AO194" s="229">
        <v>1.55E-2</v>
      </c>
      <c r="AP194" s="231">
        <v>2951.44</v>
      </c>
      <c r="AQ194" s="231">
        <v>2964.31</v>
      </c>
      <c r="AR194" s="228">
        <v>0</v>
      </c>
      <c r="AS194" s="230">
        <v>1178</v>
      </c>
      <c r="AT194" s="230">
        <v>1414</v>
      </c>
      <c r="AU194" s="228">
        <v>-236</v>
      </c>
      <c r="AV194" s="229">
        <v>-0.16689999999999999</v>
      </c>
      <c r="AW194" s="228">
        <v>933</v>
      </c>
      <c r="AX194" s="230">
        <v>1293</v>
      </c>
      <c r="AY194" s="228">
        <v>-360</v>
      </c>
      <c r="AZ194" s="229">
        <v>-0.27860000000000001</v>
      </c>
      <c r="BA194" s="228">
        <v>215</v>
      </c>
      <c r="BB194" s="228">
        <v>100</v>
      </c>
      <c r="BC194" s="228">
        <v>115</v>
      </c>
      <c r="BD194" s="229">
        <v>1.1459999999999999</v>
      </c>
      <c r="BE194" s="228">
        <v>31</v>
      </c>
      <c r="BF194" s="228">
        <v>21</v>
      </c>
      <c r="BG194" s="228">
        <v>10</v>
      </c>
      <c r="BH194" s="229">
        <v>0.45279999999999998</v>
      </c>
      <c r="BI194" s="230">
        <v>7028</v>
      </c>
      <c r="BJ194" s="230">
        <v>7380</v>
      </c>
      <c r="BK194" s="228">
        <v>-352</v>
      </c>
      <c r="BL194" s="229">
        <v>-4.7699999999999999E-2</v>
      </c>
      <c r="BM194" s="230">
        <v>4453</v>
      </c>
      <c r="BN194" s="230">
        <v>3331</v>
      </c>
      <c r="BO194" s="230">
        <v>1122</v>
      </c>
      <c r="BP194" s="229">
        <v>0.33679999999999999</v>
      </c>
      <c r="BQ194" s="230">
        <v>12660</v>
      </c>
      <c r="BR194" s="230">
        <v>12126</v>
      </c>
      <c r="BS194" s="228">
        <v>534</v>
      </c>
      <c r="BT194" s="229">
        <v>4.3999999999999997E-2</v>
      </c>
      <c r="BU194" s="230">
        <v>3512931</v>
      </c>
      <c r="BV194" s="230">
        <v>4016096</v>
      </c>
      <c r="BW194" s="230">
        <v>-503165</v>
      </c>
      <c r="BX194" s="229">
        <v>-0.12529999999999999</v>
      </c>
      <c r="BY194" s="230">
        <v>7811</v>
      </c>
      <c r="BZ194" s="230">
        <v>7571</v>
      </c>
      <c r="CA194" s="228">
        <v>240</v>
      </c>
      <c r="CB194" s="229">
        <v>3.1699999999999999E-2</v>
      </c>
      <c r="CC194" s="230">
        <v>6868</v>
      </c>
      <c r="CD194" s="230">
        <v>6767</v>
      </c>
      <c r="CE194" s="228">
        <v>100</v>
      </c>
      <c r="CF194" s="229">
        <v>1.4800000000000001E-2</v>
      </c>
      <c r="CG194" s="228">
        <v>812</v>
      </c>
      <c r="CH194" s="228">
        <v>693</v>
      </c>
      <c r="CI194" s="228">
        <v>118</v>
      </c>
      <c r="CJ194" s="229">
        <v>0.17080000000000001</v>
      </c>
      <c r="CK194" s="228">
        <v>132</v>
      </c>
      <c r="CL194" s="228">
        <v>111</v>
      </c>
      <c r="CM194" s="228">
        <v>21</v>
      </c>
      <c r="CN194" s="229">
        <v>0.19120000000000001</v>
      </c>
      <c r="CO194" s="230">
        <v>6460</v>
      </c>
      <c r="CP194" s="230">
        <v>5918</v>
      </c>
      <c r="CQ194" s="228">
        <v>542</v>
      </c>
      <c r="CR194" s="229">
        <v>9.1600000000000001E-2</v>
      </c>
      <c r="CS194" s="230">
        <v>3680</v>
      </c>
      <c r="CT194" s="230">
        <v>3388</v>
      </c>
      <c r="CU194" s="228">
        <v>292</v>
      </c>
      <c r="CV194" s="229">
        <v>8.6199999999999999E-2</v>
      </c>
      <c r="CW194" s="230">
        <v>17951</v>
      </c>
      <c r="CX194" s="230">
        <v>16877</v>
      </c>
      <c r="CY194" s="230">
        <v>1074</v>
      </c>
      <c r="CZ194" s="229">
        <v>6.3600000000000004E-2</v>
      </c>
      <c r="DA194" s="228">
        <v>30.29</v>
      </c>
      <c r="DB194" s="228">
        <v>26.5</v>
      </c>
      <c r="DC194" s="228">
        <v>3.79</v>
      </c>
      <c r="DD194" s="228">
        <v>3.79</v>
      </c>
      <c r="DE194" s="228">
        <v>25.65</v>
      </c>
      <c r="DF194" s="228">
        <v>25.48</v>
      </c>
      <c r="DG194" s="228">
        <v>4.6399999999999997</v>
      </c>
      <c r="DH194" s="228">
        <v>0.17</v>
      </c>
      <c r="DI194" s="228">
        <v>30.3</v>
      </c>
      <c r="DJ194" s="228">
        <v>26.25</v>
      </c>
      <c r="DK194" s="228">
        <v>4.05</v>
      </c>
      <c r="DL194" s="228">
        <v>4.05</v>
      </c>
      <c r="DM194" s="228">
        <v>30.28</v>
      </c>
      <c r="DN194" s="228">
        <v>27.07</v>
      </c>
      <c r="DO194" s="228">
        <v>3.21</v>
      </c>
      <c r="DP194" s="228">
        <v>3.21</v>
      </c>
      <c r="DQ194" s="228">
        <v>0.56999999999999995</v>
      </c>
      <c r="DR194" s="228">
        <v>0.56999999999999995</v>
      </c>
      <c r="DS194" s="228">
        <v>0</v>
      </c>
      <c r="DT194" s="229">
        <v>0</v>
      </c>
      <c r="DU194" s="231">
        <v>3200</v>
      </c>
      <c r="DV194" s="231">
        <v>3000</v>
      </c>
      <c r="DW194" s="228">
        <v>0.63</v>
      </c>
      <c r="DX194" s="228">
        <v>0.45</v>
      </c>
      <c r="DY194" s="228">
        <v>0.18</v>
      </c>
      <c r="DZ194" s="229">
        <v>0.4</v>
      </c>
      <c r="EA194" s="229">
        <v>0.1208</v>
      </c>
      <c r="EB194" s="230">
        <v>2755200</v>
      </c>
      <c r="EC194" s="229">
        <v>6.1999999999999998E-3</v>
      </c>
      <c r="ED194" s="229">
        <v>0.1208</v>
      </c>
      <c r="EE194" s="228">
        <v>12.87</v>
      </c>
      <c r="EF194" s="229">
        <v>4.4000000000000003E-3</v>
      </c>
      <c r="EG194" s="230">
        <v>2294051</v>
      </c>
      <c r="EH194" s="230">
        <v>2415797</v>
      </c>
      <c r="EI194" s="229">
        <v>-5.04E-2</v>
      </c>
      <c r="EJ194" s="229">
        <v>0.65300000000000002</v>
      </c>
      <c r="EK194" s="231">
        <v>7508.3</v>
      </c>
      <c r="EL194" s="231">
        <v>4463.3999999999996</v>
      </c>
      <c r="EM194" s="231">
        <v>1192.8699999999999</v>
      </c>
      <c r="EN194" s="228">
        <v>333.64</v>
      </c>
      <c r="EO194" s="231">
        <v>13164.57</v>
      </c>
      <c r="EP194" s="231">
        <v>12724.83</v>
      </c>
      <c r="EQ194" s="228">
        <v>439.73</v>
      </c>
      <c r="ER194" s="229">
        <v>3.4599999999999999E-2</v>
      </c>
      <c r="ES194" s="231">
        <v>6983.69</v>
      </c>
      <c r="ET194" s="231">
        <v>3749.11</v>
      </c>
      <c r="EU194" s="231">
        <v>7817.85</v>
      </c>
      <c r="EV194" s="231">
        <v>126444612</v>
      </c>
      <c r="EW194" s="231">
        <v>18550.64</v>
      </c>
      <c r="EX194" s="231">
        <v>17678.14</v>
      </c>
      <c r="EY194" s="228">
        <v>872.5</v>
      </c>
      <c r="EZ194" s="229">
        <v>4.9399999999999999E-2</v>
      </c>
      <c r="FA194" s="229">
        <v>0.48649999999999999</v>
      </c>
      <c r="FB194" s="227" t="s">
        <v>567</v>
      </c>
      <c r="FC194">
        <f t="shared" si="3"/>
        <v>0</v>
      </c>
    </row>
    <row r="195" spans="1:159" ht="17.25" thickBot="1" x14ac:dyDescent="0.3">
      <c r="A195" s="226">
        <v>46064</v>
      </c>
      <c r="B195" s="227" t="s">
        <v>221</v>
      </c>
      <c r="C195" s="227" t="s">
        <v>296</v>
      </c>
      <c r="D195" s="228">
        <v>600</v>
      </c>
      <c r="E195" s="228">
        <v>13</v>
      </c>
      <c r="F195" s="231">
        <v>1633.9</v>
      </c>
      <c r="G195" s="231">
        <v>1645.4</v>
      </c>
      <c r="H195" s="228">
        <v>-11.5</v>
      </c>
      <c r="I195" s="229">
        <v>-7.0000000000000001E-3</v>
      </c>
      <c r="J195" s="231">
        <v>1634.4</v>
      </c>
      <c r="K195" s="231">
        <v>1644.6</v>
      </c>
      <c r="L195" s="228">
        <v>-10.199999999999999</v>
      </c>
      <c r="M195" s="229">
        <v>-6.1999999999999998E-3</v>
      </c>
      <c r="N195" s="231">
        <v>1633.9</v>
      </c>
      <c r="O195" s="231">
        <v>1645.4</v>
      </c>
      <c r="P195" s="228">
        <v>-11.5</v>
      </c>
      <c r="Q195" s="229">
        <v>-7.0000000000000001E-3</v>
      </c>
      <c r="R195" s="231">
        <v>1643.4</v>
      </c>
      <c r="S195" s="231">
        <v>1655.3</v>
      </c>
      <c r="T195" s="228">
        <v>-11.9</v>
      </c>
      <c r="U195" s="229">
        <v>-7.1999999999999998E-3</v>
      </c>
      <c r="V195" s="231">
        <v>1651</v>
      </c>
      <c r="W195" s="231">
        <v>1665.7</v>
      </c>
      <c r="X195" s="228">
        <v>-14.7</v>
      </c>
      <c r="Y195" s="229">
        <v>-8.8000000000000005E-3</v>
      </c>
      <c r="Z195" s="228">
        <v>-0.5</v>
      </c>
      <c r="AA195" s="228">
        <v>0.8</v>
      </c>
      <c r="AB195" s="228">
        <v>-1.3</v>
      </c>
      <c r="AC195" s="229">
        <v>-2.9999999999999997E-4</v>
      </c>
      <c r="AD195" s="228">
        <v>-0.5</v>
      </c>
      <c r="AE195" s="228">
        <v>0.8</v>
      </c>
      <c r="AF195" s="228">
        <v>-1.3</v>
      </c>
      <c r="AG195" s="229">
        <v>-2.9999999999999997E-4</v>
      </c>
      <c r="AH195" s="228">
        <v>9</v>
      </c>
      <c r="AI195" s="228">
        <v>10.7</v>
      </c>
      <c r="AJ195" s="228">
        <v>-1.7</v>
      </c>
      <c r="AK195" s="229">
        <v>5.4999999999999997E-3</v>
      </c>
      <c r="AL195" s="228">
        <v>16.600000000000001</v>
      </c>
      <c r="AM195" s="228">
        <v>21.1</v>
      </c>
      <c r="AN195" s="228">
        <v>-4.5</v>
      </c>
      <c r="AO195" s="229">
        <v>1.0200000000000001E-2</v>
      </c>
      <c r="AP195" s="231">
        <v>1640.52</v>
      </c>
      <c r="AQ195" s="231">
        <v>1651.48</v>
      </c>
      <c r="AR195" s="228">
        <v>0</v>
      </c>
      <c r="AS195" s="228">
        <v>349</v>
      </c>
      <c r="AT195" s="228">
        <v>563</v>
      </c>
      <c r="AU195" s="228">
        <v>-214</v>
      </c>
      <c r="AV195" s="229">
        <v>-0.38059999999999999</v>
      </c>
      <c r="AW195" s="228">
        <v>327</v>
      </c>
      <c r="AX195" s="228">
        <v>513</v>
      </c>
      <c r="AY195" s="228">
        <v>-186</v>
      </c>
      <c r="AZ195" s="229">
        <v>-0.36280000000000001</v>
      </c>
      <c r="BA195" s="228">
        <v>20</v>
      </c>
      <c r="BB195" s="228">
        <v>42</v>
      </c>
      <c r="BC195" s="228">
        <v>-22</v>
      </c>
      <c r="BD195" s="229">
        <v>-0.51759999999999995</v>
      </c>
      <c r="BE195" s="228">
        <v>2</v>
      </c>
      <c r="BF195" s="228">
        <v>8</v>
      </c>
      <c r="BG195" s="228">
        <v>-7</v>
      </c>
      <c r="BH195" s="229">
        <v>-0.78820000000000001</v>
      </c>
      <c r="BI195" s="228">
        <v>981</v>
      </c>
      <c r="BJ195" s="230">
        <v>2446</v>
      </c>
      <c r="BK195" s="230">
        <v>-1465</v>
      </c>
      <c r="BL195" s="229">
        <v>-0.59909999999999997</v>
      </c>
      <c r="BM195" s="228">
        <v>780</v>
      </c>
      <c r="BN195" s="230">
        <v>1066</v>
      </c>
      <c r="BO195" s="228">
        <v>-286</v>
      </c>
      <c r="BP195" s="229">
        <v>-0.26800000000000002</v>
      </c>
      <c r="BQ195" s="230">
        <v>2109</v>
      </c>
      <c r="BR195" s="230">
        <v>4074</v>
      </c>
      <c r="BS195" s="230">
        <v>-1965</v>
      </c>
      <c r="BT195" s="229">
        <v>-0.48230000000000001</v>
      </c>
      <c r="BU195" s="230">
        <v>1544594</v>
      </c>
      <c r="BV195" s="230">
        <v>1916319</v>
      </c>
      <c r="BW195" s="230">
        <v>-371725</v>
      </c>
      <c r="BX195" s="229">
        <v>-0.19400000000000001</v>
      </c>
      <c r="BY195" s="230">
        <v>2858</v>
      </c>
      <c r="BZ195" s="230">
        <v>2917</v>
      </c>
      <c r="CA195" s="228">
        <v>-59</v>
      </c>
      <c r="CB195" s="229">
        <v>-2.0299999999999999E-2</v>
      </c>
      <c r="CC195" s="230">
        <v>2756</v>
      </c>
      <c r="CD195" s="230">
        <v>2822</v>
      </c>
      <c r="CE195" s="228">
        <v>-66</v>
      </c>
      <c r="CF195" s="229">
        <v>-2.3400000000000001E-2</v>
      </c>
      <c r="CG195" s="228">
        <v>94</v>
      </c>
      <c r="CH195" s="228">
        <v>88</v>
      </c>
      <c r="CI195" s="228">
        <v>6</v>
      </c>
      <c r="CJ195" s="229">
        <v>6.83E-2</v>
      </c>
      <c r="CK195" s="228">
        <v>8</v>
      </c>
      <c r="CL195" s="228">
        <v>8</v>
      </c>
      <c r="CM195" s="228">
        <v>1</v>
      </c>
      <c r="CN195" s="229">
        <v>0.10390000000000001</v>
      </c>
      <c r="CO195" s="230">
        <v>1517</v>
      </c>
      <c r="CP195" s="230">
        <v>1485</v>
      </c>
      <c r="CQ195" s="228">
        <v>32</v>
      </c>
      <c r="CR195" s="229">
        <v>2.1299999999999999E-2</v>
      </c>
      <c r="CS195" s="228">
        <v>936</v>
      </c>
      <c r="CT195" s="228">
        <v>914</v>
      </c>
      <c r="CU195" s="228">
        <v>22</v>
      </c>
      <c r="CV195" s="229">
        <v>2.4500000000000001E-2</v>
      </c>
      <c r="CW195" s="230">
        <v>5311</v>
      </c>
      <c r="CX195" s="230">
        <v>5316</v>
      </c>
      <c r="CY195" s="228">
        <v>-5</v>
      </c>
      <c r="CZ195" s="229">
        <v>-1E-3</v>
      </c>
      <c r="DA195" s="228">
        <v>28.28</v>
      </c>
      <c r="DB195" s="228">
        <v>26.85</v>
      </c>
      <c r="DC195" s="228">
        <v>1.43</v>
      </c>
      <c r="DD195" s="228">
        <v>1.43</v>
      </c>
      <c r="DE195" s="228">
        <v>29.13</v>
      </c>
      <c r="DF195" s="228">
        <v>29.19</v>
      </c>
      <c r="DG195" s="228">
        <v>-0.85</v>
      </c>
      <c r="DH195" s="228">
        <v>-0.06</v>
      </c>
      <c r="DI195" s="228">
        <v>28.08</v>
      </c>
      <c r="DJ195" s="228">
        <v>26.66</v>
      </c>
      <c r="DK195" s="228">
        <v>1.42</v>
      </c>
      <c r="DL195" s="228">
        <v>1.42</v>
      </c>
      <c r="DM195" s="228">
        <v>28.54</v>
      </c>
      <c r="DN195" s="228">
        <v>27.28</v>
      </c>
      <c r="DO195" s="228">
        <v>1.26</v>
      </c>
      <c r="DP195" s="228">
        <v>1.26</v>
      </c>
      <c r="DQ195" s="228">
        <v>0.62</v>
      </c>
      <c r="DR195" s="228">
        <v>0.62</v>
      </c>
      <c r="DS195" s="228">
        <v>0</v>
      </c>
      <c r="DT195" s="229">
        <v>0</v>
      </c>
      <c r="DU195" s="231">
        <v>1760</v>
      </c>
      <c r="DV195" s="231">
        <v>1620</v>
      </c>
      <c r="DW195" s="228">
        <v>0.8</v>
      </c>
      <c r="DX195" s="228">
        <v>0.44</v>
      </c>
      <c r="DY195" s="228">
        <v>0.36</v>
      </c>
      <c r="DZ195" s="229">
        <v>0.81820000000000004</v>
      </c>
      <c r="EA195" s="229">
        <v>3.56E-2</v>
      </c>
      <c r="EB195" s="230">
        <v>582000</v>
      </c>
      <c r="EC195" s="229">
        <v>5.7999999999999996E-3</v>
      </c>
      <c r="ED195" s="229">
        <v>3.56E-2</v>
      </c>
      <c r="EE195" s="228">
        <v>10.96</v>
      </c>
      <c r="EF195" s="229">
        <v>6.7000000000000002E-3</v>
      </c>
      <c r="EG195" s="230">
        <v>976596</v>
      </c>
      <c r="EH195" s="230">
        <v>1114727</v>
      </c>
      <c r="EI195" s="229">
        <v>-0.1239</v>
      </c>
      <c r="EJ195" s="229">
        <v>0.63229999999999997</v>
      </c>
      <c r="EK195" s="231">
        <v>1025</v>
      </c>
      <c r="EL195" s="228">
        <v>772.29</v>
      </c>
      <c r="EM195" s="228">
        <v>350.28</v>
      </c>
      <c r="EN195" s="228">
        <v>61.62</v>
      </c>
      <c r="EO195" s="231">
        <v>2147.5700000000002</v>
      </c>
      <c r="EP195" s="231">
        <v>4182.38</v>
      </c>
      <c r="EQ195" s="231">
        <v>-2034.8</v>
      </c>
      <c r="ER195" s="229">
        <v>-0.48649999999999999</v>
      </c>
      <c r="ES195" s="231">
        <v>1619.49</v>
      </c>
      <c r="ET195" s="228">
        <v>918.79</v>
      </c>
      <c r="EU195" s="231">
        <v>2858.62</v>
      </c>
      <c r="EV195" s="231">
        <v>80031540</v>
      </c>
      <c r="EW195" s="231">
        <v>5396.89</v>
      </c>
      <c r="EX195" s="231">
        <v>5424.09</v>
      </c>
      <c r="EY195" s="228">
        <v>-27.2</v>
      </c>
      <c r="EZ195" s="229">
        <v>-5.0000000000000001E-3</v>
      </c>
      <c r="FA195" s="229">
        <v>0.40610000000000002</v>
      </c>
      <c r="FB195" s="227" t="s">
        <v>568</v>
      </c>
      <c r="FC195">
        <f t="shared" ref="FC195:FC258" si="4">BY260-CC260</f>
        <v>0</v>
      </c>
    </row>
    <row r="196" spans="1:159" ht="17.25" thickBot="1" x14ac:dyDescent="0.3">
      <c r="A196" s="226">
        <v>46064</v>
      </c>
      <c r="B196" s="227" t="s">
        <v>184</v>
      </c>
      <c r="C196" s="227" t="s">
        <v>595</v>
      </c>
      <c r="D196" s="228">
        <v>200</v>
      </c>
      <c r="E196" s="228">
        <v>13</v>
      </c>
      <c r="F196" s="231">
        <v>2451.8000000000002</v>
      </c>
      <c r="G196" s="231">
        <v>2448.8000000000002</v>
      </c>
      <c r="H196" s="228">
        <v>3</v>
      </c>
      <c r="I196" s="229">
        <v>1.1999999999999999E-3</v>
      </c>
      <c r="J196" s="231">
        <v>2450.1999999999998</v>
      </c>
      <c r="K196" s="231">
        <v>2438.6</v>
      </c>
      <c r="L196" s="228">
        <v>11.6</v>
      </c>
      <c r="M196" s="229">
        <v>4.7999999999999996E-3</v>
      </c>
      <c r="N196" s="231">
        <v>2451.8000000000002</v>
      </c>
      <c r="O196" s="231">
        <v>2448.8000000000002</v>
      </c>
      <c r="P196" s="228">
        <v>3</v>
      </c>
      <c r="Q196" s="229">
        <v>1.1999999999999999E-3</v>
      </c>
      <c r="R196" s="231">
        <v>2465.4</v>
      </c>
      <c r="S196" s="231">
        <v>2463.3000000000002</v>
      </c>
      <c r="T196" s="228">
        <v>2.1</v>
      </c>
      <c r="U196" s="229">
        <v>8.9999999999999998E-4</v>
      </c>
      <c r="V196" s="231">
        <v>2478.8000000000002</v>
      </c>
      <c r="W196" s="231">
        <v>2478.3000000000002</v>
      </c>
      <c r="X196" s="228">
        <v>0.5</v>
      </c>
      <c r="Y196" s="229">
        <v>2.0000000000000001E-4</v>
      </c>
      <c r="Z196" s="228">
        <v>1.6</v>
      </c>
      <c r="AA196" s="228">
        <v>10.199999999999999</v>
      </c>
      <c r="AB196" s="228">
        <v>-8.6</v>
      </c>
      <c r="AC196" s="229">
        <v>6.9999999999999999E-4</v>
      </c>
      <c r="AD196" s="228">
        <v>1.6</v>
      </c>
      <c r="AE196" s="228">
        <v>10.199999999999999</v>
      </c>
      <c r="AF196" s="228">
        <v>-8.6</v>
      </c>
      <c r="AG196" s="229">
        <v>6.9999999999999999E-4</v>
      </c>
      <c r="AH196" s="228">
        <v>15.2</v>
      </c>
      <c r="AI196" s="228">
        <v>24.7</v>
      </c>
      <c r="AJ196" s="228">
        <v>-9.5</v>
      </c>
      <c r="AK196" s="229">
        <v>6.1999999999999998E-3</v>
      </c>
      <c r="AL196" s="228">
        <v>28.6</v>
      </c>
      <c r="AM196" s="228">
        <v>39.700000000000003</v>
      </c>
      <c r="AN196" s="228">
        <v>-11.1</v>
      </c>
      <c r="AO196" s="229">
        <v>1.17E-2</v>
      </c>
      <c r="AP196" s="231">
        <v>2453.92</v>
      </c>
      <c r="AQ196" s="231">
        <v>2467.09</v>
      </c>
      <c r="AR196" s="228">
        <v>0</v>
      </c>
      <c r="AS196" s="228">
        <v>126</v>
      </c>
      <c r="AT196" s="228">
        <v>244</v>
      </c>
      <c r="AU196" s="228">
        <v>-118</v>
      </c>
      <c r="AV196" s="229">
        <v>-0.48320000000000002</v>
      </c>
      <c r="AW196" s="228">
        <v>114</v>
      </c>
      <c r="AX196" s="228">
        <v>227</v>
      </c>
      <c r="AY196" s="228">
        <v>-113</v>
      </c>
      <c r="AZ196" s="229">
        <v>-0.497</v>
      </c>
      <c r="BA196" s="228">
        <v>11</v>
      </c>
      <c r="BB196" s="228">
        <v>15</v>
      </c>
      <c r="BC196" s="228">
        <v>-4</v>
      </c>
      <c r="BD196" s="229">
        <v>-0.28160000000000002</v>
      </c>
      <c r="BE196" s="228">
        <v>1</v>
      </c>
      <c r="BF196" s="228">
        <v>1</v>
      </c>
      <c r="BG196" s="228">
        <v>-1</v>
      </c>
      <c r="BH196" s="229">
        <v>-0.48280000000000001</v>
      </c>
      <c r="BI196" s="228">
        <v>508</v>
      </c>
      <c r="BJ196" s="230">
        <v>1074</v>
      </c>
      <c r="BK196" s="228">
        <v>-567</v>
      </c>
      <c r="BL196" s="229">
        <v>-0.52739999999999998</v>
      </c>
      <c r="BM196" s="228">
        <v>138</v>
      </c>
      <c r="BN196" s="228">
        <v>404</v>
      </c>
      <c r="BO196" s="228">
        <v>-266</v>
      </c>
      <c r="BP196" s="229">
        <v>-0.65910000000000002</v>
      </c>
      <c r="BQ196" s="228">
        <v>772</v>
      </c>
      <c r="BR196" s="230">
        <v>1722</v>
      </c>
      <c r="BS196" s="228">
        <v>-951</v>
      </c>
      <c r="BT196" s="229">
        <v>-0.55200000000000005</v>
      </c>
      <c r="BU196" s="230">
        <v>370514</v>
      </c>
      <c r="BV196" s="230">
        <v>1382285</v>
      </c>
      <c r="BW196" s="230">
        <v>-1011771</v>
      </c>
      <c r="BX196" s="229">
        <v>-0.73199999999999998</v>
      </c>
      <c r="BY196" s="228">
        <v>890</v>
      </c>
      <c r="BZ196" s="228">
        <v>893</v>
      </c>
      <c r="CA196" s="228">
        <v>-3</v>
      </c>
      <c r="CB196" s="229">
        <v>-3.0999999999999999E-3</v>
      </c>
      <c r="CC196" s="228">
        <v>856</v>
      </c>
      <c r="CD196" s="228">
        <v>860</v>
      </c>
      <c r="CE196" s="228">
        <v>-4</v>
      </c>
      <c r="CF196" s="229">
        <v>-4.3E-3</v>
      </c>
      <c r="CG196" s="228">
        <v>31</v>
      </c>
      <c r="CH196" s="228">
        <v>30</v>
      </c>
      <c r="CI196" s="228">
        <v>1</v>
      </c>
      <c r="CJ196" s="229">
        <v>4.1200000000000001E-2</v>
      </c>
      <c r="CK196" s="228">
        <v>3</v>
      </c>
      <c r="CL196" s="228">
        <v>4</v>
      </c>
      <c r="CM196" s="228">
        <v>0</v>
      </c>
      <c r="CN196" s="229">
        <v>-6.5799999999999997E-2</v>
      </c>
      <c r="CO196" s="228">
        <v>395</v>
      </c>
      <c r="CP196" s="228">
        <v>418</v>
      </c>
      <c r="CQ196" s="228">
        <v>-24</v>
      </c>
      <c r="CR196" s="229">
        <v>-5.6300000000000003E-2</v>
      </c>
      <c r="CS196" s="228">
        <v>218</v>
      </c>
      <c r="CT196" s="228">
        <v>227</v>
      </c>
      <c r="CU196" s="228">
        <v>-9</v>
      </c>
      <c r="CV196" s="229">
        <v>-3.8300000000000001E-2</v>
      </c>
      <c r="CW196" s="230">
        <v>1503</v>
      </c>
      <c r="CX196" s="230">
        <v>1538</v>
      </c>
      <c r="CY196" s="228">
        <v>-35</v>
      </c>
      <c r="CZ196" s="229">
        <v>-2.2700000000000001E-2</v>
      </c>
      <c r="DA196" s="228">
        <v>37.729999999999997</v>
      </c>
      <c r="DB196" s="228">
        <v>38.15</v>
      </c>
      <c r="DC196" s="228">
        <v>-0.42</v>
      </c>
      <c r="DD196" s="228">
        <v>-0.42</v>
      </c>
      <c r="DE196" s="228">
        <v>43.74</v>
      </c>
      <c r="DF196" s="228">
        <v>43.85</v>
      </c>
      <c r="DG196" s="228">
        <v>-6.01</v>
      </c>
      <c r="DH196" s="228">
        <v>-0.11</v>
      </c>
      <c r="DI196" s="228">
        <v>37.159999999999997</v>
      </c>
      <c r="DJ196" s="228">
        <v>37.520000000000003</v>
      </c>
      <c r="DK196" s="228">
        <v>-0.36</v>
      </c>
      <c r="DL196" s="228">
        <v>-0.36</v>
      </c>
      <c r="DM196" s="228">
        <v>39.83</v>
      </c>
      <c r="DN196" s="228">
        <v>39.81</v>
      </c>
      <c r="DO196" s="228">
        <v>0.02</v>
      </c>
      <c r="DP196" s="228">
        <v>0.02</v>
      </c>
      <c r="DQ196" s="228">
        <v>0.55000000000000004</v>
      </c>
      <c r="DR196" s="228">
        <v>0.54</v>
      </c>
      <c r="DS196" s="228">
        <v>0.01</v>
      </c>
      <c r="DT196" s="229">
        <v>1.8499999999999999E-2</v>
      </c>
      <c r="DU196" s="231">
        <v>2500</v>
      </c>
      <c r="DV196" s="231">
        <v>2300</v>
      </c>
      <c r="DW196" s="228">
        <v>0.27</v>
      </c>
      <c r="DX196" s="228">
        <v>0.38</v>
      </c>
      <c r="DY196" s="228">
        <v>-0.11</v>
      </c>
      <c r="DZ196" s="229">
        <v>-0.28949999999999998</v>
      </c>
      <c r="EA196" s="229">
        <v>3.8699999999999998E-2</v>
      </c>
      <c r="EB196" s="230">
        <v>136600</v>
      </c>
      <c r="EC196" s="229">
        <v>5.4999999999999997E-3</v>
      </c>
      <c r="ED196" s="229">
        <v>3.8699999999999998E-2</v>
      </c>
      <c r="EE196" s="228">
        <v>13.17</v>
      </c>
      <c r="EF196" s="229">
        <v>5.4000000000000003E-3</v>
      </c>
      <c r="EG196" s="230">
        <v>141768</v>
      </c>
      <c r="EH196" s="230">
        <v>987039</v>
      </c>
      <c r="EI196" s="229">
        <v>-0.85640000000000005</v>
      </c>
      <c r="EJ196" s="229">
        <v>0.3826</v>
      </c>
      <c r="EK196" s="228">
        <v>535.13</v>
      </c>
      <c r="EL196" s="228">
        <v>133.61000000000001</v>
      </c>
      <c r="EM196" s="228">
        <v>126.4</v>
      </c>
      <c r="EN196" s="228">
        <v>66.56</v>
      </c>
      <c r="EO196" s="228">
        <v>795.13</v>
      </c>
      <c r="EP196" s="231">
        <v>1755.84</v>
      </c>
      <c r="EQ196" s="228">
        <v>-960.7</v>
      </c>
      <c r="ER196" s="229">
        <v>-0.54710000000000003</v>
      </c>
      <c r="ES196" s="228">
        <v>408.2</v>
      </c>
      <c r="ET196" s="228">
        <v>205.8</v>
      </c>
      <c r="EU196" s="228">
        <v>890.46</v>
      </c>
      <c r="EV196" s="231">
        <v>15879795</v>
      </c>
      <c r="EW196" s="231">
        <v>1504.45</v>
      </c>
      <c r="EX196" s="231">
        <v>1538.78</v>
      </c>
      <c r="EY196" s="228">
        <v>-34.33</v>
      </c>
      <c r="EZ196" s="229">
        <v>-2.23E-2</v>
      </c>
      <c r="FA196" s="229">
        <v>0.38600000000000001</v>
      </c>
      <c r="FB196" s="227" t="s">
        <v>556</v>
      </c>
      <c r="FC196">
        <f t="shared" si="4"/>
        <v>0</v>
      </c>
    </row>
    <row r="197" spans="1:159" ht="17.25" thickBot="1" x14ac:dyDescent="0.3">
      <c r="A197" s="226">
        <v>46064</v>
      </c>
      <c r="B197" s="227" t="s">
        <v>168</v>
      </c>
      <c r="C197" s="227" t="s">
        <v>297</v>
      </c>
      <c r="D197" s="228">
        <v>175</v>
      </c>
      <c r="E197" s="228">
        <v>13</v>
      </c>
      <c r="F197" s="231">
        <v>4252.5</v>
      </c>
      <c r="G197" s="231">
        <v>4283.1000000000004</v>
      </c>
      <c r="H197" s="228">
        <v>-30.6</v>
      </c>
      <c r="I197" s="229">
        <v>-7.1000000000000004E-3</v>
      </c>
      <c r="J197" s="231">
        <v>4249.1000000000004</v>
      </c>
      <c r="K197" s="231">
        <v>4269.1000000000004</v>
      </c>
      <c r="L197" s="228">
        <v>-20</v>
      </c>
      <c r="M197" s="229">
        <v>-4.7000000000000002E-3</v>
      </c>
      <c r="N197" s="231">
        <v>4252.5</v>
      </c>
      <c r="O197" s="231">
        <v>4283.1000000000004</v>
      </c>
      <c r="P197" s="228">
        <v>-30.6</v>
      </c>
      <c r="Q197" s="229">
        <v>-7.1000000000000004E-3</v>
      </c>
      <c r="R197" s="231">
        <v>4278.2</v>
      </c>
      <c r="S197" s="231">
        <v>4309.1000000000004</v>
      </c>
      <c r="T197" s="228">
        <v>-30.9</v>
      </c>
      <c r="U197" s="229">
        <v>-7.1999999999999998E-3</v>
      </c>
      <c r="V197" s="231">
        <v>4303.8999999999996</v>
      </c>
      <c r="W197" s="231">
        <v>4337.3999999999996</v>
      </c>
      <c r="X197" s="228">
        <v>-33.5</v>
      </c>
      <c r="Y197" s="229">
        <v>-7.7000000000000002E-3</v>
      </c>
      <c r="Z197" s="228">
        <v>3.4</v>
      </c>
      <c r="AA197" s="228">
        <v>14</v>
      </c>
      <c r="AB197" s="228">
        <v>-10.6</v>
      </c>
      <c r="AC197" s="229">
        <v>8.0000000000000004E-4</v>
      </c>
      <c r="AD197" s="228">
        <v>3.4</v>
      </c>
      <c r="AE197" s="228">
        <v>14</v>
      </c>
      <c r="AF197" s="228">
        <v>-10.6</v>
      </c>
      <c r="AG197" s="229">
        <v>8.0000000000000004E-4</v>
      </c>
      <c r="AH197" s="228">
        <v>29.1</v>
      </c>
      <c r="AI197" s="228">
        <v>40</v>
      </c>
      <c r="AJ197" s="228">
        <v>-10.9</v>
      </c>
      <c r="AK197" s="229">
        <v>6.7999999999999996E-3</v>
      </c>
      <c r="AL197" s="228">
        <v>54.8</v>
      </c>
      <c r="AM197" s="228">
        <v>68.3</v>
      </c>
      <c r="AN197" s="228">
        <v>-13.5</v>
      </c>
      <c r="AO197" s="229">
        <v>1.29E-2</v>
      </c>
      <c r="AP197" s="231">
        <v>4298.7700000000004</v>
      </c>
      <c r="AQ197" s="231">
        <v>4324.33</v>
      </c>
      <c r="AR197" s="228">
        <v>0</v>
      </c>
      <c r="AS197" s="230">
        <v>2158</v>
      </c>
      <c r="AT197" s="230">
        <v>1156</v>
      </c>
      <c r="AU197" s="230">
        <v>1003</v>
      </c>
      <c r="AV197" s="229">
        <v>0.86739999999999995</v>
      </c>
      <c r="AW197" s="230">
        <v>1996</v>
      </c>
      <c r="AX197" s="230">
        <v>1064</v>
      </c>
      <c r="AY197" s="228">
        <v>932</v>
      </c>
      <c r="AZ197" s="229">
        <v>0.87580000000000002</v>
      </c>
      <c r="BA197" s="228">
        <v>142</v>
      </c>
      <c r="BB197" s="228">
        <v>82</v>
      </c>
      <c r="BC197" s="228">
        <v>60</v>
      </c>
      <c r="BD197" s="229">
        <v>0.73950000000000005</v>
      </c>
      <c r="BE197" s="228">
        <v>21</v>
      </c>
      <c r="BF197" s="228">
        <v>10</v>
      </c>
      <c r="BG197" s="228">
        <v>10</v>
      </c>
      <c r="BH197" s="229">
        <v>1.0219</v>
      </c>
      <c r="BI197" s="230">
        <v>19584</v>
      </c>
      <c r="BJ197" s="230">
        <v>10462</v>
      </c>
      <c r="BK197" s="230">
        <v>9122</v>
      </c>
      <c r="BL197" s="229">
        <v>0.87190000000000001</v>
      </c>
      <c r="BM197" s="230">
        <v>9551</v>
      </c>
      <c r="BN197" s="230">
        <v>3288</v>
      </c>
      <c r="BO197" s="230">
        <v>6263</v>
      </c>
      <c r="BP197" s="229">
        <v>1.9052</v>
      </c>
      <c r="BQ197" s="230">
        <v>31293</v>
      </c>
      <c r="BR197" s="230">
        <v>14906</v>
      </c>
      <c r="BS197" s="230">
        <v>16388</v>
      </c>
      <c r="BT197" s="229">
        <v>1.0993999999999999</v>
      </c>
      <c r="BU197" s="230">
        <v>3518529</v>
      </c>
      <c r="BV197" s="230">
        <v>1766732</v>
      </c>
      <c r="BW197" s="230">
        <v>1751797</v>
      </c>
      <c r="BX197" s="229">
        <v>0.99150000000000005</v>
      </c>
      <c r="BY197" s="230">
        <v>4406</v>
      </c>
      <c r="BZ197" s="230">
        <v>4241</v>
      </c>
      <c r="CA197" s="228">
        <v>165</v>
      </c>
      <c r="CB197" s="229">
        <v>3.9E-2</v>
      </c>
      <c r="CC197" s="230">
        <v>4145</v>
      </c>
      <c r="CD197" s="230">
        <v>4003</v>
      </c>
      <c r="CE197" s="228">
        <v>142</v>
      </c>
      <c r="CF197" s="229">
        <v>3.5499999999999997E-2</v>
      </c>
      <c r="CG197" s="228">
        <v>239</v>
      </c>
      <c r="CH197" s="228">
        <v>221</v>
      </c>
      <c r="CI197" s="228">
        <v>18</v>
      </c>
      <c r="CJ197" s="229">
        <v>8.2299999999999998E-2</v>
      </c>
      <c r="CK197" s="228">
        <v>22</v>
      </c>
      <c r="CL197" s="228">
        <v>17</v>
      </c>
      <c r="CM197" s="228">
        <v>5</v>
      </c>
      <c r="CN197" s="229">
        <v>0.29520000000000002</v>
      </c>
      <c r="CO197" s="230">
        <v>3619</v>
      </c>
      <c r="CP197" s="230">
        <v>2637</v>
      </c>
      <c r="CQ197" s="228">
        <v>982</v>
      </c>
      <c r="CR197" s="229">
        <v>0.37240000000000001</v>
      </c>
      <c r="CS197" s="230">
        <v>1789</v>
      </c>
      <c r="CT197" s="230">
        <v>1527</v>
      </c>
      <c r="CU197" s="228">
        <v>262</v>
      </c>
      <c r="CV197" s="229">
        <v>0.17180000000000001</v>
      </c>
      <c r="CW197" s="230">
        <v>9814</v>
      </c>
      <c r="CX197" s="230">
        <v>8405</v>
      </c>
      <c r="CY197" s="230">
        <v>1410</v>
      </c>
      <c r="CZ197" s="229">
        <v>0.16769999999999999</v>
      </c>
      <c r="DA197" s="228">
        <v>27.35</v>
      </c>
      <c r="DB197" s="228">
        <v>37.07</v>
      </c>
      <c r="DC197" s="228">
        <v>-9.7200000000000006</v>
      </c>
      <c r="DD197" s="228">
        <v>-9.7200000000000006</v>
      </c>
      <c r="DE197" s="228">
        <v>24.65</v>
      </c>
      <c r="DF197" s="228">
        <v>24.71</v>
      </c>
      <c r="DG197" s="228">
        <v>2.7</v>
      </c>
      <c r="DH197" s="228">
        <v>-0.06</v>
      </c>
      <c r="DI197" s="228">
        <v>27.5</v>
      </c>
      <c r="DJ197" s="228">
        <v>37.549999999999997</v>
      </c>
      <c r="DK197" s="228">
        <v>-10.050000000000001</v>
      </c>
      <c r="DL197" s="228">
        <v>-10.050000000000001</v>
      </c>
      <c r="DM197" s="228">
        <v>27.03</v>
      </c>
      <c r="DN197" s="228">
        <v>35.54</v>
      </c>
      <c r="DO197" s="228">
        <v>-8.51</v>
      </c>
      <c r="DP197" s="228">
        <v>-8.51</v>
      </c>
      <c r="DQ197" s="228">
        <v>0.49</v>
      </c>
      <c r="DR197" s="228">
        <v>0.57999999999999996</v>
      </c>
      <c r="DS197" s="228">
        <v>-0.09</v>
      </c>
      <c r="DT197" s="229">
        <v>-0.1552</v>
      </c>
      <c r="DU197" s="231">
        <v>4300</v>
      </c>
      <c r="DV197" s="231">
        <v>4000</v>
      </c>
      <c r="DW197" s="228">
        <v>0.49</v>
      </c>
      <c r="DX197" s="228">
        <v>0.31</v>
      </c>
      <c r="DY197" s="228">
        <v>0.18</v>
      </c>
      <c r="DZ197" s="229">
        <v>0.5806</v>
      </c>
      <c r="EA197" s="229">
        <v>5.91E-2</v>
      </c>
      <c r="EB197" s="230">
        <v>558425</v>
      </c>
      <c r="EC197" s="229">
        <v>6.0000000000000001E-3</v>
      </c>
      <c r="ED197" s="229">
        <v>5.91E-2</v>
      </c>
      <c r="EE197" s="228">
        <v>25.56</v>
      </c>
      <c r="EF197" s="229">
        <v>5.8999999999999999E-3</v>
      </c>
      <c r="EG197" s="230">
        <v>905859</v>
      </c>
      <c r="EH197" s="230">
        <v>789568</v>
      </c>
      <c r="EI197" s="229">
        <v>0.14729999999999999</v>
      </c>
      <c r="EJ197" s="229">
        <v>0.25750000000000001</v>
      </c>
      <c r="EK197" s="231">
        <v>20516.84</v>
      </c>
      <c r="EL197" s="231">
        <v>9504.4500000000007</v>
      </c>
      <c r="EM197" s="231">
        <v>2182.96</v>
      </c>
      <c r="EN197" s="228">
        <v>101.68</v>
      </c>
      <c r="EO197" s="231">
        <v>32204.25</v>
      </c>
      <c r="EP197" s="231">
        <v>15451.05</v>
      </c>
      <c r="EQ197" s="231">
        <v>16753.189999999999</v>
      </c>
      <c r="ER197" s="229">
        <v>1.0843</v>
      </c>
      <c r="ES197" s="231">
        <v>3711.96</v>
      </c>
      <c r="ET197" s="231">
        <v>1702.75</v>
      </c>
      <c r="EU197" s="231">
        <v>4407.82</v>
      </c>
      <c r="EV197" s="231">
        <v>45680146</v>
      </c>
      <c r="EW197" s="231">
        <v>9822.5300000000007</v>
      </c>
      <c r="EX197" s="231">
        <v>8408.43</v>
      </c>
      <c r="EY197" s="231">
        <v>1414.1</v>
      </c>
      <c r="EZ197" s="229">
        <v>0.16819999999999999</v>
      </c>
      <c r="FA197" s="229">
        <v>0.50519999999999998</v>
      </c>
      <c r="FB197" s="227" t="s">
        <v>567</v>
      </c>
      <c r="FC197">
        <f t="shared" si="4"/>
        <v>0</v>
      </c>
    </row>
    <row r="198" spans="1:159" ht="17.25" thickBot="1" x14ac:dyDescent="0.3">
      <c r="A198" s="226">
        <v>46064</v>
      </c>
      <c r="B198" s="227" t="s">
        <v>162</v>
      </c>
      <c r="C198" s="227" t="s">
        <v>688</v>
      </c>
      <c r="D198" s="228">
        <v>800</v>
      </c>
      <c r="E198" s="228">
        <v>13</v>
      </c>
      <c r="F198" s="228">
        <v>385.75</v>
      </c>
      <c r="G198" s="228">
        <v>380.55</v>
      </c>
      <c r="H198" s="228">
        <v>5.2</v>
      </c>
      <c r="I198" s="229">
        <v>1.37E-2</v>
      </c>
      <c r="J198" s="228">
        <v>384.7</v>
      </c>
      <c r="K198" s="228">
        <v>379.35</v>
      </c>
      <c r="L198" s="228">
        <v>5.35</v>
      </c>
      <c r="M198" s="229">
        <v>1.41E-2</v>
      </c>
      <c r="N198" s="228">
        <v>385.75</v>
      </c>
      <c r="O198" s="228">
        <v>380.55</v>
      </c>
      <c r="P198" s="228">
        <v>5.2</v>
      </c>
      <c r="Q198" s="229">
        <v>1.37E-2</v>
      </c>
      <c r="R198" s="228">
        <v>387.25</v>
      </c>
      <c r="S198" s="228">
        <v>382</v>
      </c>
      <c r="T198" s="228">
        <v>5.25</v>
      </c>
      <c r="U198" s="229">
        <v>1.37E-2</v>
      </c>
      <c r="V198" s="228">
        <v>389.25</v>
      </c>
      <c r="W198" s="228">
        <v>382.9</v>
      </c>
      <c r="X198" s="228">
        <v>6.35</v>
      </c>
      <c r="Y198" s="229">
        <v>1.66E-2</v>
      </c>
      <c r="Z198" s="228">
        <v>1.05</v>
      </c>
      <c r="AA198" s="228">
        <v>1.2</v>
      </c>
      <c r="AB198" s="228">
        <v>-0.15</v>
      </c>
      <c r="AC198" s="229">
        <v>2.7000000000000001E-3</v>
      </c>
      <c r="AD198" s="228">
        <v>1.05</v>
      </c>
      <c r="AE198" s="228">
        <v>1.2</v>
      </c>
      <c r="AF198" s="228">
        <v>-0.15</v>
      </c>
      <c r="AG198" s="229">
        <v>2.7000000000000001E-3</v>
      </c>
      <c r="AH198" s="228">
        <v>2.5499999999999998</v>
      </c>
      <c r="AI198" s="228">
        <v>2.65</v>
      </c>
      <c r="AJ198" s="228">
        <v>-0.1</v>
      </c>
      <c r="AK198" s="229">
        <v>6.6E-3</v>
      </c>
      <c r="AL198" s="228">
        <v>4.55</v>
      </c>
      <c r="AM198" s="228">
        <v>3.55</v>
      </c>
      <c r="AN198" s="228">
        <v>1</v>
      </c>
      <c r="AO198" s="229">
        <v>1.18E-2</v>
      </c>
      <c r="AP198" s="228">
        <v>386.14</v>
      </c>
      <c r="AQ198" s="228">
        <v>387.43</v>
      </c>
      <c r="AR198" s="228">
        <v>0</v>
      </c>
      <c r="AS198" s="228">
        <v>633</v>
      </c>
      <c r="AT198" s="228">
        <v>446</v>
      </c>
      <c r="AU198" s="228">
        <v>187</v>
      </c>
      <c r="AV198" s="229">
        <v>0.42030000000000001</v>
      </c>
      <c r="AW198" s="228">
        <v>506</v>
      </c>
      <c r="AX198" s="228">
        <v>373</v>
      </c>
      <c r="AY198" s="228">
        <v>134</v>
      </c>
      <c r="AZ198" s="229">
        <v>0.35820000000000002</v>
      </c>
      <c r="BA198" s="228">
        <v>116</v>
      </c>
      <c r="BB198" s="228">
        <v>62</v>
      </c>
      <c r="BC198" s="228">
        <v>54</v>
      </c>
      <c r="BD198" s="229">
        <v>0.8589</v>
      </c>
      <c r="BE198" s="228">
        <v>11</v>
      </c>
      <c r="BF198" s="228">
        <v>10</v>
      </c>
      <c r="BG198" s="228">
        <v>0</v>
      </c>
      <c r="BH198" s="229">
        <v>2.06E-2</v>
      </c>
      <c r="BI198" s="230">
        <v>2949</v>
      </c>
      <c r="BJ198" s="230">
        <v>1682</v>
      </c>
      <c r="BK198" s="230">
        <v>1267</v>
      </c>
      <c r="BL198" s="229">
        <v>0.75339999999999996</v>
      </c>
      <c r="BM198" s="230">
        <v>1463</v>
      </c>
      <c r="BN198" s="228">
        <v>892</v>
      </c>
      <c r="BO198" s="228">
        <v>571</v>
      </c>
      <c r="BP198" s="229">
        <v>0.6401</v>
      </c>
      <c r="BQ198" s="230">
        <v>5045</v>
      </c>
      <c r="BR198" s="230">
        <v>3019</v>
      </c>
      <c r="BS198" s="230">
        <v>2025</v>
      </c>
      <c r="BT198" s="229">
        <v>0.67079999999999995</v>
      </c>
      <c r="BU198" s="230">
        <v>10933658</v>
      </c>
      <c r="BV198" s="230">
        <v>8921719</v>
      </c>
      <c r="BW198" s="230">
        <v>2011939</v>
      </c>
      <c r="BX198" s="229">
        <v>0.22550000000000001</v>
      </c>
      <c r="BY198" s="230">
        <v>3267</v>
      </c>
      <c r="BZ198" s="230">
        <v>3304</v>
      </c>
      <c r="CA198" s="228">
        <v>-37</v>
      </c>
      <c r="CB198" s="229">
        <v>-1.11E-2</v>
      </c>
      <c r="CC198" s="230">
        <v>2954</v>
      </c>
      <c r="CD198" s="230">
        <v>3024</v>
      </c>
      <c r="CE198" s="228">
        <v>-69</v>
      </c>
      <c r="CF198" s="229">
        <v>-2.29E-2</v>
      </c>
      <c r="CG198" s="228">
        <v>283</v>
      </c>
      <c r="CH198" s="228">
        <v>251</v>
      </c>
      <c r="CI198" s="228">
        <v>32</v>
      </c>
      <c r="CJ198" s="229">
        <v>0.12620000000000001</v>
      </c>
      <c r="CK198" s="228">
        <v>30</v>
      </c>
      <c r="CL198" s="228">
        <v>29</v>
      </c>
      <c r="CM198" s="228">
        <v>1</v>
      </c>
      <c r="CN198" s="229">
        <v>2.53E-2</v>
      </c>
      <c r="CO198" s="230">
        <v>1423</v>
      </c>
      <c r="CP198" s="230">
        <v>1417</v>
      </c>
      <c r="CQ198" s="228">
        <v>6</v>
      </c>
      <c r="CR198" s="229">
        <v>4.3E-3</v>
      </c>
      <c r="CS198" s="230">
        <v>1198</v>
      </c>
      <c r="CT198" s="230">
        <v>1227</v>
      </c>
      <c r="CU198" s="228">
        <v>-29</v>
      </c>
      <c r="CV198" s="229">
        <v>-2.3800000000000002E-2</v>
      </c>
      <c r="CW198" s="230">
        <v>5889</v>
      </c>
      <c r="CX198" s="230">
        <v>5948</v>
      </c>
      <c r="CY198" s="228">
        <v>-60</v>
      </c>
      <c r="CZ198" s="229">
        <v>-1.01E-2</v>
      </c>
      <c r="DA198" s="228">
        <v>29.91</v>
      </c>
      <c r="DB198" s="228">
        <v>29.28</v>
      </c>
      <c r="DC198" s="228">
        <v>0.63</v>
      </c>
      <c r="DD198" s="228">
        <v>0.63</v>
      </c>
      <c r="DE198" s="228">
        <v>33.83</v>
      </c>
      <c r="DF198" s="228">
        <v>33.869999999999997</v>
      </c>
      <c r="DG198" s="228">
        <v>-3.92</v>
      </c>
      <c r="DH198" s="228">
        <v>-0.04</v>
      </c>
      <c r="DI198" s="228">
        <v>28.45</v>
      </c>
      <c r="DJ198" s="228">
        <v>28.42</v>
      </c>
      <c r="DK198" s="228">
        <v>0.03</v>
      </c>
      <c r="DL198" s="228">
        <v>0.03</v>
      </c>
      <c r="DM198" s="228">
        <v>32.86</v>
      </c>
      <c r="DN198" s="228">
        <v>30.92</v>
      </c>
      <c r="DO198" s="228">
        <v>1.94</v>
      </c>
      <c r="DP198" s="228">
        <v>1.94</v>
      </c>
      <c r="DQ198" s="228">
        <v>0.84</v>
      </c>
      <c r="DR198" s="228">
        <v>0.87</v>
      </c>
      <c r="DS198" s="228">
        <v>-0.03</v>
      </c>
      <c r="DT198" s="229">
        <v>-3.4500000000000003E-2</v>
      </c>
      <c r="DU198" s="228">
        <v>400</v>
      </c>
      <c r="DV198" s="228">
        <v>360</v>
      </c>
      <c r="DW198" s="228">
        <v>0.5</v>
      </c>
      <c r="DX198" s="228">
        <v>0.53</v>
      </c>
      <c r="DY198" s="228">
        <v>-0.03</v>
      </c>
      <c r="DZ198" s="229">
        <v>-5.6599999999999998E-2</v>
      </c>
      <c r="EA198" s="229">
        <v>9.5699999999999993E-2</v>
      </c>
      <c r="EB198" s="230">
        <v>7265600</v>
      </c>
      <c r="EC198" s="229">
        <v>3.8999999999999998E-3</v>
      </c>
      <c r="ED198" s="229">
        <v>9.5699999999999993E-2</v>
      </c>
      <c r="EE198" s="228">
        <v>1.29</v>
      </c>
      <c r="EF198" s="229">
        <v>3.3E-3</v>
      </c>
      <c r="EG198" s="230">
        <v>4596283</v>
      </c>
      <c r="EH198" s="230">
        <v>4726337</v>
      </c>
      <c r="EI198" s="229">
        <v>-2.75E-2</v>
      </c>
      <c r="EJ198" s="229">
        <v>0.4204</v>
      </c>
      <c r="EK198" s="231">
        <v>3067.65</v>
      </c>
      <c r="EL198" s="231">
        <v>1400.25</v>
      </c>
      <c r="EM198" s="228">
        <v>634.12</v>
      </c>
      <c r="EN198" s="228">
        <v>231.73</v>
      </c>
      <c r="EO198" s="231">
        <v>5102.0200000000004</v>
      </c>
      <c r="EP198" s="231">
        <v>3026.63</v>
      </c>
      <c r="EQ198" s="231">
        <v>2075.39</v>
      </c>
      <c r="ER198" s="229">
        <v>0.68569999999999998</v>
      </c>
      <c r="ES198" s="231">
        <v>1443.75</v>
      </c>
      <c r="ET198" s="231">
        <v>1103.0899999999999</v>
      </c>
      <c r="EU198" s="231">
        <v>3268.46</v>
      </c>
      <c r="EV198" s="231">
        <v>317235726</v>
      </c>
      <c r="EW198" s="231">
        <v>5815.3</v>
      </c>
      <c r="EX198" s="231">
        <v>5816.32</v>
      </c>
      <c r="EY198" s="228">
        <v>-1.02</v>
      </c>
      <c r="EZ198" s="229">
        <v>-2.0000000000000001E-4</v>
      </c>
      <c r="FA198" s="229">
        <v>0.48120000000000002</v>
      </c>
      <c r="FB198" s="227" t="s">
        <v>556</v>
      </c>
      <c r="FC198">
        <f t="shared" si="4"/>
        <v>0</v>
      </c>
    </row>
    <row r="199" spans="1:159" ht="17.25" thickBot="1" x14ac:dyDescent="0.3">
      <c r="A199" s="226">
        <v>46064</v>
      </c>
      <c r="B199" s="227" t="s">
        <v>170</v>
      </c>
      <c r="C199" s="227" t="s">
        <v>298</v>
      </c>
      <c r="D199" s="228">
        <v>250</v>
      </c>
      <c r="E199" s="228">
        <v>13</v>
      </c>
      <c r="F199" s="231">
        <v>4026.5</v>
      </c>
      <c r="G199" s="231">
        <v>4049</v>
      </c>
      <c r="H199" s="228">
        <v>-22.5</v>
      </c>
      <c r="I199" s="229">
        <v>-5.5999999999999999E-3</v>
      </c>
      <c r="J199" s="231">
        <v>4056.7</v>
      </c>
      <c r="K199" s="231">
        <v>4079.6</v>
      </c>
      <c r="L199" s="228">
        <v>-22.9</v>
      </c>
      <c r="M199" s="229">
        <v>-5.5999999999999999E-3</v>
      </c>
      <c r="N199" s="231">
        <v>4026.5</v>
      </c>
      <c r="O199" s="231">
        <v>4049</v>
      </c>
      <c r="P199" s="228">
        <v>-22.5</v>
      </c>
      <c r="Q199" s="229">
        <v>-5.5999999999999999E-3</v>
      </c>
      <c r="R199" s="231">
        <v>4041</v>
      </c>
      <c r="S199" s="231">
        <v>4061.2</v>
      </c>
      <c r="T199" s="228">
        <v>-20.2</v>
      </c>
      <c r="U199" s="229">
        <v>-5.0000000000000001E-3</v>
      </c>
      <c r="V199" s="231">
        <v>4056.5</v>
      </c>
      <c r="W199" s="231">
        <v>4078.9</v>
      </c>
      <c r="X199" s="228">
        <v>-22.4</v>
      </c>
      <c r="Y199" s="229">
        <v>-5.4999999999999997E-3</v>
      </c>
      <c r="Z199" s="228">
        <v>-30.2</v>
      </c>
      <c r="AA199" s="228">
        <v>-30.6</v>
      </c>
      <c r="AB199" s="228">
        <v>0.4</v>
      </c>
      <c r="AC199" s="229">
        <v>-7.4000000000000003E-3</v>
      </c>
      <c r="AD199" s="228">
        <v>-30.2</v>
      </c>
      <c r="AE199" s="228">
        <v>-30.6</v>
      </c>
      <c r="AF199" s="228">
        <v>0.4</v>
      </c>
      <c r="AG199" s="229">
        <v>-7.4000000000000003E-3</v>
      </c>
      <c r="AH199" s="228">
        <v>-15.7</v>
      </c>
      <c r="AI199" s="228">
        <v>-18.399999999999999</v>
      </c>
      <c r="AJ199" s="228">
        <v>2.7</v>
      </c>
      <c r="AK199" s="229">
        <v>-3.8999999999999998E-3</v>
      </c>
      <c r="AL199" s="228">
        <v>-0.2</v>
      </c>
      <c r="AM199" s="228">
        <v>-0.7</v>
      </c>
      <c r="AN199" s="228">
        <v>0.5</v>
      </c>
      <c r="AO199" s="229">
        <v>0</v>
      </c>
      <c r="AP199" s="231">
        <v>4033.17</v>
      </c>
      <c r="AQ199" s="231">
        <v>4051.8</v>
      </c>
      <c r="AR199" s="228">
        <v>0</v>
      </c>
      <c r="AS199" s="228">
        <v>180</v>
      </c>
      <c r="AT199" s="228">
        <v>151</v>
      </c>
      <c r="AU199" s="228">
        <v>29</v>
      </c>
      <c r="AV199" s="229">
        <v>0.19589999999999999</v>
      </c>
      <c r="AW199" s="228">
        <v>172</v>
      </c>
      <c r="AX199" s="228">
        <v>143</v>
      </c>
      <c r="AY199" s="228">
        <v>29</v>
      </c>
      <c r="AZ199" s="229">
        <v>0.2041</v>
      </c>
      <c r="BA199" s="228">
        <v>8</v>
      </c>
      <c r="BB199" s="228">
        <v>7</v>
      </c>
      <c r="BC199" s="228">
        <v>1</v>
      </c>
      <c r="BD199" s="229">
        <v>0.1081</v>
      </c>
      <c r="BE199" s="228">
        <v>0</v>
      </c>
      <c r="BF199" s="228">
        <v>1</v>
      </c>
      <c r="BG199" s="228">
        <v>0</v>
      </c>
      <c r="BH199" s="229">
        <v>-0.66669999999999996</v>
      </c>
      <c r="BI199" s="228">
        <v>313</v>
      </c>
      <c r="BJ199" s="228">
        <v>493</v>
      </c>
      <c r="BK199" s="228">
        <v>-180</v>
      </c>
      <c r="BL199" s="229">
        <v>-0.3644</v>
      </c>
      <c r="BM199" s="228">
        <v>97</v>
      </c>
      <c r="BN199" s="228">
        <v>84</v>
      </c>
      <c r="BO199" s="228">
        <v>13</v>
      </c>
      <c r="BP199" s="229">
        <v>0.1507</v>
      </c>
      <c r="BQ199" s="228">
        <v>590</v>
      </c>
      <c r="BR199" s="228">
        <v>728</v>
      </c>
      <c r="BS199" s="228">
        <v>-138</v>
      </c>
      <c r="BT199" s="229">
        <v>-0.18890000000000001</v>
      </c>
      <c r="BU199" s="230">
        <v>185364</v>
      </c>
      <c r="BV199" s="230">
        <v>195370</v>
      </c>
      <c r="BW199" s="230">
        <v>-10006</v>
      </c>
      <c r="BX199" s="229">
        <v>-5.1200000000000002E-2</v>
      </c>
      <c r="BY199" s="230">
        <v>1156</v>
      </c>
      <c r="BZ199" s="230">
        <v>1121</v>
      </c>
      <c r="CA199" s="228">
        <v>35</v>
      </c>
      <c r="CB199" s="229">
        <v>3.0800000000000001E-2</v>
      </c>
      <c r="CC199" s="230">
        <v>1141</v>
      </c>
      <c r="CD199" s="230">
        <v>1111</v>
      </c>
      <c r="CE199" s="228">
        <v>30</v>
      </c>
      <c r="CF199" s="229">
        <v>2.6599999999999999E-2</v>
      </c>
      <c r="CG199" s="228">
        <v>14</v>
      </c>
      <c r="CH199" s="228">
        <v>9</v>
      </c>
      <c r="CI199" s="228">
        <v>5</v>
      </c>
      <c r="CJ199" s="229">
        <v>0.53410000000000002</v>
      </c>
      <c r="CK199" s="228">
        <v>1</v>
      </c>
      <c r="CL199" s="228">
        <v>1</v>
      </c>
      <c r="CM199" s="228">
        <v>0</v>
      </c>
      <c r="CN199" s="229">
        <v>0.2</v>
      </c>
      <c r="CO199" s="228">
        <v>271</v>
      </c>
      <c r="CP199" s="228">
        <v>227</v>
      </c>
      <c r="CQ199" s="228">
        <v>44</v>
      </c>
      <c r="CR199" s="229">
        <v>0.19600000000000001</v>
      </c>
      <c r="CS199" s="228">
        <v>150</v>
      </c>
      <c r="CT199" s="228">
        <v>135</v>
      </c>
      <c r="CU199" s="228">
        <v>16</v>
      </c>
      <c r="CV199" s="229">
        <v>0.1174</v>
      </c>
      <c r="CW199" s="230">
        <v>1577</v>
      </c>
      <c r="CX199" s="230">
        <v>1483</v>
      </c>
      <c r="CY199" s="228">
        <v>95</v>
      </c>
      <c r="CZ199" s="229">
        <v>6.4000000000000001E-2</v>
      </c>
      <c r="DA199" s="228">
        <v>32.090000000000003</v>
      </c>
      <c r="DB199" s="228">
        <v>30.39</v>
      </c>
      <c r="DC199" s="228">
        <v>1.7</v>
      </c>
      <c r="DD199" s="228">
        <v>1.7</v>
      </c>
      <c r="DE199" s="228">
        <v>25.24</v>
      </c>
      <c r="DF199" s="228">
        <v>25.29</v>
      </c>
      <c r="DG199" s="228">
        <v>6.85</v>
      </c>
      <c r="DH199" s="228">
        <v>-0.05</v>
      </c>
      <c r="DI199" s="228">
        <v>31.75</v>
      </c>
      <c r="DJ199" s="228">
        <v>29.99</v>
      </c>
      <c r="DK199" s="228">
        <v>1.76</v>
      </c>
      <c r="DL199" s="228">
        <v>1.76</v>
      </c>
      <c r="DM199" s="228">
        <v>33.200000000000003</v>
      </c>
      <c r="DN199" s="228">
        <v>32.72</v>
      </c>
      <c r="DO199" s="228">
        <v>0.48</v>
      </c>
      <c r="DP199" s="228">
        <v>0.48</v>
      </c>
      <c r="DQ199" s="228">
        <v>0.55000000000000004</v>
      </c>
      <c r="DR199" s="228">
        <v>0.59</v>
      </c>
      <c r="DS199" s="228">
        <v>-0.04</v>
      </c>
      <c r="DT199" s="229">
        <v>-6.7799999999999999E-2</v>
      </c>
      <c r="DU199" s="231">
        <v>4100</v>
      </c>
      <c r="DV199" s="231">
        <v>3700</v>
      </c>
      <c r="DW199" s="228">
        <v>0.31</v>
      </c>
      <c r="DX199" s="228">
        <v>0.17</v>
      </c>
      <c r="DY199" s="228">
        <v>0.14000000000000001</v>
      </c>
      <c r="DZ199" s="229">
        <v>0.82350000000000001</v>
      </c>
      <c r="EA199" s="229">
        <v>1.2800000000000001E-2</v>
      </c>
      <c r="EB199" s="230">
        <v>24500</v>
      </c>
      <c r="EC199" s="229">
        <v>3.5999999999999999E-3</v>
      </c>
      <c r="ED199" s="229">
        <v>1.2800000000000001E-2</v>
      </c>
      <c r="EE199" s="228">
        <v>18.63</v>
      </c>
      <c r="EF199" s="229">
        <v>4.5999999999999999E-3</v>
      </c>
      <c r="EG199" s="230">
        <v>123146</v>
      </c>
      <c r="EH199" s="230">
        <v>102090</v>
      </c>
      <c r="EI199" s="229">
        <v>0.20619999999999999</v>
      </c>
      <c r="EJ199" s="229">
        <v>0.6643</v>
      </c>
      <c r="EK199" s="228">
        <v>328.49</v>
      </c>
      <c r="EL199" s="228">
        <v>94.67</v>
      </c>
      <c r="EM199" s="228">
        <v>180.42</v>
      </c>
      <c r="EN199" s="228">
        <v>17.54</v>
      </c>
      <c r="EO199" s="228">
        <v>603.58000000000004</v>
      </c>
      <c r="EP199" s="228">
        <v>746.81</v>
      </c>
      <c r="EQ199" s="228">
        <v>-143.22999999999999</v>
      </c>
      <c r="ER199" s="229">
        <v>-0.1918</v>
      </c>
      <c r="ES199" s="228">
        <v>280.8</v>
      </c>
      <c r="ET199" s="228">
        <v>143.66</v>
      </c>
      <c r="EU199" s="231">
        <v>1155.56</v>
      </c>
      <c r="EV199" s="231">
        <v>10726004</v>
      </c>
      <c r="EW199" s="231">
        <v>1580.01</v>
      </c>
      <c r="EX199" s="231">
        <v>1489.43</v>
      </c>
      <c r="EY199" s="228">
        <v>90.58</v>
      </c>
      <c r="EZ199" s="229">
        <v>6.08E-2</v>
      </c>
      <c r="FA199" s="229">
        <v>0.36520000000000002</v>
      </c>
      <c r="FB199" s="227" t="s">
        <v>567</v>
      </c>
      <c r="FC199">
        <f t="shared" si="4"/>
        <v>0</v>
      </c>
    </row>
    <row r="200" spans="1:159" ht="17.25" thickBot="1" x14ac:dyDescent="0.3">
      <c r="A200" s="226">
        <v>46064</v>
      </c>
      <c r="B200" s="227" t="s">
        <v>161</v>
      </c>
      <c r="C200" s="227" t="s">
        <v>299</v>
      </c>
      <c r="D200" s="228">
        <v>425</v>
      </c>
      <c r="E200" s="228">
        <v>13</v>
      </c>
      <c r="F200" s="231">
        <v>1414.8</v>
      </c>
      <c r="G200" s="231">
        <v>1475.2</v>
      </c>
      <c r="H200" s="228">
        <v>-60.4</v>
      </c>
      <c r="I200" s="229">
        <v>-4.0899999999999999E-2</v>
      </c>
      <c r="J200" s="231">
        <v>1428.6</v>
      </c>
      <c r="K200" s="231">
        <v>1483</v>
      </c>
      <c r="L200" s="228">
        <v>-54.4</v>
      </c>
      <c r="M200" s="229">
        <v>-3.6700000000000003E-2</v>
      </c>
      <c r="N200" s="231">
        <v>1414.8</v>
      </c>
      <c r="O200" s="231">
        <v>1475.2</v>
      </c>
      <c r="P200" s="228">
        <v>-60.4</v>
      </c>
      <c r="Q200" s="229">
        <v>-4.0899999999999999E-2</v>
      </c>
      <c r="R200" s="231">
        <v>1417.3</v>
      </c>
      <c r="S200" s="231">
        <v>1479.3</v>
      </c>
      <c r="T200" s="228">
        <v>-62</v>
      </c>
      <c r="U200" s="229">
        <v>-4.19E-2</v>
      </c>
      <c r="V200" s="231">
        <v>1422.7</v>
      </c>
      <c r="W200" s="231">
        <v>1479.6</v>
      </c>
      <c r="X200" s="228">
        <v>-56.9</v>
      </c>
      <c r="Y200" s="229">
        <v>-3.85E-2</v>
      </c>
      <c r="Z200" s="228">
        <v>-13.8</v>
      </c>
      <c r="AA200" s="228">
        <v>-7.8</v>
      </c>
      <c r="AB200" s="228">
        <v>-6</v>
      </c>
      <c r="AC200" s="229">
        <v>-9.7000000000000003E-3</v>
      </c>
      <c r="AD200" s="228">
        <v>-13.8</v>
      </c>
      <c r="AE200" s="228">
        <v>-7.8</v>
      </c>
      <c r="AF200" s="228">
        <v>-6</v>
      </c>
      <c r="AG200" s="229">
        <v>-9.7000000000000003E-3</v>
      </c>
      <c r="AH200" s="228">
        <v>-11.3</v>
      </c>
      <c r="AI200" s="228">
        <v>-3.7</v>
      </c>
      <c r="AJ200" s="228">
        <v>-7.6</v>
      </c>
      <c r="AK200" s="229">
        <v>-7.9000000000000008E-3</v>
      </c>
      <c r="AL200" s="228">
        <v>-5.9</v>
      </c>
      <c r="AM200" s="228">
        <v>-3.4</v>
      </c>
      <c r="AN200" s="228">
        <v>-2.5</v>
      </c>
      <c r="AO200" s="229">
        <v>-4.1000000000000003E-3</v>
      </c>
      <c r="AP200" s="231">
        <v>1400.07</v>
      </c>
      <c r="AQ200" s="231">
        <v>1397.24</v>
      </c>
      <c r="AR200" s="228">
        <v>0</v>
      </c>
      <c r="AS200" s="228">
        <v>583</v>
      </c>
      <c r="AT200" s="228">
        <v>323</v>
      </c>
      <c r="AU200" s="228">
        <v>259</v>
      </c>
      <c r="AV200" s="229">
        <v>0.80249999999999999</v>
      </c>
      <c r="AW200" s="228">
        <v>535</v>
      </c>
      <c r="AX200" s="228">
        <v>308</v>
      </c>
      <c r="AY200" s="228">
        <v>227</v>
      </c>
      <c r="AZ200" s="229">
        <v>0.73799999999999999</v>
      </c>
      <c r="BA200" s="228">
        <v>43</v>
      </c>
      <c r="BB200" s="228">
        <v>15</v>
      </c>
      <c r="BC200" s="228">
        <v>29</v>
      </c>
      <c r="BD200" s="229">
        <v>1.9835</v>
      </c>
      <c r="BE200" s="228">
        <v>4</v>
      </c>
      <c r="BF200" s="228">
        <v>1</v>
      </c>
      <c r="BG200" s="228">
        <v>3</v>
      </c>
      <c r="BH200" s="229">
        <v>3.7332999999999998</v>
      </c>
      <c r="BI200" s="230">
        <v>2509</v>
      </c>
      <c r="BJ200" s="230">
        <v>1943</v>
      </c>
      <c r="BK200" s="228">
        <v>566</v>
      </c>
      <c r="BL200" s="229">
        <v>0.29139999999999999</v>
      </c>
      <c r="BM200" s="230">
        <v>1314</v>
      </c>
      <c r="BN200" s="228">
        <v>676</v>
      </c>
      <c r="BO200" s="228">
        <v>638</v>
      </c>
      <c r="BP200" s="229">
        <v>0.94310000000000005</v>
      </c>
      <c r="BQ200" s="230">
        <v>4405</v>
      </c>
      <c r="BR200" s="230">
        <v>2942</v>
      </c>
      <c r="BS200" s="230">
        <v>1463</v>
      </c>
      <c r="BT200" s="229">
        <v>0.49730000000000002</v>
      </c>
      <c r="BU200" s="230">
        <v>3413448</v>
      </c>
      <c r="BV200" s="230">
        <v>1432969</v>
      </c>
      <c r="BW200" s="230">
        <v>1980479</v>
      </c>
      <c r="BX200" s="229">
        <v>1.3821000000000001</v>
      </c>
      <c r="BY200" s="228">
        <v>672</v>
      </c>
      <c r="BZ200" s="228">
        <v>560</v>
      </c>
      <c r="CA200" s="228">
        <v>112</v>
      </c>
      <c r="CB200" s="229">
        <v>0.2001</v>
      </c>
      <c r="CC200" s="228">
        <v>648</v>
      </c>
      <c r="CD200" s="228">
        <v>552</v>
      </c>
      <c r="CE200" s="228">
        <v>97</v>
      </c>
      <c r="CF200" s="229">
        <v>0.17549999999999999</v>
      </c>
      <c r="CG200" s="228">
        <v>21</v>
      </c>
      <c r="CH200" s="228">
        <v>8</v>
      </c>
      <c r="CI200" s="228">
        <v>13</v>
      </c>
      <c r="CJ200" s="229">
        <v>1.7209000000000001</v>
      </c>
      <c r="CK200" s="228">
        <v>3</v>
      </c>
      <c r="CL200" s="228">
        <v>1</v>
      </c>
      <c r="CM200" s="228">
        <v>2</v>
      </c>
      <c r="CN200" s="229">
        <v>2.9091</v>
      </c>
      <c r="CO200" s="228">
        <v>526</v>
      </c>
      <c r="CP200" s="228">
        <v>340</v>
      </c>
      <c r="CQ200" s="228">
        <v>186</v>
      </c>
      <c r="CR200" s="229">
        <v>0.54779999999999995</v>
      </c>
      <c r="CS200" s="228">
        <v>289</v>
      </c>
      <c r="CT200" s="228">
        <v>284</v>
      </c>
      <c r="CU200" s="228">
        <v>5</v>
      </c>
      <c r="CV200" s="229">
        <v>1.78E-2</v>
      </c>
      <c r="CW200" s="230">
        <v>1487</v>
      </c>
      <c r="CX200" s="230">
        <v>1184</v>
      </c>
      <c r="CY200" s="228">
        <v>303</v>
      </c>
      <c r="CZ200" s="229">
        <v>0.25619999999999998</v>
      </c>
      <c r="DA200" s="228">
        <v>35.72</v>
      </c>
      <c r="DB200" s="228">
        <v>42.57</v>
      </c>
      <c r="DC200" s="228">
        <v>-6.85</v>
      </c>
      <c r="DD200" s="228">
        <v>-6.85</v>
      </c>
      <c r="DE200" s="228">
        <v>41.01</v>
      </c>
      <c r="DF200" s="228">
        <v>40.770000000000003</v>
      </c>
      <c r="DG200" s="228">
        <v>-5.29</v>
      </c>
      <c r="DH200" s="228">
        <v>0.24</v>
      </c>
      <c r="DI200" s="228">
        <v>36.14</v>
      </c>
      <c r="DJ200" s="228">
        <v>42.37</v>
      </c>
      <c r="DK200" s="228">
        <v>-6.23</v>
      </c>
      <c r="DL200" s="228">
        <v>-6.23</v>
      </c>
      <c r="DM200" s="228">
        <v>34.89</v>
      </c>
      <c r="DN200" s="228">
        <v>43.15</v>
      </c>
      <c r="DO200" s="228">
        <v>-8.26</v>
      </c>
      <c r="DP200" s="228">
        <v>-8.26</v>
      </c>
      <c r="DQ200" s="228">
        <v>0.55000000000000004</v>
      </c>
      <c r="DR200" s="228">
        <v>0.84</v>
      </c>
      <c r="DS200" s="228">
        <v>-0.28999999999999998</v>
      </c>
      <c r="DT200" s="229">
        <v>-0.34520000000000001</v>
      </c>
      <c r="DU200" s="231">
        <v>1500</v>
      </c>
      <c r="DV200" s="231">
        <v>1320</v>
      </c>
      <c r="DW200" s="228">
        <v>0.52</v>
      </c>
      <c r="DX200" s="228">
        <v>0.35</v>
      </c>
      <c r="DY200" s="228">
        <v>0.17</v>
      </c>
      <c r="DZ200" s="229">
        <v>0.48570000000000002</v>
      </c>
      <c r="EA200" s="229">
        <v>3.5200000000000002E-2</v>
      </c>
      <c r="EB200" s="230">
        <v>59500</v>
      </c>
      <c r="EC200" s="229">
        <v>1.8E-3</v>
      </c>
      <c r="ED200" s="229">
        <v>3.5200000000000002E-2</v>
      </c>
      <c r="EE200" s="228">
        <v>-2.83</v>
      </c>
      <c r="EF200" s="229">
        <v>-2E-3</v>
      </c>
      <c r="EG200" s="230">
        <v>963512</v>
      </c>
      <c r="EH200" s="230">
        <v>475891</v>
      </c>
      <c r="EI200" s="229">
        <v>1.0246</v>
      </c>
      <c r="EJ200" s="229">
        <v>0.2823</v>
      </c>
      <c r="EK200" s="231">
        <v>2649.1</v>
      </c>
      <c r="EL200" s="231">
        <v>1294.01</v>
      </c>
      <c r="EM200" s="228">
        <v>576.49</v>
      </c>
      <c r="EN200" s="228">
        <v>23.36</v>
      </c>
      <c r="EO200" s="231">
        <v>4519.6000000000004</v>
      </c>
      <c r="EP200" s="231">
        <v>3122.43</v>
      </c>
      <c r="EQ200" s="231">
        <v>1397.17</v>
      </c>
      <c r="ER200" s="229">
        <v>0.44750000000000001</v>
      </c>
      <c r="ES200" s="228">
        <v>554.77</v>
      </c>
      <c r="ET200" s="228">
        <v>271.27</v>
      </c>
      <c r="EU200" s="228">
        <v>672.17</v>
      </c>
      <c r="EV200" s="231">
        <v>24646022</v>
      </c>
      <c r="EW200" s="231">
        <v>1498.21</v>
      </c>
      <c r="EX200" s="231">
        <v>1211.3599999999999</v>
      </c>
      <c r="EY200" s="228">
        <v>286.85000000000002</v>
      </c>
      <c r="EZ200" s="229">
        <v>0.23680000000000001</v>
      </c>
      <c r="FA200" s="229">
        <v>0.42659999999999998</v>
      </c>
      <c r="FB200" s="227" t="s">
        <v>567</v>
      </c>
      <c r="FC200">
        <f t="shared" si="4"/>
        <v>0</v>
      </c>
    </row>
    <row r="201" spans="1:159" ht="17.25" thickBot="1" x14ac:dyDescent="0.3">
      <c r="A201" s="226">
        <v>46064</v>
      </c>
      <c r="B201" s="227" t="s">
        <v>197</v>
      </c>
      <c r="C201" s="227" t="s">
        <v>482</v>
      </c>
      <c r="D201" s="228">
        <v>100</v>
      </c>
      <c r="E201" s="228">
        <v>13</v>
      </c>
      <c r="F201" s="231">
        <v>4224</v>
      </c>
      <c r="G201" s="231">
        <v>4186.3</v>
      </c>
      <c r="H201" s="228">
        <v>37.700000000000003</v>
      </c>
      <c r="I201" s="229">
        <v>8.9999999999999993E-3</v>
      </c>
      <c r="J201" s="231">
        <v>4218.8999999999996</v>
      </c>
      <c r="K201" s="231">
        <v>4184.3999999999996</v>
      </c>
      <c r="L201" s="228">
        <v>34.5</v>
      </c>
      <c r="M201" s="229">
        <v>8.2000000000000007E-3</v>
      </c>
      <c r="N201" s="231">
        <v>4224</v>
      </c>
      <c r="O201" s="231">
        <v>4186.3</v>
      </c>
      <c r="P201" s="228">
        <v>37.700000000000003</v>
      </c>
      <c r="Q201" s="229">
        <v>8.9999999999999993E-3</v>
      </c>
      <c r="R201" s="231">
        <v>4249.3999999999996</v>
      </c>
      <c r="S201" s="231">
        <v>4206.2</v>
      </c>
      <c r="T201" s="228">
        <v>43.2</v>
      </c>
      <c r="U201" s="229">
        <v>1.03E-2</v>
      </c>
      <c r="V201" s="231">
        <v>4276.2</v>
      </c>
      <c r="W201" s="231">
        <v>4234.2</v>
      </c>
      <c r="X201" s="228">
        <v>42</v>
      </c>
      <c r="Y201" s="229">
        <v>9.9000000000000008E-3</v>
      </c>
      <c r="Z201" s="228">
        <v>5.0999999999999996</v>
      </c>
      <c r="AA201" s="228">
        <v>1.9</v>
      </c>
      <c r="AB201" s="228">
        <v>3.2</v>
      </c>
      <c r="AC201" s="229">
        <v>1.1999999999999999E-3</v>
      </c>
      <c r="AD201" s="228">
        <v>5.0999999999999996</v>
      </c>
      <c r="AE201" s="228">
        <v>1.9</v>
      </c>
      <c r="AF201" s="228">
        <v>3.2</v>
      </c>
      <c r="AG201" s="229">
        <v>1.1999999999999999E-3</v>
      </c>
      <c r="AH201" s="228">
        <v>30.5</v>
      </c>
      <c r="AI201" s="228">
        <v>21.8</v>
      </c>
      <c r="AJ201" s="228">
        <v>8.6999999999999993</v>
      </c>
      <c r="AK201" s="229">
        <v>7.1999999999999998E-3</v>
      </c>
      <c r="AL201" s="228">
        <v>57.3</v>
      </c>
      <c r="AM201" s="228">
        <v>49.8</v>
      </c>
      <c r="AN201" s="228">
        <v>7.5</v>
      </c>
      <c r="AO201" s="229">
        <v>1.3599999999999999E-2</v>
      </c>
      <c r="AP201" s="231">
        <v>4192.5</v>
      </c>
      <c r="AQ201" s="231">
        <v>4206.87</v>
      </c>
      <c r="AR201" s="228">
        <v>0</v>
      </c>
      <c r="AS201" s="228">
        <v>322</v>
      </c>
      <c r="AT201" s="228">
        <v>236</v>
      </c>
      <c r="AU201" s="228">
        <v>86</v>
      </c>
      <c r="AV201" s="229">
        <v>0.36299999999999999</v>
      </c>
      <c r="AW201" s="228">
        <v>289</v>
      </c>
      <c r="AX201" s="228">
        <v>218</v>
      </c>
      <c r="AY201" s="228">
        <v>71</v>
      </c>
      <c r="AZ201" s="229">
        <v>0.32500000000000001</v>
      </c>
      <c r="BA201" s="228">
        <v>26</v>
      </c>
      <c r="BB201" s="228">
        <v>15</v>
      </c>
      <c r="BC201" s="228">
        <v>11</v>
      </c>
      <c r="BD201" s="229">
        <v>0.71950000000000003</v>
      </c>
      <c r="BE201" s="228">
        <v>7</v>
      </c>
      <c r="BF201" s="228">
        <v>3</v>
      </c>
      <c r="BG201" s="228">
        <v>4</v>
      </c>
      <c r="BH201" s="229">
        <v>1.3971</v>
      </c>
      <c r="BI201" s="230">
        <v>2076</v>
      </c>
      <c r="BJ201" s="230">
        <v>1246</v>
      </c>
      <c r="BK201" s="228">
        <v>830</v>
      </c>
      <c r="BL201" s="229">
        <v>0.66620000000000001</v>
      </c>
      <c r="BM201" s="230">
        <v>1034</v>
      </c>
      <c r="BN201" s="228">
        <v>735</v>
      </c>
      <c r="BO201" s="228">
        <v>299</v>
      </c>
      <c r="BP201" s="229">
        <v>0.40749999999999997</v>
      </c>
      <c r="BQ201" s="230">
        <v>3432</v>
      </c>
      <c r="BR201" s="230">
        <v>2217</v>
      </c>
      <c r="BS201" s="230">
        <v>1215</v>
      </c>
      <c r="BT201" s="229">
        <v>0.54810000000000003</v>
      </c>
      <c r="BU201" s="230">
        <v>604835</v>
      </c>
      <c r="BV201" s="230">
        <v>682041</v>
      </c>
      <c r="BW201" s="230">
        <v>-77206</v>
      </c>
      <c r="BX201" s="229">
        <v>-0.1132</v>
      </c>
      <c r="BY201" s="230">
        <v>3103</v>
      </c>
      <c r="BZ201" s="230">
        <v>3099</v>
      </c>
      <c r="CA201" s="228">
        <v>4</v>
      </c>
      <c r="CB201" s="229">
        <v>1.2999999999999999E-3</v>
      </c>
      <c r="CC201" s="230">
        <v>2920</v>
      </c>
      <c r="CD201" s="230">
        <v>2916</v>
      </c>
      <c r="CE201" s="228">
        <v>4</v>
      </c>
      <c r="CF201" s="229">
        <v>1.2999999999999999E-3</v>
      </c>
      <c r="CG201" s="228">
        <v>159</v>
      </c>
      <c r="CH201" s="228">
        <v>161</v>
      </c>
      <c r="CI201" s="228">
        <v>-1</v>
      </c>
      <c r="CJ201" s="229">
        <v>-8.6999999999999994E-3</v>
      </c>
      <c r="CK201" s="228">
        <v>24</v>
      </c>
      <c r="CL201" s="228">
        <v>22</v>
      </c>
      <c r="CM201" s="228">
        <v>1</v>
      </c>
      <c r="CN201" s="229">
        <v>6.4199999999999993E-2</v>
      </c>
      <c r="CO201" s="230">
        <v>1731</v>
      </c>
      <c r="CP201" s="230">
        <v>1819</v>
      </c>
      <c r="CQ201" s="228">
        <v>-88</v>
      </c>
      <c r="CR201" s="229">
        <v>-4.82E-2</v>
      </c>
      <c r="CS201" s="230">
        <v>1277</v>
      </c>
      <c r="CT201" s="230">
        <v>1243</v>
      </c>
      <c r="CU201" s="228">
        <v>34</v>
      </c>
      <c r="CV201" s="229">
        <v>2.7400000000000001E-2</v>
      </c>
      <c r="CW201" s="230">
        <v>6111</v>
      </c>
      <c r="CX201" s="230">
        <v>6161</v>
      </c>
      <c r="CY201" s="228">
        <v>-50</v>
      </c>
      <c r="CZ201" s="229">
        <v>-8.0999999999999996E-3</v>
      </c>
      <c r="DA201" s="228">
        <v>30.35</v>
      </c>
      <c r="DB201" s="228">
        <v>30.02</v>
      </c>
      <c r="DC201" s="228">
        <v>0.33</v>
      </c>
      <c r="DD201" s="228">
        <v>0.33</v>
      </c>
      <c r="DE201" s="228">
        <v>42.64</v>
      </c>
      <c r="DF201" s="228">
        <v>42.73</v>
      </c>
      <c r="DG201" s="228">
        <v>-12.29</v>
      </c>
      <c r="DH201" s="228">
        <v>-0.09</v>
      </c>
      <c r="DI201" s="228">
        <v>30.02</v>
      </c>
      <c r="DJ201" s="228">
        <v>29.58</v>
      </c>
      <c r="DK201" s="228">
        <v>0.44</v>
      </c>
      <c r="DL201" s="228">
        <v>0.44</v>
      </c>
      <c r="DM201" s="228">
        <v>31.02</v>
      </c>
      <c r="DN201" s="228">
        <v>30.76</v>
      </c>
      <c r="DO201" s="228">
        <v>0.26</v>
      </c>
      <c r="DP201" s="228">
        <v>0.26</v>
      </c>
      <c r="DQ201" s="228">
        <v>0.74</v>
      </c>
      <c r="DR201" s="228">
        <v>0.68</v>
      </c>
      <c r="DS201" s="228">
        <v>0.06</v>
      </c>
      <c r="DT201" s="229">
        <v>8.8200000000000001E-2</v>
      </c>
      <c r="DU201" s="231">
        <v>4500</v>
      </c>
      <c r="DV201" s="231">
        <v>4000</v>
      </c>
      <c r="DW201" s="228">
        <v>0.5</v>
      </c>
      <c r="DX201" s="228">
        <v>0.59</v>
      </c>
      <c r="DY201" s="228">
        <v>-0.09</v>
      </c>
      <c r="DZ201" s="229">
        <v>-0.1525</v>
      </c>
      <c r="EA201" s="229">
        <v>5.91E-2</v>
      </c>
      <c r="EB201" s="230">
        <v>433700</v>
      </c>
      <c r="EC201" s="229">
        <v>6.0000000000000001E-3</v>
      </c>
      <c r="ED201" s="229">
        <v>5.91E-2</v>
      </c>
      <c r="EE201" s="228">
        <v>14.37</v>
      </c>
      <c r="EF201" s="229">
        <v>3.3999999999999998E-3</v>
      </c>
      <c r="EG201" s="230">
        <v>298698</v>
      </c>
      <c r="EH201" s="230">
        <v>382357</v>
      </c>
      <c r="EI201" s="229">
        <v>-0.21879999999999999</v>
      </c>
      <c r="EJ201" s="229">
        <v>0.49390000000000001</v>
      </c>
      <c r="EK201" s="231">
        <v>2158.87</v>
      </c>
      <c r="EL201" s="228">
        <v>998</v>
      </c>
      <c r="EM201" s="228">
        <v>319.58</v>
      </c>
      <c r="EN201" s="228">
        <v>219.45</v>
      </c>
      <c r="EO201" s="231">
        <v>3476.45</v>
      </c>
      <c r="EP201" s="231">
        <v>2229.08</v>
      </c>
      <c r="EQ201" s="231">
        <v>1247.3699999999999</v>
      </c>
      <c r="ER201" s="229">
        <v>0.55959999999999999</v>
      </c>
      <c r="ES201" s="231">
        <v>1760.87</v>
      </c>
      <c r="ET201" s="231">
        <v>1180.44</v>
      </c>
      <c r="EU201" s="231">
        <v>3104.33</v>
      </c>
      <c r="EV201" s="231">
        <v>33590487</v>
      </c>
      <c r="EW201" s="231">
        <v>6045.64</v>
      </c>
      <c r="EX201" s="231">
        <v>6072.04</v>
      </c>
      <c r="EY201" s="228">
        <v>-26.4</v>
      </c>
      <c r="EZ201" s="229">
        <v>-4.3E-3</v>
      </c>
      <c r="FA201" s="229">
        <v>0.43070000000000003</v>
      </c>
      <c r="FB201" s="227" t="s">
        <v>555</v>
      </c>
      <c r="FC201">
        <f t="shared" si="4"/>
        <v>0</v>
      </c>
    </row>
    <row r="202" spans="1:159" ht="17.25" thickBot="1" x14ac:dyDescent="0.3">
      <c r="A202" s="226">
        <v>46064</v>
      </c>
      <c r="B202" s="227" t="s">
        <v>162</v>
      </c>
      <c r="C202" s="227" t="s">
        <v>300</v>
      </c>
      <c r="D202" s="228">
        <v>175</v>
      </c>
      <c r="E202" s="228">
        <v>13</v>
      </c>
      <c r="F202" s="231">
        <v>3868.5</v>
      </c>
      <c r="G202" s="231">
        <v>3775.2</v>
      </c>
      <c r="H202" s="228">
        <v>93.3</v>
      </c>
      <c r="I202" s="229">
        <v>2.47E-2</v>
      </c>
      <c r="J202" s="231">
        <v>3865.1</v>
      </c>
      <c r="K202" s="231">
        <v>3762.4</v>
      </c>
      <c r="L202" s="228">
        <v>102.7</v>
      </c>
      <c r="M202" s="229">
        <v>2.7300000000000001E-2</v>
      </c>
      <c r="N202" s="231">
        <v>3868.5</v>
      </c>
      <c r="O202" s="231">
        <v>3775.2</v>
      </c>
      <c r="P202" s="228">
        <v>93.3</v>
      </c>
      <c r="Q202" s="229">
        <v>2.47E-2</v>
      </c>
      <c r="R202" s="231">
        <v>3880.3</v>
      </c>
      <c r="S202" s="231">
        <v>3788.1</v>
      </c>
      <c r="T202" s="228">
        <v>92.2</v>
      </c>
      <c r="U202" s="229">
        <v>2.4299999999999999E-2</v>
      </c>
      <c r="V202" s="231">
        <v>3896.9</v>
      </c>
      <c r="W202" s="231">
        <v>3809.2</v>
      </c>
      <c r="X202" s="228">
        <v>87.7</v>
      </c>
      <c r="Y202" s="229">
        <v>2.3E-2</v>
      </c>
      <c r="Z202" s="228">
        <v>3.4</v>
      </c>
      <c r="AA202" s="228">
        <v>12.8</v>
      </c>
      <c r="AB202" s="228">
        <v>-9.4</v>
      </c>
      <c r="AC202" s="229">
        <v>8.9999999999999998E-4</v>
      </c>
      <c r="AD202" s="228">
        <v>3.4</v>
      </c>
      <c r="AE202" s="228">
        <v>12.8</v>
      </c>
      <c r="AF202" s="228">
        <v>-9.4</v>
      </c>
      <c r="AG202" s="229">
        <v>8.9999999999999998E-4</v>
      </c>
      <c r="AH202" s="228">
        <v>15.2</v>
      </c>
      <c r="AI202" s="228">
        <v>25.7</v>
      </c>
      <c r="AJ202" s="228">
        <v>-10.5</v>
      </c>
      <c r="AK202" s="229">
        <v>3.8999999999999998E-3</v>
      </c>
      <c r="AL202" s="228">
        <v>31.8</v>
      </c>
      <c r="AM202" s="228">
        <v>46.8</v>
      </c>
      <c r="AN202" s="228">
        <v>-15</v>
      </c>
      <c r="AO202" s="229">
        <v>8.2000000000000007E-3</v>
      </c>
      <c r="AP202" s="231">
        <v>3859.65</v>
      </c>
      <c r="AQ202" s="231">
        <v>3863.69</v>
      </c>
      <c r="AR202" s="228">
        <v>0</v>
      </c>
      <c r="AS202" s="228">
        <v>490</v>
      </c>
      <c r="AT202" s="228">
        <v>324</v>
      </c>
      <c r="AU202" s="228">
        <v>166</v>
      </c>
      <c r="AV202" s="229">
        <v>0.51270000000000004</v>
      </c>
      <c r="AW202" s="228">
        <v>446</v>
      </c>
      <c r="AX202" s="228">
        <v>269</v>
      </c>
      <c r="AY202" s="228">
        <v>177</v>
      </c>
      <c r="AZ202" s="229">
        <v>0.65690000000000004</v>
      </c>
      <c r="BA202" s="228">
        <v>40</v>
      </c>
      <c r="BB202" s="228">
        <v>54</v>
      </c>
      <c r="BC202" s="228">
        <v>-14</v>
      </c>
      <c r="BD202" s="229">
        <v>-0.26200000000000001</v>
      </c>
      <c r="BE202" s="228">
        <v>4</v>
      </c>
      <c r="BF202" s="228">
        <v>1</v>
      </c>
      <c r="BG202" s="228">
        <v>3</v>
      </c>
      <c r="BH202" s="229">
        <v>3.2667000000000002</v>
      </c>
      <c r="BI202" s="230">
        <v>4883</v>
      </c>
      <c r="BJ202" s="228">
        <v>541</v>
      </c>
      <c r="BK202" s="230">
        <v>4342</v>
      </c>
      <c r="BL202" s="229">
        <v>8.0282</v>
      </c>
      <c r="BM202" s="230">
        <v>1268</v>
      </c>
      <c r="BN202" s="228">
        <v>232</v>
      </c>
      <c r="BO202" s="230">
        <v>1036</v>
      </c>
      <c r="BP202" s="229">
        <v>4.4630000000000001</v>
      </c>
      <c r="BQ202" s="230">
        <v>6641</v>
      </c>
      <c r="BR202" s="230">
        <v>1097</v>
      </c>
      <c r="BS202" s="230">
        <v>5544</v>
      </c>
      <c r="BT202" s="229">
        <v>5.0533999999999999</v>
      </c>
      <c r="BU202" s="230">
        <v>1169460</v>
      </c>
      <c r="BV202" s="230">
        <v>827213</v>
      </c>
      <c r="BW202" s="230">
        <v>342247</v>
      </c>
      <c r="BX202" s="229">
        <v>0.41370000000000001</v>
      </c>
      <c r="BY202" s="230">
        <v>3182</v>
      </c>
      <c r="BZ202" s="230">
        <v>3180</v>
      </c>
      <c r="CA202" s="228">
        <v>2</v>
      </c>
      <c r="CB202" s="229">
        <v>5.9999999999999995E-4</v>
      </c>
      <c r="CC202" s="230">
        <v>3134</v>
      </c>
      <c r="CD202" s="230">
        <v>3135</v>
      </c>
      <c r="CE202" s="228">
        <v>0</v>
      </c>
      <c r="CF202" s="229">
        <v>-2.0000000000000001E-4</v>
      </c>
      <c r="CG202" s="228">
        <v>42</v>
      </c>
      <c r="CH202" s="228">
        <v>40</v>
      </c>
      <c r="CI202" s="228">
        <v>2</v>
      </c>
      <c r="CJ202" s="229">
        <v>5.2200000000000003E-2</v>
      </c>
      <c r="CK202" s="228">
        <v>5</v>
      </c>
      <c r="CL202" s="228">
        <v>5</v>
      </c>
      <c r="CM202" s="228">
        <v>0</v>
      </c>
      <c r="CN202" s="229">
        <v>8.3299999999999999E-2</v>
      </c>
      <c r="CO202" s="228">
        <v>800</v>
      </c>
      <c r="CP202" s="228">
        <v>694</v>
      </c>
      <c r="CQ202" s="228">
        <v>106</v>
      </c>
      <c r="CR202" s="229">
        <v>0.1532</v>
      </c>
      <c r="CS202" s="228">
        <v>542</v>
      </c>
      <c r="CT202" s="228">
        <v>484</v>
      </c>
      <c r="CU202" s="228">
        <v>58</v>
      </c>
      <c r="CV202" s="229">
        <v>0.12039999999999999</v>
      </c>
      <c r="CW202" s="230">
        <v>4525</v>
      </c>
      <c r="CX202" s="230">
        <v>4358</v>
      </c>
      <c r="CY202" s="228">
        <v>167</v>
      </c>
      <c r="CZ202" s="229">
        <v>3.8199999999999998E-2</v>
      </c>
      <c r="DA202" s="228">
        <v>24.8</v>
      </c>
      <c r="DB202" s="228">
        <v>24.26</v>
      </c>
      <c r="DC202" s="228">
        <v>0.54</v>
      </c>
      <c r="DD202" s="228">
        <v>0.54</v>
      </c>
      <c r="DE202" s="228">
        <v>29.5</v>
      </c>
      <c r="DF202" s="228">
        <v>29.35</v>
      </c>
      <c r="DG202" s="228">
        <v>-4.7</v>
      </c>
      <c r="DH202" s="228">
        <v>0.15</v>
      </c>
      <c r="DI202" s="228">
        <v>24.53</v>
      </c>
      <c r="DJ202" s="228">
        <v>23.88</v>
      </c>
      <c r="DK202" s="228">
        <v>0.65</v>
      </c>
      <c r="DL202" s="228">
        <v>0.65</v>
      </c>
      <c r="DM202" s="228">
        <v>25.85</v>
      </c>
      <c r="DN202" s="228">
        <v>25.16</v>
      </c>
      <c r="DO202" s="228">
        <v>0.69</v>
      </c>
      <c r="DP202" s="228">
        <v>0.69</v>
      </c>
      <c r="DQ202" s="228">
        <v>0.68</v>
      </c>
      <c r="DR202" s="228">
        <v>0.7</v>
      </c>
      <c r="DS202" s="228">
        <v>-0.02</v>
      </c>
      <c r="DT202" s="229">
        <v>-2.86E-2</v>
      </c>
      <c r="DU202" s="231">
        <v>4000</v>
      </c>
      <c r="DV202" s="231">
        <v>3700</v>
      </c>
      <c r="DW202" s="228">
        <v>0.26</v>
      </c>
      <c r="DX202" s="228">
        <v>0.43</v>
      </c>
      <c r="DY202" s="228">
        <v>-0.17</v>
      </c>
      <c r="DZ202" s="229">
        <v>-0.39529999999999998</v>
      </c>
      <c r="EA202" s="229">
        <v>1.4999999999999999E-2</v>
      </c>
      <c r="EB202" s="230">
        <v>116550</v>
      </c>
      <c r="EC202" s="229">
        <v>3.0999999999999999E-3</v>
      </c>
      <c r="ED202" s="229">
        <v>1.4999999999999999E-2</v>
      </c>
      <c r="EE202" s="228">
        <v>4.04</v>
      </c>
      <c r="EF202" s="229">
        <v>1E-3</v>
      </c>
      <c r="EG202" s="230">
        <v>561629</v>
      </c>
      <c r="EH202" s="230">
        <v>546226</v>
      </c>
      <c r="EI202" s="229">
        <v>2.8199999999999999E-2</v>
      </c>
      <c r="EJ202" s="229">
        <v>0.48020000000000002</v>
      </c>
      <c r="EK202" s="231">
        <v>5010.32</v>
      </c>
      <c r="EL202" s="231">
        <v>1226.56</v>
      </c>
      <c r="EM202" s="228">
        <v>489.3</v>
      </c>
      <c r="EN202" s="228">
        <v>47.81</v>
      </c>
      <c r="EO202" s="231">
        <v>6726.18</v>
      </c>
      <c r="EP202" s="231">
        <v>1079.67</v>
      </c>
      <c r="EQ202" s="231">
        <v>5646.5</v>
      </c>
      <c r="ER202" s="229">
        <v>5.2298</v>
      </c>
      <c r="ES202" s="228">
        <v>803.13</v>
      </c>
      <c r="ET202" s="228">
        <v>506.22</v>
      </c>
      <c r="EU202" s="231">
        <v>3182.21</v>
      </c>
      <c r="EV202" s="231">
        <v>31634588</v>
      </c>
      <c r="EW202" s="231">
        <v>4491.57</v>
      </c>
      <c r="EX202" s="231">
        <v>4234</v>
      </c>
      <c r="EY202" s="228">
        <v>257.57</v>
      </c>
      <c r="EZ202" s="229">
        <v>6.08E-2</v>
      </c>
      <c r="FA202" s="229">
        <v>0.36969999999999997</v>
      </c>
      <c r="FB202" s="227" t="s">
        <v>555</v>
      </c>
      <c r="FC202">
        <f t="shared" si="4"/>
        <v>0</v>
      </c>
    </row>
    <row r="203" spans="1:159" ht="17.25" thickBot="1" x14ac:dyDescent="0.3">
      <c r="A203" s="226">
        <v>46064</v>
      </c>
      <c r="B203" s="227" t="s">
        <v>157</v>
      </c>
      <c r="C203" s="227" t="s">
        <v>302</v>
      </c>
      <c r="D203" s="228">
        <v>50</v>
      </c>
      <c r="E203" s="228">
        <v>13</v>
      </c>
      <c r="F203" s="231">
        <v>12976</v>
      </c>
      <c r="G203" s="231">
        <v>13029</v>
      </c>
      <c r="H203" s="228">
        <v>-53</v>
      </c>
      <c r="I203" s="229">
        <v>-4.1000000000000003E-3</v>
      </c>
      <c r="J203" s="231">
        <v>12969</v>
      </c>
      <c r="K203" s="231">
        <v>13023</v>
      </c>
      <c r="L203" s="228">
        <v>-54</v>
      </c>
      <c r="M203" s="229">
        <v>-4.1000000000000003E-3</v>
      </c>
      <c r="N203" s="231">
        <v>12976</v>
      </c>
      <c r="O203" s="231">
        <v>13029</v>
      </c>
      <c r="P203" s="228">
        <v>-53</v>
      </c>
      <c r="Q203" s="229">
        <v>-4.1000000000000003E-3</v>
      </c>
      <c r="R203" s="231">
        <v>13066</v>
      </c>
      <c r="S203" s="231">
        <v>13110</v>
      </c>
      <c r="T203" s="228">
        <v>-44</v>
      </c>
      <c r="U203" s="229">
        <v>-3.3999999999999998E-3</v>
      </c>
      <c r="V203" s="231">
        <v>13099</v>
      </c>
      <c r="W203" s="231">
        <v>13176</v>
      </c>
      <c r="X203" s="228">
        <v>-77</v>
      </c>
      <c r="Y203" s="229">
        <v>-5.7999999999999996E-3</v>
      </c>
      <c r="Z203" s="228">
        <v>7</v>
      </c>
      <c r="AA203" s="228">
        <v>6</v>
      </c>
      <c r="AB203" s="228">
        <v>1</v>
      </c>
      <c r="AC203" s="229">
        <v>5.0000000000000001E-4</v>
      </c>
      <c r="AD203" s="228">
        <v>7</v>
      </c>
      <c r="AE203" s="228">
        <v>6</v>
      </c>
      <c r="AF203" s="228">
        <v>1</v>
      </c>
      <c r="AG203" s="229">
        <v>5.0000000000000001E-4</v>
      </c>
      <c r="AH203" s="228">
        <v>97</v>
      </c>
      <c r="AI203" s="228">
        <v>87</v>
      </c>
      <c r="AJ203" s="228">
        <v>10</v>
      </c>
      <c r="AK203" s="229">
        <v>7.4999999999999997E-3</v>
      </c>
      <c r="AL203" s="228">
        <v>130</v>
      </c>
      <c r="AM203" s="228">
        <v>153</v>
      </c>
      <c r="AN203" s="228">
        <v>-23</v>
      </c>
      <c r="AO203" s="229">
        <v>0.01</v>
      </c>
      <c r="AP203" s="231">
        <v>12965.47</v>
      </c>
      <c r="AQ203" s="231">
        <v>13054.23</v>
      </c>
      <c r="AR203" s="228">
        <v>0</v>
      </c>
      <c r="AS203" s="228">
        <v>206</v>
      </c>
      <c r="AT203" s="228">
        <v>243</v>
      </c>
      <c r="AU203" s="228">
        <v>-37</v>
      </c>
      <c r="AV203" s="229">
        <v>-0.154</v>
      </c>
      <c r="AW203" s="228">
        <v>199</v>
      </c>
      <c r="AX203" s="228">
        <v>233</v>
      </c>
      <c r="AY203" s="228">
        <v>-34</v>
      </c>
      <c r="AZ203" s="229">
        <v>-0.14660000000000001</v>
      </c>
      <c r="BA203" s="228">
        <v>6</v>
      </c>
      <c r="BB203" s="228">
        <v>9</v>
      </c>
      <c r="BC203" s="228">
        <v>-3</v>
      </c>
      <c r="BD203" s="229">
        <v>-0.32169999999999999</v>
      </c>
      <c r="BE203" s="228">
        <v>1</v>
      </c>
      <c r="BF203" s="228">
        <v>1</v>
      </c>
      <c r="BG203" s="228">
        <v>0</v>
      </c>
      <c r="BH203" s="229">
        <v>-0.35709999999999997</v>
      </c>
      <c r="BI203" s="230">
        <v>1019</v>
      </c>
      <c r="BJ203" s="230">
        <v>1674</v>
      </c>
      <c r="BK203" s="228">
        <v>-655</v>
      </c>
      <c r="BL203" s="229">
        <v>-0.39140000000000003</v>
      </c>
      <c r="BM203" s="228">
        <v>613</v>
      </c>
      <c r="BN203" s="228">
        <v>956</v>
      </c>
      <c r="BO203" s="228">
        <v>-343</v>
      </c>
      <c r="BP203" s="229">
        <v>-0.35849999999999999</v>
      </c>
      <c r="BQ203" s="230">
        <v>1838</v>
      </c>
      <c r="BR203" s="230">
        <v>2873</v>
      </c>
      <c r="BS203" s="230">
        <v>-1035</v>
      </c>
      <c r="BT203" s="229">
        <v>-0.3604</v>
      </c>
      <c r="BU203" s="230">
        <v>98820</v>
      </c>
      <c r="BV203" s="230">
        <v>178471</v>
      </c>
      <c r="BW203" s="230">
        <v>-79651</v>
      </c>
      <c r="BX203" s="229">
        <v>-0.44629999999999997</v>
      </c>
      <c r="BY203" s="230">
        <v>3064</v>
      </c>
      <c r="BZ203" s="230">
        <v>3107</v>
      </c>
      <c r="CA203" s="228">
        <v>-44</v>
      </c>
      <c r="CB203" s="229">
        <v>-1.4E-2</v>
      </c>
      <c r="CC203" s="230">
        <v>2829</v>
      </c>
      <c r="CD203" s="230">
        <v>2874</v>
      </c>
      <c r="CE203" s="228">
        <v>-45</v>
      </c>
      <c r="CF203" s="229">
        <v>-1.5800000000000002E-2</v>
      </c>
      <c r="CG203" s="228">
        <v>229</v>
      </c>
      <c r="CH203" s="228">
        <v>227</v>
      </c>
      <c r="CI203" s="228">
        <v>2</v>
      </c>
      <c r="CJ203" s="229">
        <v>8.3000000000000001E-3</v>
      </c>
      <c r="CK203" s="228">
        <v>6</v>
      </c>
      <c r="CL203" s="228">
        <v>6</v>
      </c>
      <c r="CM203" s="228">
        <v>0</v>
      </c>
      <c r="CN203" s="229">
        <v>0</v>
      </c>
      <c r="CO203" s="228">
        <v>993</v>
      </c>
      <c r="CP203" s="228">
        <v>953</v>
      </c>
      <c r="CQ203" s="228">
        <v>40</v>
      </c>
      <c r="CR203" s="229">
        <v>4.2200000000000001E-2</v>
      </c>
      <c r="CS203" s="228">
        <v>660</v>
      </c>
      <c r="CT203" s="228">
        <v>678</v>
      </c>
      <c r="CU203" s="228">
        <v>-18</v>
      </c>
      <c r="CV203" s="229">
        <v>-2.7099999999999999E-2</v>
      </c>
      <c r="CW203" s="230">
        <v>4717</v>
      </c>
      <c r="CX203" s="230">
        <v>4738</v>
      </c>
      <c r="CY203" s="228">
        <v>-22</v>
      </c>
      <c r="CZ203" s="229">
        <v>-4.5999999999999999E-3</v>
      </c>
      <c r="DA203" s="228">
        <v>19.82</v>
      </c>
      <c r="DB203" s="228">
        <v>20.440000000000001</v>
      </c>
      <c r="DC203" s="228">
        <v>-0.62</v>
      </c>
      <c r="DD203" s="228">
        <v>-0.62</v>
      </c>
      <c r="DE203" s="228">
        <v>23.88</v>
      </c>
      <c r="DF203" s="228">
        <v>23.93</v>
      </c>
      <c r="DG203" s="228">
        <v>-4.0599999999999996</v>
      </c>
      <c r="DH203" s="228">
        <v>-0.05</v>
      </c>
      <c r="DI203" s="228">
        <v>18.75</v>
      </c>
      <c r="DJ203" s="228">
        <v>19.399999999999999</v>
      </c>
      <c r="DK203" s="228">
        <v>-0.65</v>
      </c>
      <c r="DL203" s="228">
        <v>-0.65</v>
      </c>
      <c r="DM203" s="228">
        <v>21.6</v>
      </c>
      <c r="DN203" s="228">
        <v>22.27</v>
      </c>
      <c r="DO203" s="228">
        <v>-0.67</v>
      </c>
      <c r="DP203" s="228">
        <v>-0.67</v>
      </c>
      <c r="DQ203" s="228">
        <v>0.66</v>
      </c>
      <c r="DR203" s="228">
        <v>0.71</v>
      </c>
      <c r="DS203" s="228">
        <v>-0.05</v>
      </c>
      <c r="DT203" s="229">
        <v>-7.0400000000000004E-2</v>
      </c>
      <c r="DU203" s="231">
        <v>13000</v>
      </c>
      <c r="DV203" s="231">
        <v>12000</v>
      </c>
      <c r="DW203" s="228">
        <v>0.6</v>
      </c>
      <c r="DX203" s="228">
        <v>0.56999999999999995</v>
      </c>
      <c r="DY203" s="228">
        <v>0.03</v>
      </c>
      <c r="DZ203" s="229">
        <v>5.2600000000000001E-2</v>
      </c>
      <c r="EA203" s="229">
        <v>7.6799999999999993E-2</v>
      </c>
      <c r="EB203" s="230">
        <v>179800</v>
      </c>
      <c r="EC203" s="229">
        <v>6.8999999999999999E-3</v>
      </c>
      <c r="ED203" s="229">
        <v>7.6799999999999993E-2</v>
      </c>
      <c r="EE203" s="228">
        <v>88.76</v>
      </c>
      <c r="EF203" s="229">
        <v>6.7999999999999996E-3</v>
      </c>
      <c r="EG203" s="230">
        <v>50800</v>
      </c>
      <c r="EH203" s="230">
        <v>102558</v>
      </c>
      <c r="EI203" s="229">
        <v>-0.50470000000000004</v>
      </c>
      <c r="EJ203" s="229">
        <v>0.5141</v>
      </c>
      <c r="EK203" s="231">
        <v>1049.26</v>
      </c>
      <c r="EL203" s="228">
        <v>596.87</v>
      </c>
      <c r="EM203" s="228">
        <v>205.49</v>
      </c>
      <c r="EN203" s="228">
        <v>39.56</v>
      </c>
      <c r="EO203" s="231">
        <v>1851.62</v>
      </c>
      <c r="EP203" s="231">
        <v>2912.43</v>
      </c>
      <c r="EQ203" s="231">
        <v>-1060.81</v>
      </c>
      <c r="ER203" s="229">
        <v>-0.36420000000000002</v>
      </c>
      <c r="ES203" s="231">
        <v>1017.58</v>
      </c>
      <c r="ET203" s="228">
        <v>618.95000000000005</v>
      </c>
      <c r="EU203" s="231">
        <v>3065.41</v>
      </c>
      <c r="EV203" s="231">
        <v>11955674</v>
      </c>
      <c r="EW203" s="231">
        <v>4701.9399999999996</v>
      </c>
      <c r="EX203" s="231">
        <v>4734.55</v>
      </c>
      <c r="EY203" s="228">
        <v>-32.61</v>
      </c>
      <c r="EZ203" s="229">
        <v>-6.8999999999999999E-3</v>
      </c>
      <c r="FA203" s="229">
        <v>0.30399999999999999</v>
      </c>
      <c r="FB203" s="227" t="s">
        <v>568</v>
      </c>
      <c r="FC203">
        <f t="shared" si="4"/>
        <v>0</v>
      </c>
    </row>
    <row r="204" spans="1:159" ht="17.25" thickBot="1" x14ac:dyDescent="0.3">
      <c r="A204" s="226">
        <v>46064</v>
      </c>
      <c r="B204" s="227" t="s">
        <v>172</v>
      </c>
      <c r="C204" s="227" t="s">
        <v>593</v>
      </c>
      <c r="D204" s="228">
        <v>4425</v>
      </c>
      <c r="E204" s="228">
        <v>13</v>
      </c>
      <c r="F204" s="228">
        <v>180.43</v>
      </c>
      <c r="G204" s="228">
        <v>179.41</v>
      </c>
      <c r="H204" s="228">
        <v>1.02</v>
      </c>
      <c r="I204" s="229">
        <v>5.7000000000000002E-3</v>
      </c>
      <c r="J204" s="228">
        <v>180.33</v>
      </c>
      <c r="K204" s="228">
        <v>179.26</v>
      </c>
      <c r="L204" s="228">
        <v>1.07</v>
      </c>
      <c r="M204" s="229">
        <v>6.0000000000000001E-3</v>
      </c>
      <c r="N204" s="228">
        <v>180.43</v>
      </c>
      <c r="O204" s="228">
        <v>179.41</v>
      </c>
      <c r="P204" s="228">
        <v>1.02</v>
      </c>
      <c r="Q204" s="229">
        <v>5.7000000000000002E-3</v>
      </c>
      <c r="R204" s="228">
        <v>181.57</v>
      </c>
      <c r="S204" s="228">
        <v>180.55</v>
      </c>
      <c r="T204" s="228">
        <v>1.02</v>
      </c>
      <c r="U204" s="229">
        <v>5.5999999999999999E-3</v>
      </c>
      <c r="V204" s="228">
        <v>182.63</v>
      </c>
      <c r="W204" s="228">
        <v>181.5</v>
      </c>
      <c r="X204" s="228">
        <v>1.1299999999999999</v>
      </c>
      <c r="Y204" s="229">
        <v>6.1999999999999998E-3</v>
      </c>
      <c r="Z204" s="228">
        <v>0.1</v>
      </c>
      <c r="AA204" s="228">
        <v>0.15</v>
      </c>
      <c r="AB204" s="228">
        <v>-0.05</v>
      </c>
      <c r="AC204" s="229">
        <v>5.9999999999999995E-4</v>
      </c>
      <c r="AD204" s="228">
        <v>0.1</v>
      </c>
      <c r="AE204" s="228">
        <v>0.15</v>
      </c>
      <c r="AF204" s="228">
        <v>-0.05</v>
      </c>
      <c r="AG204" s="229">
        <v>5.9999999999999995E-4</v>
      </c>
      <c r="AH204" s="228">
        <v>1.24</v>
      </c>
      <c r="AI204" s="228">
        <v>1.29</v>
      </c>
      <c r="AJ204" s="228">
        <v>-0.05</v>
      </c>
      <c r="AK204" s="229">
        <v>6.8999999999999999E-3</v>
      </c>
      <c r="AL204" s="228">
        <v>2.2999999999999998</v>
      </c>
      <c r="AM204" s="228">
        <v>2.2400000000000002</v>
      </c>
      <c r="AN204" s="228">
        <v>0.06</v>
      </c>
      <c r="AO204" s="229">
        <v>1.2800000000000001E-2</v>
      </c>
      <c r="AP204" s="228">
        <v>179.01</v>
      </c>
      <c r="AQ204" s="228">
        <v>179.61</v>
      </c>
      <c r="AR204" s="228">
        <v>0</v>
      </c>
      <c r="AS204" s="228">
        <v>285</v>
      </c>
      <c r="AT204" s="228">
        <v>198</v>
      </c>
      <c r="AU204" s="228">
        <v>87</v>
      </c>
      <c r="AV204" s="229">
        <v>0.4375</v>
      </c>
      <c r="AW204" s="228">
        <v>250</v>
      </c>
      <c r="AX204" s="228">
        <v>179</v>
      </c>
      <c r="AY204" s="228">
        <v>70</v>
      </c>
      <c r="AZ204" s="229">
        <v>0.39150000000000001</v>
      </c>
      <c r="BA204" s="228">
        <v>33</v>
      </c>
      <c r="BB204" s="228">
        <v>16</v>
      </c>
      <c r="BC204" s="228">
        <v>16</v>
      </c>
      <c r="BD204" s="229">
        <v>1.0147999999999999</v>
      </c>
      <c r="BE204" s="228">
        <v>2</v>
      </c>
      <c r="BF204" s="228">
        <v>2</v>
      </c>
      <c r="BG204" s="228">
        <v>0</v>
      </c>
      <c r="BH204" s="229">
        <v>-3.4500000000000003E-2</v>
      </c>
      <c r="BI204" s="230">
        <v>1161</v>
      </c>
      <c r="BJ204" s="228">
        <v>550</v>
      </c>
      <c r="BK204" s="228">
        <v>611</v>
      </c>
      <c r="BL204" s="229">
        <v>1.1106</v>
      </c>
      <c r="BM204" s="228">
        <v>323</v>
      </c>
      <c r="BN204" s="228">
        <v>191</v>
      </c>
      <c r="BO204" s="228">
        <v>132</v>
      </c>
      <c r="BP204" s="229">
        <v>0.6946</v>
      </c>
      <c r="BQ204" s="230">
        <v>1768</v>
      </c>
      <c r="BR204" s="228">
        <v>939</v>
      </c>
      <c r="BS204" s="228">
        <v>830</v>
      </c>
      <c r="BT204" s="229">
        <v>0.8841</v>
      </c>
      <c r="BU204" s="230">
        <v>10670886</v>
      </c>
      <c r="BV204" s="230">
        <v>8631254</v>
      </c>
      <c r="BW204" s="230">
        <v>2039632</v>
      </c>
      <c r="BX204" s="229">
        <v>0.23630000000000001</v>
      </c>
      <c r="BY204" s="230">
        <v>1116</v>
      </c>
      <c r="BZ204" s="230">
        <v>1121</v>
      </c>
      <c r="CA204" s="228">
        <v>-6</v>
      </c>
      <c r="CB204" s="229">
        <v>-4.8999999999999998E-3</v>
      </c>
      <c r="CC204" s="230">
        <v>1050</v>
      </c>
      <c r="CD204" s="230">
        <v>1062</v>
      </c>
      <c r="CE204" s="228">
        <v>-11</v>
      </c>
      <c r="CF204" s="229">
        <v>-1.0699999999999999E-2</v>
      </c>
      <c r="CG204" s="228">
        <v>56</v>
      </c>
      <c r="CH204" s="228">
        <v>51</v>
      </c>
      <c r="CI204" s="228">
        <v>5</v>
      </c>
      <c r="CJ204" s="229">
        <v>9.4600000000000004E-2</v>
      </c>
      <c r="CK204" s="228">
        <v>9</v>
      </c>
      <c r="CL204" s="228">
        <v>8</v>
      </c>
      <c r="CM204" s="228">
        <v>1</v>
      </c>
      <c r="CN204" s="229">
        <v>0.11650000000000001</v>
      </c>
      <c r="CO204" s="228">
        <v>795</v>
      </c>
      <c r="CP204" s="228">
        <v>844</v>
      </c>
      <c r="CQ204" s="228">
        <v>-48</v>
      </c>
      <c r="CR204" s="229">
        <v>-5.7299999999999997E-2</v>
      </c>
      <c r="CS204" s="228">
        <v>510</v>
      </c>
      <c r="CT204" s="228">
        <v>489</v>
      </c>
      <c r="CU204" s="228">
        <v>20</v>
      </c>
      <c r="CV204" s="229">
        <v>4.1599999999999998E-2</v>
      </c>
      <c r="CW204" s="230">
        <v>2421</v>
      </c>
      <c r="CX204" s="230">
        <v>2454</v>
      </c>
      <c r="CY204" s="228">
        <v>-34</v>
      </c>
      <c r="CZ204" s="229">
        <v>-1.37E-2</v>
      </c>
      <c r="DA204" s="228">
        <v>33.76</v>
      </c>
      <c r="DB204" s="228">
        <v>34.56</v>
      </c>
      <c r="DC204" s="228">
        <v>-0.8</v>
      </c>
      <c r="DD204" s="228">
        <v>-0.8</v>
      </c>
      <c r="DE204" s="228">
        <v>40.909999999999997</v>
      </c>
      <c r="DF204" s="228">
        <v>41.01</v>
      </c>
      <c r="DG204" s="228">
        <v>-7.15</v>
      </c>
      <c r="DH204" s="228">
        <v>-0.1</v>
      </c>
      <c r="DI204" s="228">
        <v>33.700000000000003</v>
      </c>
      <c r="DJ204" s="228">
        <v>34.700000000000003</v>
      </c>
      <c r="DK204" s="228">
        <v>-1</v>
      </c>
      <c r="DL204" s="228">
        <v>-1</v>
      </c>
      <c r="DM204" s="228">
        <v>33.950000000000003</v>
      </c>
      <c r="DN204" s="228">
        <v>34.18</v>
      </c>
      <c r="DO204" s="228">
        <v>-0.23</v>
      </c>
      <c r="DP204" s="228">
        <v>-0.23</v>
      </c>
      <c r="DQ204" s="228">
        <v>0.64</v>
      </c>
      <c r="DR204" s="228">
        <v>0.57999999999999996</v>
      </c>
      <c r="DS204" s="228">
        <v>0.06</v>
      </c>
      <c r="DT204" s="229">
        <v>0.10340000000000001</v>
      </c>
      <c r="DU204" s="228">
        <v>180</v>
      </c>
      <c r="DV204" s="228">
        <v>175</v>
      </c>
      <c r="DW204" s="228">
        <v>0.28000000000000003</v>
      </c>
      <c r="DX204" s="228">
        <v>0.35</v>
      </c>
      <c r="DY204" s="228">
        <v>-7.0000000000000007E-2</v>
      </c>
      <c r="DZ204" s="229">
        <v>-0.2</v>
      </c>
      <c r="EA204" s="229">
        <v>5.8700000000000002E-2</v>
      </c>
      <c r="EB204" s="230">
        <v>3309900</v>
      </c>
      <c r="EC204" s="229">
        <v>6.3E-3</v>
      </c>
      <c r="ED204" s="229">
        <v>5.8700000000000002E-2</v>
      </c>
      <c r="EE204" s="228">
        <v>0.6</v>
      </c>
      <c r="EF204" s="229">
        <v>3.3999999999999998E-3</v>
      </c>
      <c r="EG204" s="230">
        <v>4728139</v>
      </c>
      <c r="EH204" s="230">
        <v>4237177</v>
      </c>
      <c r="EI204" s="229">
        <v>0.1159</v>
      </c>
      <c r="EJ204" s="229">
        <v>0.44309999999999999</v>
      </c>
      <c r="EK204" s="231">
        <v>1212.8</v>
      </c>
      <c r="EL204" s="228">
        <v>313.02</v>
      </c>
      <c r="EM204" s="228">
        <v>282.54000000000002</v>
      </c>
      <c r="EN204" s="228">
        <v>36.770000000000003</v>
      </c>
      <c r="EO204" s="231">
        <v>1808.36</v>
      </c>
      <c r="EP204" s="228">
        <v>957.48</v>
      </c>
      <c r="EQ204" s="228">
        <v>850.87</v>
      </c>
      <c r="ER204" s="229">
        <v>0.88870000000000005</v>
      </c>
      <c r="ES204" s="228">
        <v>821.33</v>
      </c>
      <c r="ET204" s="228">
        <v>483.76</v>
      </c>
      <c r="EU204" s="231">
        <v>1116.24</v>
      </c>
      <c r="EV204" s="231">
        <v>289041713</v>
      </c>
      <c r="EW204" s="231">
        <v>2421.3200000000002</v>
      </c>
      <c r="EX204" s="231">
        <v>2451.3200000000002</v>
      </c>
      <c r="EY204" s="228">
        <v>-30</v>
      </c>
      <c r="EZ204" s="229">
        <v>-1.2200000000000001E-2</v>
      </c>
      <c r="FA204" s="229">
        <v>0.4642</v>
      </c>
      <c r="FB204" s="227" t="s">
        <v>556</v>
      </c>
      <c r="FC204">
        <f t="shared" si="4"/>
        <v>0</v>
      </c>
    </row>
    <row r="205" spans="1:159" ht="17.25" thickBot="1" x14ac:dyDescent="0.3">
      <c r="A205" s="226">
        <v>46064</v>
      </c>
      <c r="B205" s="227" t="s">
        <v>168</v>
      </c>
      <c r="C205" s="227" t="s">
        <v>569</v>
      </c>
      <c r="D205" s="228">
        <v>400</v>
      </c>
      <c r="E205" s="228">
        <v>13</v>
      </c>
      <c r="F205" s="231">
        <v>1413.6</v>
      </c>
      <c r="G205" s="231">
        <v>1412.7</v>
      </c>
      <c r="H205" s="228">
        <v>0.9</v>
      </c>
      <c r="I205" s="229">
        <v>5.9999999999999995E-4</v>
      </c>
      <c r="J205" s="231">
        <v>1412.9</v>
      </c>
      <c r="K205" s="231">
        <v>1409.9</v>
      </c>
      <c r="L205" s="228">
        <v>3</v>
      </c>
      <c r="M205" s="229">
        <v>2.0999999999999999E-3</v>
      </c>
      <c r="N205" s="231">
        <v>1413.6</v>
      </c>
      <c r="O205" s="231">
        <v>1412.7</v>
      </c>
      <c r="P205" s="228">
        <v>0.9</v>
      </c>
      <c r="Q205" s="229">
        <v>5.9999999999999995E-4</v>
      </c>
      <c r="R205" s="231">
        <v>1421.8</v>
      </c>
      <c r="S205" s="231">
        <v>1421.5</v>
      </c>
      <c r="T205" s="228">
        <v>0.3</v>
      </c>
      <c r="U205" s="229">
        <v>2.0000000000000001E-4</v>
      </c>
      <c r="V205" s="231">
        <v>1426.7</v>
      </c>
      <c r="W205" s="231">
        <v>1428.6</v>
      </c>
      <c r="X205" s="228">
        <v>-1.9</v>
      </c>
      <c r="Y205" s="229">
        <v>-1.2999999999999999E-3</v>
      </c>
      <c r="Z205" s="228">
        <v>0.7</v>
      </c>
      <c r="AA205" s="228">
        <v>2.8</v>
      </c>
      <c r="AB205" s="228">
        <v>-2.1</v>
      </c>
      <c r="AC205" s="229">
        <v>5.0000000000000001E-4</v>
      </c>
      <c r="AD205" s="228">
        <v>0.7</v>
      </c>
      <c r="AE205" s="228">
        <v>2.8</v>
      </c>
      <c r="AF205" s="228">
        <v>-2.1</v>
      </c>
      <c r="AG205" s="229">
        <v>5.0000000000000001E-4</v>
      </c>
      <c r="AH205" s="228">
        <v>8.9</v>
      </c>
      <c r="AI205" s="228">
        <v>11.6</v>
      </c>
      <c r="AJ205" s="228">
        <v>-2.7</v>
      </c>
      <c r="AK205" s="229">
        <v>6.3E-3</v>
      </c>
      <c r="AL205" s="228">
        <v>13.8</v>
      </c>
      <c r="AM205" s="228">
        <v>18.7</v>
      </c>
      <c r="AN205" s="228">
        <v>-4.9000000000000004</v>
      </c>
      <c r="AO205" s="229">
        <v>9.7999999999999997E-3</v>
      </c>
      <c r="AP205" s="231">
        <v>1411.21</v>
      </c>
      <c r="AQ205" s="231">
        <v>1420.68</v>
      </c>
      <c r="AR205" s="228">
        <v>0</v>
      </c>
      <c r="AS205" s="228">
        <v>78</v>
      </c>
      <c r="AT205" s="228">
        <v>72</v>
      </c>
      <c r="AU205" s="228">
        <v>6</v>
      </c>
      <c r="AV205" s="229">
        <v>7.6600000000000001E-2</v>
      </c>
      <c r="AW205" s="228">
        <v>70</v>
      </c>
      <c r="AX205" s="228">
        <v>69</v>
      </c>
      <c r="AY205" s="228">
        <v>1</v>
      </c>
      <c r="AZ205" s="229">
        <v>1.6500000000000001E-2</v>
      </c>
      <c r="BA205" s="228">
        <v>7</v>
      </c>
      <c r="BB205" s="228">
        <v>3</v>
      </c>
      <c r="BC205" s="228">
        <v>3</v>
      </c>
      <c r="BD205" s="229">
        <v>1.0166999999999999</v>
      </c>
      <c r="BE205" s="228">
        <v>1</v>
      </c>
      <c r="BF205" s="228">
        <v>0</v>
      </c>
      <c r="BG205" s="228">
        <v>1</v>
      </c>
      <c r="BH205" s="229">
        <v>4.25</v>
      </c>
      <c r="BI205" s="228">
        <v>184</v>
      </c>
      <c r="BJ205" s="228">
        <v>224</v>
      </c>
      <c r="BK205" s="228">
        <v>-41</v>
      </c>
      <c r="BL205" s="229">
        <v>-0.18129999999999999</v>
      </c>
      <c r="BM205" s="228">
        <v>107</v>
      </c>
      <c r="BN205" s="228">
        <v>94</v>
      </c>
      <c r="BO205" s="228">
        <v>13</v>
      </c>
      <c r="BP205" s="229">
        <v>0.1394</v>
      </c>
      <c r="BQ205" s="228">
        <v>368</v>
      </c>
      <c r="BR205" s="228">
        <v>390</v>
      </c>
      <c r="BS205" s="228">
        <v>-22</v>
      </c>
      <c r="BT205" s="229">
        <v>-5.6500000000000002E-2</v>
      </c>
      <c r="BU205" s="230">
        <v>403278</v>
      </c>
      <c r="BV205" s="230">
        <v>320405</v>
      </c>
      <c r="BW205" s="230">
        <v>82873</v>
      </c>
      <c r="BX205" s="229">
        <v>0.25869999999999999</v>
      </c>
      <c r="BY205" s="230">
        <v>1447</v>
      </c>
      <c r="BZ205" s="230">
        <v>1445</v>
      </c>
      <c r="CA205" s="228">
        <v>2</v>
      </c>
      <c r="CB205" s="229">
        <v>1.1999999999999999E-3</v>
      </c>
      <c r="CC205" s="230">
        <v>1420</v>
      </c>
      <c r="CD205" s="230">
        <v>1420</v>
      </c>
      <c r="CE205" s="228">
        <v>0</v>
      </c>
      <c r="CF205" s="229">
        <v>-1E-4</v>
      </c>
      <c r="CG205" s="228">
        <v>24</v>
      </c>
      <c r="CH205" s="228">
        <v>23</v>
      </c>
      <c r="CI205" s="228">
        <v>1</v>
      </c>
      <c r="CJ205" s="229">
        <v>4.6800000000000001E-2</v>
      </c>
      <c r="CK205" s="228">
        <v>2</v>
      </c>
      <c r="CL205" s="228">
        <v>2</v>
      </c>
      <c r="CM205" s="228">
        <v>1</v>
      </c>
      <c r="CN205" s="229">
        <v>0.5</v>
      </c>
      <c r="CO205" s="228">
        <v>380</v>
      </c>
      <c r="CP205" s="228">
        <v>380</v>
      </c>
      <c r="CQ205" s="228">
        <v>0</v>
      </c>
      <c r="CR205" s="229">
        <v>-5.9999999999999995E-4</v>
      </c>
      <c r="CS205" s="228">
        <v>356</v>
      </c>
      <c r="CT205" s="228">
        <v>355</v>
      </c>
      <c r="CU205" s="228">
        <v>1</v>
      </c>
      <c r="CV205" s="229">
        <v>3.3E-3</v>
      </c>
      <c r="CW205" s="230">
        <v>2183</v>
      </c>
      <c r="CX205" s="230">
        <v>2180</v>
      </c>
      <c r="CY205" s="228">
        <v>3</v>
      </c>
      <c r="CZ205" s="229">
        <v>1.1999999999999999E-3</v>
      </c>
      <c r="DA205" s="228">
        <v>22.6</v>
      </c>
      <c r="DB205" s="228">
        <v>23.32</v>
      </c>
      <c r="DC205" s="228">
        <v>-0.72</v>
      </c>
      <c r="DD205" s="228">
        <v>-0.72</v>
      </c>
      <c r="DE205" s="228">
        <v>26.61</v>
      </c>
      <c r="DF205" s="228">
        <v>26.67</v>
      </c>
      <c r="DG205" s="228">
        <v>-4.01</v>
      </c>
      <c r="DH205" s="228">
        <v>-0.06</v>
      </c>
      <c r="DI205" s="228">
        <v>21.98</v>
      </c>
      <c r="DJ205" s="228">
        <v>22.9</v>
      </c>
      <c r="DK205" s="228">
        <v>-0.92</v>
      </c>
      <c r="DL205" s="228">
        <v>-0.92</v>
      </c>
      <c r="DM205" s="228">
        <v>23.66</v>
      </c>
      <c r="DN205" s="228">
        <v>24.32</v>
      </c>
      <c r="DO205" s="228">
        <v>-0.66</v>
      </c>
      <c r="DP205" s="228">
        <v>-0.66</v>
      </c>
      <c r="DQ205" s="228">
        <v>0.94</v>
      </c>
      <c r="DR205" s="228">
        <v>0.93</v>
      </c>
      <c r="DS205" s="228">
        <v>0.01</v>
      </c>
      <c r="DT205" s="229">
        <v>1.0800000000000001E-2</v>
      </c>
      <c r="DU205" s="231">
        <v>1400</v>
      </c>
      <c r="DV205" s="231">
        <v>1400</v>
      </c>
      <c r="DW205" s="228">
        <v>0.57999999999999996</v>
      </c>
      <c r="DX205" s="228">
        <v>0.42</v>
      </c>
      <c r="DY205" s="228">
        <v>0.16</v>
      </c>
      <c r="DZ205" s="229">
        <v>0.38100000000000001</v>
      </c>
      <c r="EA205" s="229">
        <v>1.83E-2</v>
      </c>
      <c r="EB205" s="230">
        <v>173600</v>
      </c>
      <c r="EC205" s="229">
        <v>5.7999999999999996E-3</v>
      </c>
      <c r="ED205" s="229">
        <v>1.83E-2</v>
      </c>
      <c r="EE205" s="228">
        <v>9.4700000000000006</v>
      </c>
      <c r="EF205" s="229">
        <v>6.7000000000000002E-3</v>
      </c>
      <c r="EG205" s="230">
        <v>240604</v>
      </c>
      <c r="EH205" s="230">
        <v>178827</v>
      </c>
      <c r="EI205" s="229">
        <v>0.34549999999999997</v>
      </c>
      <c r="EJ205" s="229">
        <v>0.59660000000000002</v>
      </c>
      <c r="EK205" s="228">
        <v>188.91</v>
      </c>
      <c r="EL205" s="228">
        <v>104.21</v>
      </c>
      <c r="EM205" s="228">
        <v>77.790000000000006</v>
      </c>
      <c r="EN205" s="228">
        <v>17.89</v>
      </c>
      <c r="EO205" s="228">
        <v>370.91</v>
      </c>
      <c r="EP205" s="228">
        <v>394.42</v>
      </c>
      <c r="EQ205" s="228">
        <v>-23.51</v>
      </c>
      <c r="ER205" s="229">
        <v>-5.96E-2</v>
      </c>
      <c r="ES205" s="228">
        <v>381.98</v>
      </c>
      <c r="ET205" s="228">
        <v>337.57</v>
      </c>
      <c r="EU205" s="231">
        <v>1446.67</v>
      </c>
      <c r="EV205" s="231">
        <v>37091426</v>
      </c>
      <c r="EW205" s="231">
        <v>2166.2199999999998</v>
      </c>
      <c r="EX205" s="231">
        <v>2161.9499999999998</v>
      </c>
      <c r="EY205" s="228">
        <v>4.2699999999999996</v>
      </c>
      <c r="EZ205" s="229">
        <v>2E-3</v>
      </c>
      <c r="FA205" s="229">
        <v>0.4163</v>
      </c>
      <c r="FB205" s="227" t="s">
        <v>555</v>
      </c>
      <c r="FC205">
        <f t="shared" si="4"/>
        <v>0</v>
      </c>
    </row>
    <row r="206" spans="1:159" ht="17.25" thickBot="1" x14ac:dyDescent="0.3">
      <c r="A206" s="226">
        <v>46064</v>
      </c>
      <c r="B206" s="227" t="s">
        <v>162</v>
      </c>
      <c r="C206" s="227" t="s">
        <v>673</v>
      </c>
      <c r="D206" s="228">
        <v>550</v>
      </c>
      <c r="E206" s="228">
        <v>13</v>
      </c>
      <c r="F206" s="231">
        <v>1249.9000000000001</v>
      </c>
      <c r="G206" s="231">
        <v>1234.3</v>
      </c>
      <c r="H206" s="228">
        <v>15.6</v>
      </c>
      <c r="I206" s="229">
        <v>1.26E-2</v>
      </c>
      <c r="J206" s="231">
        <v>1245.8</v>
      </c>
      <c r="K206" s="231">
        <v>1231.2</v>
      </c>
      <c r="L206" s="228">
        <v>14.6</v>
      </c>
      <c r="M206" s="229">
        <v>1.1900000000000001E-2</v>
      </c>
      <c r="N206" s="231">
        <v>1249.9000000000001</v>
      </c>
      <c r="O206" s="231">
        <v>1234.3</v>
      </c>
      <c r="P206" s="228">
        <v>15.6</v>
      </c>
      <c r="Q206" s="229">
        <v>1.26E-2</v>
      </c>
      <c r="R206" s="231">
        <v>1253.0999999999999</v>
      </c>
      <c r="S206" s="231">
        <v>1240</v>
      </c>
      <c r="T206" s="228">
        <v>13.1</v>
      </c>
      <c r="U206" s="229">
        <v>1.06E-2</v>
      </c>
      <c r="V206" s="231">
        <v>1255.7</v>
      </c>
      <c r="W206" s="231">
        <v>1244</v>
      </c>
      <c r="X206" s="228">
        <v>11.7</v>
      </c>
      <c r="Y206" s="229">
        <v>9.4000000000000004E-3</v>
      </c>
      <c r="Z206" s="228">
        <v>4.0999999999999996</v>
      </c>
      <c r="AA206" s="228">
        <v>3.1</v>
      </c>
      <c r="AB206" s="228">
        <v>1</v>
      </c>
      <c r="AC206" s="229">
        <v>3.3E-3</v>
      </c>
      <c r="AD206" s="228">
        <v>4.0999999999999996</v>
      </c>
      <c r="AE206" s="228">
        <v>3.1</v>
      </c>
      <c r="AF206" s="228">
        <v>1</v>
      </c>
      <c r="AG206" s="229">
        <v>3.3E-3</v>
      </c>
      <c r="AH206" s="228">
        <v>7.3</v>
      </c>
      <c r="AI206" s="228">
        <v>8.8000000000000007</v>
      </c>
      <c r="AJ206" s="228">
        <v>-1.5</v>
      </c>
      <c r="AK206" s="229">
        <v>5.8999999999999999E-3</v>
      </c>
      <c r="AL206" s="228">
        <v>9.9</v>
      </c>
      <c r="AM206" s="228">
        <v>12.8</v>
      </c>
      <c r="AN206" s="228">
        <v>-2.9</v>
      </c>
      <c r="AO206" s="229">
        <v>7.9000000000000008E-3</v>
      </c>
      <c r="AP206" s="231">
        <v>1245.01</v>
      </c>
      <c r="AQ206" s="231">
        <v>1251.97</v>
      </c>
      <c r="AR206" s="228">
        <v>0</v>
      </c>
      <c r="AS206" s="228">
        <v>121</v>
      </c>
      <c r="AT206" s="228">
        <v>98</v>
      </c>
      <c r="AU206" s="228">
        <v>23</v>
      </c>
      <c r="AV206" s="229">
        <v>0.23449999999999999</v>
      </c>
      <c r="AW206" s="228">
        <v>112</v>
      </c>
      <c r="AX206" s="228">
        <v>92</v>
      </c>
      <c r="AY206" s="228">
        <v>20</v>
      </c>
      <c r="AZ206" s="229">
        <v>0.21970000000000001</v>
      </c>
      <c r="BA206" s="228">
        <v>8</v>
      </c>
      <c r="BB206" s="228">
        <v>5</v>
      </c>
      <c r="BC206" s="228">
        <v>3</v>
      </c>
      <c r="BD206" s="229">
        <v>0.53849999999999998</v>
      </c>
      <c r="BE206" s="228">
        <v>0</v>
      </c>
      <c r="BF206" s="228">
        <v>0</v>
      </c>
      <c r="BG206" s="228">
        <v>0</v>
      </c>
      <c r="BH206" s="229">
        <v>-0.75</v>
      </c>
      <c r="BI206" s="228">
        <v>503</v>
      </c>
      <c r="BJ206" s="228">
        <v>392</v>
      </c>
      <c r="BK206" s="228">
        <v>111</v>
      </c>
      <c r="BL206" s="229">
        <v>0.28220000000000001</v>
      </c>
      <c r="BM206" s="228">
        <v>207</v>
      </c>
      <c r="BN206" s="228">
        <v>173</v>
      </c>
      <c r="BO206" s="228">
        <v>34</v>
      </c>
      <c r="BP206" s="229">
        <v>0.19889999999999999</v>
      </c>
      <c r="BQ206" s="228">
        <v>831</v>
      </c>
      <c r="BR206" s="228">
        <v>663</v>
      </c>
      <c r="BS206" s="228">
        <v>168</v>
      </c>
      <c r="BT206" s="229">
        <v>0.25340000000000001</v>
      </c>
      <c r="BU206" s="230">
        <v>1142956</v>
      </c>
      <c r="BV206" s="230">
        <v>875638</v>
      </c>
      <c r="BW206" s="230">
        <v>267318</v>
      </c>
      <c r="BX206" s="229">
        <v>0.30530000000000002</v>
      </c>
      <c r="BY206" s="228">
        <v>798</v>
      </c>
      <c r="BZ206" s="228">
        <v>796</v>
      </c>
      <c r="CA206" s="228">
        <v>2</v>
      </c>
      <c r="CB206" s="229">
        <v>2E-3</v>
      </c>
      <c r="CC206" s="228">
        <v>783</v>
      </c>
      <c r="CD206" s="228">
        <v>782</v>
      </c>
      <c r="CE206" s="228">
        <v>1</v>
      </c>
      <c r="CF206" s="229">
        <v>1.2999999999999999E-3</v>
      </c>
      <c r="CG206" s="228">
        <v>14</v>
      </c>
      <c r="CH206" s="228">
        <v>14</v>
      </c>
      <c r="CI206" s="228">
        <v>1</v>
      </c>
      <c r="CJ206" s="229">
        <v>4.5699999999999998E-2</v>
      </c>
      <c r="CK206" s="228">
        <v>0</v>
      </c>
      <c r="CL206" s="228">
        <v>0</v>
      </c>
      <c r="CM206" s="228">
        <v>0</v>
      </c>
      <c r="CN206" s="229">
        <v>-0.1429</v>
      </c>
      <c r="CO206" s="228">
        <v>222</v>
      </c>
      <c r="CP206" s="228">
        <v>231</v>
      </c>
      <c r="CQ206" s="228">
        <v>-8</v>
      </c>
      <c r="CR206" s="229">
        <v>-3.6400000000000002E-2</v>
      </c>
      <c r="CS206" s="228">
        <v>181</v>
      </c>
      <c r="CT206" s="228">
        <v>184</v>
      </c>
      <c r="CU206" s="228">
        <v>-3</v>
      </c>
      <c r="CV206" s="229">
        <v>-1.7899999999999999E-2</v>
      </c>
      <c r="CW206" s="230">
        <v>1201</v>
      </c>
      <c r="CX206" s="230">
        <v>1211</v>
      </c>
      <c r="CY206" s="228">
        <v>-10</v>
      </c>
      <c r="CZ206" s="229">
        <v>-8.3000000000000001E-3</v>
      </c>
      <c r="DA206" s="228">
        <v>32.049999999999997</v>
      </c>
      <c r="DB206" s="228">
        <v>32.44</v>
      </c>
      <c r="DC206" s="228">
        <v>-0.39</v>
      </c>
      <c r="DD206" s="228">
        <v>-0.39</v>
      </c>
      <c r="DE206" s="228">
        <v>41.34</v>
      </c>
      <c r="DF206" s="228">
        <v>41.41</v>
      </c>
      <c r="DG206" s="228">
        <v>-9.2899999999999991</v>
      </c>
      <c r="DH206" s="228">
        <v>-7.0000000000000007E-2</v>
      </c>
      <c r="DI206" s="228">
        <v>31.05</v>
      </c>
      <c r="DJ206" s="228">
        <v>30.94</v>
      </c>
      <c r="DK206" s="228">
        <v>0.11</v>
      </c>
      <c r="DL206" s="228">
        <v>0.11</v>
      </c>
      <c r="DM206" s="228">
        <v>34.47</v>
      </c>
      <c r="DN206" s="228">
        <v>35.83</v>
      </c>
      <c r="DO206" s="228">
        <v>-1.36</v>
      </c>
      <c r="DP206" s="228">
        <v>-1.36</v>
      </c>
      <c r="DQ206" s="228">
        <v>0.81</v>
      </c>
      <c r="DR206" s="228">
        <v>0.8</v>
      </c>
      <c r="DS206" s="228">
        <v>0.01</v>
      </c>
      <c r="DT206" s="229">
        <v>1.2500000000000001E-2</v>
      </c>
      <c r="DU206" s="231">
        <v>1300</v>
      </c>
      <c r="DV206" s="231">
        <v>1160</v>
      </c>
      <c r="DW206" s="228">
        <v>0.41</v>
      </c>
      <c r="DX206" s="228">
        <v>0.44</v>
      </c>
      <c r="DY206" s="228">
        <v>-0.03</v>
      </c>
      <c r="DZ206" s="229">
        <v>-6.8199999999999997E-2</v>
      </c>
      <c r="EA206" s="229">
        <v>1.83E-2</v>
      </c>
      <c r="EB206" s="230">
        <v>112200</v>
      </c>
      <c r="EC206" s="229">
        <v>2.5999999999999999E-3</v>
      </c>
      <c r="ED206" s="229">
        <v>1.83E-2</v>
      </c>
      <c r="EE206" s="228">
        <v>6.96</v>
      </c>
      <c r="EF206" s="229">
        <v>5.5999999999999999E-3</v>
      </c>
      <c r="EG206" s="230">
        <v>570771</v>
      </c>
      <c r="EH206" s="230">
        <v>475730</v>
      </c>
      <c r="EI206" s="229">
        <v>0.19980000000000001</v>
      </c>
      <c r="EJ206" s="229">
        <v>0.49940000000000001</v>
      </c>
      <c r="EK206" s="228">
        <v>521.59</v>
      </c>
      <c r="EL206" s="228">
        <v>194.72</v>
      </c>
      <c r="EM206" s="228">
        <v>120.08</v>
      </c>
      <c r="EN206" s="228">
        <v>33.5</v>
      </c>
      <c r="EO206" s="228">
        <v>836.4</v>
      </c>
      <c r="EP206" s="228">
        <v>656.58</v>
      </c>
      <c r="EQ206" s="228">
        <v>179.82</v>
      </c>
      <c r="ER206" s="229">
        <v>0.27389999999999998</v>
      </c>
      <c r="ES206" s="228">
        <v>228.9</v>
      </c>
      <c r="ET206" s="228">
        <v>166.69</v>
      </c>
      <c r="EU206" s="228">
        <v>797.82</v>
      </c>
      <c r="EV206" s="231">
        <v>27292222</v>
      </c>
      <c r="EW206" s="231">
        <v>1193.4100000000001</v>
      </c>
      <c r="EX206" s="231">
        <v>1191.18</v>
      </c>
      <c r="EY206" s="228">
        <v>2.23</v>
      </c>
      <c r="EZ206" s="229">
        <v>1.9E-3</v>
      </c>
      <c r="FA206" s="229">
        <v>0.35210000000000002</v>
      </c>
      <c r="FB206" s="227" t="s">
        <v>555</v>
      </c>
      <c r="FC206">
        <f t="shared" si="4"/>
        <v>0</v>
      </c>
    </row>
    <row r="207" spans="1:159" ht="17.25" thickBot="1" x14ac:dyDescent="0.3">
      <c r="A207" s="226">
        <v>46064</v>
      </c>
      <c r="B207" s="227" t="s">
        <v>498</v>
      </c>
      <c r="C207" s="227" t="s">
        <v>303</v>
      </c>
      <c r="D207" s="228">
        <v>1355</v>
      </c>
      <c r="E207" s="228">
        <v>13</v>
      </c>
      <c r="F207" s="228">
        <v>750</v>
      </c>
      <c r="G207" s="228">
        <v>747.9</v>
      </c>
      <c r="H207" s="228">
        <v>2.1</v>
      </c>
      <c r="I207" s="229">
        <v>2.8E-3</v>
      </c>
      <c r="J207" s="228">
        <v>749</v>
      </c>
      <c r="K207" s="228">
        <v>746</v>
      </c>
      <c r="L207" s="228">
        <v>3</v>
      </c>
      <c r="M207" s="229">
        <v>4.0000000000000001E-3</v>
      </c>
      <c r="N207" s="228">
        <v>750</v>
      </c>
      <c r="O207" s="228">
        <v>747.9</v>
      </c>
      <c r="P207" s="228">
        <v>2.1</v>
      </c>
      <c r="Q207" s="229">
        <v>2.8E-3</v>
      </c>
      <c r="R207" s="228">
        <v>754.5</v>
      </c>
      <c r="S207" s="228">
        <v>752.9</v>
      </c>
      <c r="T207" s="228">
        <v>1.6</v>
      </c>
      <c r="U207" s="229">
        <v>2.0999999999999999E-3</v>
      </c>
      <c r="V207" s="228">
        <v>758.3</v>
      </c>
      <c r="W207" s="228">
        <v>757.45</v>
      </c>
      <c r="X207" s="228">
        <v>0.85</v>
      </c>
      <c r="Y207" s="229">
        <v>1.1000000000000001E-3</v>
      </c>
      <c r="Z207" s="228">
        <v>1</v>
      </c>
      <c r="AA207" s="228">
        <v>1.9</v>
      </c>
      <c r="AB207" s="228">
        <v>-0.9</v>
      </c>
      <c r="AC207" s="229">
        <v>1.2999999999999999E-3</v>
      </c>
      <c r="AD207" s="228">
        <v>1</v>
      </c>
      <c r="AE207" s="228">
        <v>1.9</v>
      </c>
      <c r="AF207" s="228">
        <v>-0.9</v>
      </c>
      <c r="AG207" s="229">
        <v>1.2999999999999999E-3</v>
      </c>
      <c r="AH207" s="228">
        <v>5.5</v>
      </c>
      <c r="AI207" s="228">
        <v>6.9</v>
      </c>
      <c r="AJ207" s="228">
        <v>-1.4</v>
      </c>
      <c r="AK207" s="229">
        <v>7.3000000000000001E-3</v>
      </c>
      <c r="AL207" s="228">
        <v>9.3000000000000007</v>
      </c>
      <c r="AM207" s="228">
        <v>11.45</v>
      </c>
      <c r="AN207" s="228">
        <v>-2.15</v>
      </c>
      <c r="AO207" s="229">
        <v>1.24E-2</v>
      </c>
      <c r="AP207" s="228">
        <v>750.7</v>
      </c>
      <c r="AQ207" s="228">
        <v>755.5</v>
      </c>
      <c r="AR207" s="228">
        <v>0</v>
      </c>
      <c r="AS207" s="228">
        <v>239</v>
      </c>
      <c r="AT207" s="228">
        <v>285</v>
      </c>
      <c r="AU207" s="228">
        <v>-46</v>
      </c>
      <c r="AV207" s="229">
        <v>-0.16220000000000001</v>
      </c>
      <c r="AW207" s="228">
        <v>218</v>
      </c>
      <c r="AX207" s="228">
        <v>264</v>
      </c>
      <c r="AY207" s="228">
        <v>-45</v>
      </c>
      <c r="AZ207" s="229">
        <v>-0.17230000000000001</v>
      </c>
      <c r="BA207" s="228">
        <v>20</v>
      </c>
      <c r="BB207" s="228">
        <v>16</v>
      </c>
      <c r="BC207" s="228">
        <v>4</v>
      </c>
      <c r="BD207" s="229">
        <v>0.23749999999999999</v>
      </c>
      <c r="BE207" s="228">
        <v>0</v>
      </c>
      <c r="BF207" s="228">
        <v>5</v>
      </c>
      <c r="BG207" s="228">
        <v>-5</v>
      </c>
      <c r="BH207" s="229">
        <v>-0.92</v>
      </c>
      <c r="BI207" s="228">
        <v>584</v>
      </c>
      <c r="BJ207" s="228">
        <v>978</v>
      </c>
      <c r="BK207" s="228">
        <v>-394</v>
      </c>
      <c r="BL207" s="229">
        <v>-0.40289999999999998</v>
      </c>
      <c r="BM207" s="228">
        <v>179</v>
      </c>
      <c r="BN207" s="228">
        <v>408</v>
      </c>
      <c r="BO207" s="228">
        <v>-229</v>
      </c>
      <c r="BP207" s="229">
        <v>-0.56169999999999998</v>
      </c>
      <c r="BQ207" s="230">
        <v>1002</v>
      </c>
      <c r="BR207" s="230">
        <v>1672</v>
      </c>
      <c r="BS207" s="228">
        <v>-670</v>
      </c>
      <c r="BT207" s="229">
        <v>-0.4007</v>
      </c>
      <c r="BU207" s="230">
        <v>1153599</v>
      </c>
      <c r="BV207" s="230">
        <v>2075082</v>
      </c>
      <c r="BW207" s="230">
        <v>-921483</v>
      </c>
      <c r="BX207" s="229">
        <v>-0.44409999999999999</v>
      </c>
      <c r="BY207" s="230">
        <v>2197</v>
      </c>
      <c r="BZ207" s="230">
        <v>2205</v>
      </c>
      <c r="CA207" s="228">
        <v>-7</v>
      </c>
      <c r="CB207" s="229">
        <v>-3.3999999999999998E-3</v>
      </c>
      <c r="CC207" s="230">
        <v>2145</v>
      </c>
      <c r="CD207" s="230">
        <v>2161</v>
      </c>
      <c r="CE207" s="228">
        <v>-16</v>
      </c>
      <c r="CF207" s="229">
        <v>-7.4999999999999997E-3</v>
      </c>
      <c r="CG207" s="228">
        <v>43</v>
      </c>
      <c r="CH207" s="228">
        <v>35</v>
      </c>
      <c r="CI207" s="228">
        <v>9</v>
      </c>
      <c r="CJ207" s="229">
        <v>0.2485</v>
      </c>
      <c r="CK207" s="228">
        <v>9</v>
      </c>
      <c r="CL207" s="228">
        <v>9</v>
      </c>
      <c r="CM207" s="228">
        <v>0</v>
      </c>
      <c r="CN207" s="229">
        <v>2.35E-2</v>
      </c>
      <c r="CO207" s="228">
        <v>995</v>
      </c>
      <c r="CP207" s="230">
        <v>1009</v>
      </c>
      <c r="CQ207" s="228">
        <v>-14</v>
      </c>
      <c r="CR207" s="229">
        <v>-1.35E-2</v>
      </c>
      <c r="CS207" s="228">
        <v>585</v>
      </c>
      <c r="CT207" s="228">
        <v>588</v>
      </c>
      <c r="CU207" s="228">
        <v>-2</v>
      </c>
      <c r="CV207" s="229">
        <v>-3.8E-3</v>
      </c>
      <c r="CW207" s="230">
        <v>3778</v>
      </c>
      <c r="CX207" s="230">
        <v>3801</v>
      </c>
      <c r="CY207" s="228">
        <v>-23</v>
      </c>
      <c r="CZ207" s="229">
        <v>-6.1000000000000004E-3</v>
      </c>
      <c r="DA207" s="228">
        <v>28.86</v>
      </c>
      <c r="DB207" s="228">
        <v>29.29</v>
      </c>
      <c r="DC207" s="228">
        <v>-0.43</v>
      </c>
      <c r="DD207" s="228">
        <v>-0.43</v>
      </c>
      <c r="DE207" s="228">
        <v>35.61</v>
      </c>
      <c r="DF207" s="228">
        <v>35.700000000000003</v>
      </c>
      <c r="DG207" s="228">
        <v>-6.75</v>
      </c>
      <c r="DH207" s="228">
        <v>-0.09</v>
      </c>
      <c r="DI207" s="228">
        <v>28.53</v>
      </c>
      <c r="DJ207" s="228">
        <v>28.67</v>
      </c>
      <c r="DK207" s="228">
        <v>-0.14000000000000001</v>
      </c>
      <c r="DL207" s="228">
        <v>-0.14000000000000001</v>
      </c>
      <c r="DM207" s="228">
        <v>29.92</v>
      </c>
      <c r="DN207" s="228">
        <v>30.79</v>
      </c>
      <c r="DO207" s="228">
        <v>-0.87</v>
      </c>
      <c r="DP207" s="228">
        <v>-0.87</v>
      </c>
      <c r="DQ207" s="228">
        <v>0.59</v>
      </c>
      <c r="DR207" s="228">
        <v>0.57999999999999996</v>
      </c>
      <c r="DS207" s="228">
        <v>0.01</v>
      </c>
      <c r="DT207" s="229">
        <v>1.72E-2</v>
      </c>
      <c r="DU207" s="228">
        <v>800</v>
      </c>
      <c r="DV207" s="228">
        <v>750</v>
      </c>
      <c r="DW207" s="228">
        <v>0.31</v>
      </c>
      <c r="DX207" s="228">
        <v>0.42</v>
      </c>
      <c r="DY207" s="228">
        <v>-0.11</v>
      </c>
      <c r="DZ207" s="229">
        <v>-0.26190000000000002</v>
      </c>
      <c r="EA207" s="229">
        <v>2.3800000000000002E-2</v>
      </c>
      <c r="EB207" s="230">
        <v>578585</v>
      </c>
      <c r="EC207" s="229">
        <v>6.0000000000000001E-3</v>
      </c>
      <c r="ED207" s="229">
        <v>2.3800000000000002E-2</v>
      </c>
      <c r="EE207" s="228">
        <v>4.8</v>
      </c>
      <c r="EF207" s="229">
        <v>6.4000000000000003E-3</v>
      </c>
      <c r="EG207" s="230">
        <v>643335</v>
      </c>
      <c r="EH207" s="230">
        <v>1265106</v>
      </c>
      <c r="EI207" s="229">
        <v>-0.49149999999999999</v>
      </c>
      <c r="EJ207" s="229">
        <v>0.55769999999999997</v>
      </c>
      <c r="EK207" s="228">
        <v>607.12</v>
      </c>
      <c r="EL207" s="228">
        <v>174.99</v>
      </c>
      <c r="EM207" s="228">
        <v>239.18</v>
      </c>
      <c r="EN207" s="228">
        <v>33.06</v>
      </c>
      <c r="EO207" s="231">
        <v>1021.29</v>
      </c>
      <c r="EP207" s="231">
        <v>1697.23</v>
      </c>
      <c r="EQ207" s="228">
        <v>-675.94</v>
      </c>
      <c r="ER207" s="229">
        <v>-0.39829999999999999</v>
      </c>
      <c r="ES207" s="231">
        <v>1028.0899999999999</v>
      </c>
      <c r="ET207" s="228">
        <v>546.77</v>
      </c>
      <c r="EU207" s="231">
        <v>2197.8000000000002</v>
      </c>
      <c r="EV207" s="231">
        <v>84228583</v>
      </c>
      <c r="EW207" s="231">
        <v>3772.65</v>
      </c>
      <c r="EX207" s="231">
        <v>3789.29</v>
      </c>
      <c r="EY207" s="228">
        <v>-16.64</v>
      </c>
      <c r="EZ207" s="229">
        <v>-4.4000000000000003E-3</v>
      </c>
      <c r="FA207" s="229">
        <v>0.59799999999999998</v>
      </c>
      <c r="FB207" s="227" t="s">
        <v>556</v>
      </c>
      <c r="FC207">
        <f t="shared" si="4"/>
        <v>0</v>
      </c>
    </row>
    <row r="208" spans="1:159" ht="17.25" thickBot="1" x14ac:dyDescent="0.3">
      <c r="A208" s="226">
        <v>46064</v>
      </c>
      <c r="B208" s="227" t="s">
        <v>168</v>
      </c>
      <c r="C208" s="227" t="s">
        <v>586</v>
      </c>
      <c r="D208" s="228">
        <v>1125</v>
      </c>
      <c r="E208" s="228">
        <v>13</v>
      </c>
      <c r="F208" s="228">
        <v>458.4</v>
      </c>
      <c r="G208" s="228">
        <v>456.8</v>
      </c>
      <c r="H208" s="228">
        <v>1.6</v>
      </c>
      <c r="I208" s="229">
        <v>3.5000000000000001E-3</v>
      </c>
      <c r="J208" s="228">
        <v>456.9</v>
      </c>
      <c r="K208" s="228">
        <v>456.5</v>
      </c>
      <c r="L208" s="228">
        <v>0.4</v>
      </c>
      <c r="M208" s="229">
        <v>8.9999999999999998E-4</v>
      </c>
      <c r="N208" s="228">
        <v>458.4</v>
      </c>
      <c r="O208" s="228">
        <v>456.8</v>
      </c>
      <c r="P208" s="228">
        <v>1.6</v>
      </c>
      <c r="Q208" s="229">
        <v>3.5000000000000001E-3</v>
      </c>
      <c r="R208" s="228">
        <v>461.1</v>
      </c>
      <c r="S208" s="228">
        <v>459.35</v>
      </c>
      <c r="T208" s="228">
        <v>1.75</v>
      </c>
      <c r="U208" s="229">
        <v>3.8E-3</v>
      </c>
      <c r="V208" s="228">
        <v>462.95</v>
      </c>
      <c r="W208" s="228">
        <v>461.65</v>
      </c>
      <c r="X208" s="228">
        <v>1.3</v>
      </c>
      <c r="Y208" s="229">
        <v>2.8E-3</v>
      </c>
      <c r="Z208" s="228">
        <v>1.5</v>
      </c>
      <c r="AA208" s="228">
        <v>0.3</v>
      </c>
      <c r="AB208" s="228">
        <v>1.2</v>
      </c>
      <c r="AC208" s="229">
        <v>3.3E-3</v>
      </c>
      <c r="AD208" s="228">
        <v>1.5</v>
      </c>
      <c r="AE208" s="228">
        <v>0.3</v>
      </c>
      <c r="AF208" s="228">
        <v>1.2</v>
      </c>
      <c r="AG208" s="229">
        <v>3.3E-3</v>
      </c>
      <c r="AH208" s="228">
        <v>4.2</v>
      </c>
      <c r="AI208" s="228">
        <v>2.85</v>
      </c>
      <c r="AJ208" s="228">
        <v>1.35</v>
      </c>
      <c r="AK208" s="229">
        <v>9.1999999999999998E-3</v>
      </c>
      <c r="AL208" s="228">
        <v>6.05</v>
      </c>
      <c r="AM208" s="228">
        <v>5.15</v>
      </c>
      <c r="AN208" s="228">
        <v>0.9</v>
      </c>
      <c r="AO208" s="229">
        <v>1.32E-2</v>
      </c>
      <c r="AP208" s="228">
        <v>457.03</v>
      </c>
      <c r="AQ208" s="228">
        <v>459.89</v>
      </c>
      <c r="AR208" s="228">
        <v>0</v>
      </c>
      <c r="AS208" s="228">
        <v>133</v>
      </c>
      <c r="AT208" s="228">
        <v>311</v>
      </c>
      <c r="AU208" s="228">
        <v>-177</v>
      </c>
      <c r="AV208" s="229">
        <v>-0.57069999999999999</v>
      </c>
      <c r="AW208" s="228">
        <v>120</v>
      </c>
      <c r="AX208" s="228">
        <v>288</v>
      </c>
      <c r="AY208" s="228">
        <v>-168</v>
      </c>
      <c r="AZ208" s="229">
        <v>-0.58360000000000001</v>
      </c>
      <c r="BA208" s="228">
        <v>11</v>
      </c>
      <c r="BB208" s="228">
        <v>19</v>
      </c>
      <c r="BC208" s="228">
        <v>-8</v>
      </c>
      <c r="BD208" s="229">
        <v>-0.39889999999999998</v>
      </c>
      <c r="BE208" s="228">
        <v>2</v>
      </c>
      <c r="BF208" s="228">
        <v>4</v>
      </c>
      <c r="BG208" s="228">
        <v>-2</v>
      </c>
      <c r="BH208" s="229">
        <v>-0.45779999999999998</v>
      </c>
      <c r="BI208" s="228">
        <v>420</v>
      </c>
      <c r="BJ208" s="228">
        <v>808</v>
      </c>
      <c r="BK208" s="228">
        <v>-388</v>
      </c>
      <c r="BL208" s="229">
        <v>-0.4798</v>
      </c>
      <c r="BM208" s="228">
        <v>156</v>
      </c>
      <c r="BN208" s="228">
        <v>409</v>
      </c>
      <c r="BO208" s="228">
        <v>-253</v>
      </c>
      <c r="BP208" s="229">
        <v>-0.61850000000000005</v>
      </c>
      <c r="BQ208" s="228">
        <v>710</v>
      </c>
      <c r="BR208" s="230">
        <v>1527</v>
      </c>
      <c r="BS208" s="228">
        <v>-818</v>
      </c>
      <c r="BT208" s="229">
        <v>-0.53539999999999999</v>
      </c>
      <c r="BU208" s="230">
        <v>2523560</v>
      </c>
      <c r="BV208" s="230">
        <v>5410965</v>
      </c>
      <c r="BW208" s="230">
        <v>-2887405</v>
      </c>
      <c r="BX208" s="229">
        <v>-0.53359999999999996</v>
      </c>
      <c r="BY208" s="230">
        <v>2038</v>
      </c>
      <c r="BZ208" s="230">
        <v>2045</v>
      </c>
      <c r="CA208" s="228">
        <v>-7</v>
      </c>
      <c r="CB208" s="229">
        <v>-3.3999999999999998E-3</v>
      </c>
      <c r="CC208" s="230">
        <v>1935</v>
      </c>
      <c r="CD208" s="230">
        <v>1943</v>
      </c>
      <c r="CE208" s="228">
        <v>-8</v>
      </c>
      <c r="CF208" s="229">
        <v>-4.1000000000000003E-3</v>
      </c>
      <c r="CG208" s="228">
        <v>80</v>
      </c>
      <c r="CH208" s="228">
        <v>79</v>
      </c>
      <c r="CI208" s="228">
        <v>1</v>
      </c>
      <c r="CJ208" s="229">
        <v>1.3100000000000001E-2</v>
      </c>
      <c r="CK208" s="228">
        <v>23</v>
      </c>
      <c r="CL208" s="228">
        <v>23</v>
      </c>
      <c r="CM208" s="228">
        <v>0</v>
      </c>
      <c r="CN208" s="229">
        <v>2.3E-3</v>
      </c>
      <c r="CO208" s="230">
        <v>1067</v>
      </c>
      <c r="CP208" s="230">
        <v>1059</v>
      </c>
      <c r="CQ208" s="228">
        <v>8</v>
      </c>
      <c r="CR208" s="229">
        <v>7.4999999999999997E-3</v>
      </c>
      <c r="CS208" s="228">
        <v>574</v>
      </c>
      <c r="CT208" s="228">
        <v>591</v>
      </c>
      <c r="CU208" s="228">
        <v>-17</v>
      </c>
      <c r="CV208" s="229">
        <v>-2.8799999999999999E-2</v>
      </c>
      <c r="CW208" s="230">
        <v>3678</v>
      </c>
      <c r="CX208" s="230">
        <v>3694</v>
      </c>
      <c r="CY208" s="228">
        <v>-16</v>
      </c>
      <c r="CZ208" s="229">
        <v>-4.3E-3</v>
      </c>
      <c r="DA208" s="228">
        <v>29.21</v>
      </c>
      <c r="DB208" s="228">
        <v>29.9</v>
      </c>
      <c r="DC208" s="228">
        <v>-0.69</v>
      </c>
      <c r="DD208" s="228">
        <v>-0.69</v>
      </c>
      <c r="DE208" s="228">
        <v>36.6</v>
      </c>
      <c r="DF208" s="228">
        <v>36.700000000000003</v>
      </c>
      <c r="DG208" s="228">
        <v>-7.39</v>
      </c>
      <c r="DH208" s="228">
        <v>-0.1</v>
      </c>
      <c r="DI208" s="228">
        <v>29.46</v>
      </c>
      <c r="DJ208" s="228">
        <v>30.23</v>
      </c>
      <c r="DK208" s="228">
        <v>-0.77</v>
      </c>
      <c r="DL208" s="228">
        <v>-0.77</v>
      </c>
      <c r="DM208" s="228">
        <v>28.54</v>
      </c>
      <c r="DN208" s="228">
        <v>29.24</v>
      </c>
      <c r="DO208" s="228">
        <v>-0.7</v>
      </c>
      <c r="DP208" s="228">
        <v>-0.7</v>
      </c>
      <c r="DQ208" s="228">
        <v>0.54</v>
      </c>
      <c r="DR208" s="228">
        <v>0.56000000000000005</v>
      </c>
      <c r="DS208" s="228">
        <v>-0.02</v>
      </c>
      <c r="DT208" s="229">
        <v>-3.5700000000000003E-2</v>
      </c>
      <c r="DU208" s="228">
        <v>500</v>
      </c>
      <c r="DV208" s="228">
        <v>440</v>
      </c>
      <c r="DW208" s="228">
        <v>0.37</v>
      </c>
      <c r="DX208" s="228">
        <v>0.51</v>
      </c>
      <c r="DY208" s="228">
        <v>-0.14000000000000001</v>
      </c>
      <c r="DZ208" s="229">
        <v>-0.27450000000000002</v>
      </c>
      <c r="EA208" s="229">
        <v>5.04E-2</v>
      </c>
      <c r="EB208" s="230">
        <v>2218500</v>
      </c>
      <c r="EC208" s="229">
        <v>5.8999999999999999E-3</v>
      </c>
      <c r="ED208" s="229">
        <v>5.04E-2</v>
      </c>
      <c r="EE208" s="228">
        <v>2.86</v>
      </c>
      <c r="EF208" s="229">
        <v>6.3E-3</v>
      </c>
      <c r="EG208" s="230">
        <v>1357441</v>
      </c>
      <c r="EH208" s="230">
        <v>2910557</v>
      </c>
      <c r="EI208" s="229">
        <v>-0.53359999999999996</v>
      </c>
      <c r="EJ208" s="229">
        <v>0.53790000000000004</v>
      </c>
      <c r="EK208" s="228">
        <v>444.08</v>
      </c>
      <c r="EL208" s="228">
        <v>151.91</v>
      </c>
      <c r="EM208" s="228">
        <v>133.16</v>
      </c>
      <c r="EN208" s="228">
        <v>90.35</v>
      </c>
      <c r="EO208" s="228">
        <v>729.16</v>
      </c>
      <c r="EP208" s="231">
        <v>1557.25</v>
      </c>
      <c r="EQ208" s="228">
        <v>-828.09</v>
      </c>
      <c r="ER208" s="229">
        <v>-0.53180000000000005</v>
      </c>
      <c r="ES208" s="231">
        <v>1132.18</v>
      </c>
      <c r="ET208" s="228">
        <v>557.04</v>
      </c>
      <c r="EU208" s="231">
        <v>2038.33</v>
      </c>
      <c r="EV208" s="231">
        <v>205761118</v>
      </c>
      <c r="EW208" s="231">
        <v>3727.55</v>
      </c>
      <c r="EX208" s="231">
        <v>3734.63</v>
      </c>
      <c r="EY208" s="228">
        <v>-7.08</v>
      </c>
      <c r="EZ208" s="229">
        <v>-1.9E-3</v>
      </c>
      <c r="FA208" s="229">
        <v>0.39</v>
      </c>
      <c r="FB208" s="227" t="s">
        <v>556</v>
      </c>
      <c r="FC208">
        <f t="shared" si="4"/>
        <v>0</v>
      </c>
    </row>
    <row r="209" spans="1:159" ht="17.25" thickBot="1" x14ac:dyDescent="0.3">
      <c r="A209" s="226">
        <v>46064</v>
      </c>
      <c r="B209" s="227" t="s">
        <v>227</v>
      </c>
      <c r="C209" s="227" t="s">
        <v>304</v>
      </c>
      <c r="D209" s="228">
        <v>1150</v>
      </c>
      <c r="E209" s="228">
        <v>13</v>
      </c>
      <c r="F209" s="228">
        <v>703.7</v>
      </c>
      <c r="G209" s="228">
        <v>690.65</v>
      </c>
      <c r="H209" s="228">
        <v>13.05</v>
      </c>
      <c r="I209" s="229">
        <v>1.89E-2</v>
      </c>
      <c r="J209" s="228">
        <v>701.15</v>
      </c>
      <c r="K209" s="228">
        <v>690.15</v>
      </c>
      <c r="L209" s="228">
        <v>11</v>
      </c>
      <c r="M209" s="229">
        <v>1.5900000000000001E-2</v>
      </c>
      <c r="N209" s="228">
        <v>703.7</v>
      </c>
      <c r="O209" s="228">
        <v>690.65</v>
      </c>
      <c r="P209" s="228">
        <v>13.05</v>
      </c>
      <c r="Q209" s="229">
        <v>1.89E-2</v>
      </c>
      <c r="R209" s="228">
        <v>704.95</v>
      </c>
      <c r="S209" s="228">
        <v>692.35</v>
      </c>
      <c r="T209" s="228">
        <v>12.6</v>
      </c>
      <c r="U209" s="229">
        <v>1.8200000000000001E-2</v>
      </c>
      <c r="V209" s="228">
        <v>706.25</v>
      </c>
      <c r="W209" s="228">
        <v>693.85</v>
      </c>
      <c r="X209" s="228">
        <v>12.4</v>
      </c>
      <c r="Y209" s="229">
        <v>1.7899999999999999E-2</v>
      </c>
      <c r="Z209" s="228">
        <v>2.5499999999999998</v>
      </c>
      <c r="AA209" s="228">
        <v>0.5</v>
      </c>
      <c r="AB209" s="228">
        <v>2.0499999999999998</v>
      </c>
      <c r="AC209" s="229">
        <v>3.5999999999999999E-3</v>
      </c>
      <c r="AD209" s="228">
        <v>2.5499999999999998</v>
      </c>
      <c r="AE209" s="228">
        <v>0.5</v>
      </c>
      <c r="AF209" s="228">
        <v>2.0499999999999998</v>
      </c>
      <c r="AG209" s="229">
        <v>3.5999999999999999E-3</v>
      </c>
      <c r="AH209" s="228">
        <v>3.8</v>
      </c>
      <c r="AI209" s="228">
        <v>2.2000000000000002</v>
      </c>
      <c r="AJ209" s="228">
        <v>1.6</v>
      </c>
      <c r="AK209" s="229">
        <v>5.4000000000000003E-3</v>
      </c>
      <c r="AL209" s="228">
        <v>5.0999999999999996</v>
      </c>
      <c r="AM209" s="228">
        <v>3.7</v>
      </c>
      <c r="AN209" s="228">
        <v>1.4</v>
      </c>
      <c r="AO209" s="229">
        <v>7.3000000000000001E-3</v>
      </c>
      <c r="AP209" s="228">
        <v>697.58</v>
      </c>
      <c r="AQ209" s="228">
        <v>698.98</v>
      </c>
      <c r="AR209" s="228">
        <v>0</v>
      </c>
      <c r="AS209" s="228">
        <v>935</v>
      </c>
      <c r="AT209" s="228">
        <v>833</v>
      </c>
      <c r="AU209" s="228">
        <v>103</v>
      </c>
      <c r="AV209" s="229">
        <v>0.1232</v>
      </c>
      <c r="AW209" s="228">
        <v>831</v>
      </c>
      <c r="AX209" s="228">
        <v>751</v>
      </c>
      <c r="AY209" s="228">
        <v>80</v>
      </c>
      <c r="AZ209" s="229">
        <v>0.106</v>
      </c>
      <c r="BA209" s="228">
        <v>95</v>
      </c>
      <c r="BB209" s="228">
        <v>75</v>
      </c>
      <c r="BC209" s="228">
        <v>20</v>
      </c>
      <c r="BD209" s="229">
        <v>0.25969999999999999</v>
      </c>
      <c r="BE209" s="228">
        <v>10</v>
      </c>
      <c r="BF209" s="228">
        <v>6</v>
      </c>
      <c r="BG209" s="228">
        <v>3</v>
      </c>
      <c r="BH209" s="229">
        <v>0.54430000000000001</v>
      </c>
      <c r="BI209" s="230">
        <v>3871</v>
      </c>
      <c r="BJ209" s="230">
        <v>3224</v>
      </c>
      <c r="BK209" s="228">
        <v>648</v>
      </c>
      <c r="BL209" s="229">
        <v>0.2009</v>
      </c>
      <c r="BM209" s="230">
        <v>1840</v>
      </c>
      <c r="BN209" s="230">
        <v>1770</v>
      </c>
      <c r="BO209" s="228">
        <v>70</v>
      </c>
      <c r="BP209" s="229">
        <v>3.9600000000000003E-2</v>
      </c>
      <c r="BQ209" s="230">
        <v>6647</v>
      </c>
      <c r="BR209" s="230">
        <v>5826</v>
      </c>
      <c r="BS209" s="228">
        <v>820</v>
      </c>
      <c r="BT209" s="229">
        <v>0.14080000000000001</v>
      </c>
      <c r="BU209" s="230">
        <v>11813961</v>
      </c>
      <c r="BV209" s="230">
        <v>11634111</v>
      </c>
      <c r="BW209" s="230">
        <v>179850</v>
      </c>
      <c r="BX209" s="229">
        <v>1.55E-2</v>
      </c>
      <c r="BY209" s="230">
        <v>5886</v>
      </c>
      <c r="BZ209" s="230">
        <v>5867</v>
      </c>
      <c r="CA209" s="228">
        <v>19</v>
      </c>
      <c r="CB209" s="229">
        <v>3.3E-3</v>
      </c>
      <c r="CC209" s="230">
        <v>5398</v>
      </c>
      <c r="CD209" s="230">
        <v>5394</v>
      </c>
      <c r="CE209" s="228">
        <v>5</v>
      </c>
      <c r="CF209" s="229">
        <v>8.0000000000000004E-4</v>
      </c>
      <c r="CG209" s="228">
        <v>388</v>
      </c>
      <c r="CH209" s="228">
        <v>372</v>
      </c>
      <c r="CI209" s="228">
        <v>16</v>
      </c>
      <c r="CJ209" s="229">
        <v>4.4200000000000003E-2</v>
      </c>
      <c r="CK209" s="228">
        <v>100</v>
      </c>
      <c r="CL209" s="228">
        <v>101</v>
      </c>
      <c r="CM209" s="228">
        <v>-2</v>
      </c>
      <c r="CN209" s="229">
        <v>-1.6E-2</v>
      </c>
      <c r="CO209" s="230">
        <v>3897</v>
      </c>
      <c r="CP209" s="230">
        <v>4056</v>
      </c>
      <c r="CQ209" s="228">
        <v>-159</v>
      </c>
      <c r="CR209" s="229">
        <v>-3.9300000000000002E-2</v>
      </c>
      <c r="CS209" s="230">
        <v>2467</v>
      </c>
      <c r="CT209" s="230">
        <v>2486</v>
      </c>
      <c r="CU209" s="228">
        <v>-19</v>
      </c>
      <c r="CV209" s="229">
        <v>-7.6E-3</v>
      </c>
      <c r="CW209" s="230">
        <v>12250</v>
      </c>
      <c r="CX209" s="230">
        <v>12409</v>
      </c>
      <c r="CY209" s="228">
        <v>-159</v>
      </c>
      <c r="CZ209" s="229">
        <v>-1.2800000000000001E-2</v>
      </c>
      <c r="DA209" s="228">
        <v>40.86</v>
      </c>
      <c r="DB209" s="228">
        <v>42.91</v>
      </c>
      <c r="DC209" s="228">
        <v>-2.0499999999999998</v>
      </c>
      <c r="DD209" s="228">
        <v>-2.0499999999999998</v>
      </c>
      <c r="DE209" s="228">
        <v>40.96</v>
      </c>
      <c r="DF209" s="228">
        <v>40.98</v>
      </c>
      <c r="DG209" s="228">
        <v>-0.1</v>
      </c>
      <c r="DH209" s="228">
        <v>-0.02</v>
      </c>
      <c r="DI209" s="228">
        <v>40.46</v>
      </c>
      <c r="DJ209" s="228">
        <v>42.74</v>
      </c>
      <c r="DK209" s="228">
        <v>-2.2799999999999998</v>
      </c>
      <c r="DL209" s="228">
        <v>-2.2799999999999998</v>
      </c>
      <c r="DM209" s="228">
        <v>41.7</v>
      </c>
      <c r="DN209" s="228">
        <v>43.21</v>
      </c>
      <c r="DO209" s="228">
        <v>-1.51</v>
      </c>
      <c r="DP209" s="228">
        <v>-1.51</v>
      </c>
      <c r="DQ209" s="228">
        <v>0.63</v>
      </c>
      <c r="DR209" s="228">
        <v>0.61</v>
      </c>
      <c r="DS209" s="228">
        <v>0.02</v>
      </c>
      <c r="DT209" s="229">
        <v>3.2800000000000003E-2</v>
      </c>
      <c r="DU209" s="228">
        <v>700</v>
      </c>
      <c r="DV209" s="228">
        <v>650</v>
      </c>
      <c r="DW209" s="228">
        <v>0.48</v>
      </c>
      <c r="DX209" s="228">
        <v>0.55000000000000004</v>
      </c>
      <c r="DY209" s="228">
        <v>-7.0000000000000007E-2</v>
      </c>
      <c r="DZ209" s="229">
        <v>-0.1273</v>
      </c>
      <c r="EA209" s="229">
        <v>8.2900000000000001E-2</v>
      </c>
      <c r="EB209" s="230">
        <v>6721750</v>
      </c>
      <c r="EC209" s="229">
        <v>1.8E-3</v>
      </c>
      <c r="ED209" s="229">
        <v>8.2900000000000001E-2</v>
      </c>
      <c r="EE209" s="228">
        <v>1.4</v>
      </c>
      <c r="EF209" s="229">
        <v>2E-3</v>
      </c>
      <c r="EG209" s="230">
        <v>5094812</v>
      </c>
      <c r="EH209" s="230">
        <v>5483207</v>
      </c>
      <c r="EI209" s="229">
        <v>-7.0800000000000002E-2</v>
      </c>
      <c r="EJ209" s="229">
        <v>0.43130000000000002</v>
      </c>
      <c r="EK209" s="231">
        <v>4066.03</v>
      </c>
      <c r="EL209" s="231">
        <v>1778.4</v>
      </c>
      <c r="EM209" s="228">
        <v>927.37</v>
      </c>
      <c r="EN209" s="228">
        <v>136.27000000000001</v>
      </c>
      <c r="EO209" s="231">
        <v>6771.79</v>
      </c>
      <c r="EP209" s="231">
        <v>5849.39</v>
      </c>
      <c r="EQ209" s="228">
        <v>922.4</v>
      </c>
      <c r="ER209" s="229">
        <v>0.15770000000000001</v>
      </c>
      <c r="ES209" s="231">
        <v>4064.67</v>
      </c>
      <c r="ET209" s="231">
        <v>2282.25</v>
      </c>
      <c r="EU209" s="231">
        <v>5887.17</v>
      </c>
      <c r="EV209" s="231">
        <v>255091106</v>
      </c>
      <c r="EW209" s="231">
        <v>12234.08</v>
      </c>
      <c r="EX209" s="231">
        <v>12278.96</v>
      </c>
      <c r="EY209" s="228">
        <v>-44.88</v>
      </c>
      <c r="EZ209" s="229">
        <v>-3.7000000000000002E-3</v>
      </c>
      <c r="FA209" s="229">
        <v>0.68240000000000001</v>
      </c>
      <c r="FB209" s="227" t="s">
        <v>555</v>
      </c>
      <c r="FC209">
        <f t="shared" si="4"/>
        <v>0</v>
      </c>
    </row>
    <row r="210" spans="1:159" ht="17.25" thickBot="1" x14ac:dyDescent="0.3">
      <c r="A210" s="226">
        <v>46064</v>
      </c>
      <c r="B210" s="227" t="s">
        <v>184</v>
      </c>
      <c r="C210" s="227" t="s">
        <v>305</v>
      </c>
      <c r="D210" s="228">
        <v>375</v>
      </c>
      <c r="E210" s="228">
        <v>13</v>
      </c>
      <c r="F210" s="231">
        <v>1507.2</v>
      </c>
      <c r="G210" s="231">
        <v>1480.4</v>
      </c>
      <c r="H210" s="228">
        <v>26.8</v>
      </c>
      <c r="I210" s="229">
        <v>1.8100000000000002E-2</v>
      </c>
      <c r="J210" s="231">
        <v>1506.5</v>
      </c>
      <c r="K210" s="231">
        <v>1475.6</v>
      </c>
      <c r="L210" s="228">
        <v>30.9</v>
      </c>
      <c r="M210" s="229">
        <v>2.0899999999999998E-2</v>
      </c>
      <c r="N210" s="231">
        <v>1507.2</v>
      </c>
      <c r="O210" s="231">
        <v>1480.4</v>
      </c>
      <c r="P210" s="228">
        <v>26.8</v>
      </c>
      <c r="Q210" s="229">
        <v>1.8100000000000002E-2</v>
      </c>
      <c r="R210" s="231">
        <v>1502.7</v>
      </c>
      <c r="S210" s="231">
        <v>1474.8</v>
      </c>
      <c r="T210" s="228">
        <v>27.9</v>
      </c>
      <c r="U210" s="229">
        <v>1.89E-2</v>
      </c>
      <c r="V210" s="231">
        <v>1499.9</v>
      </c>
      <c r="W210" s="231">
        <v>1471.2</v>
      </c>
      <c r="X210" s="228">
        <v>28.7</v>
      </c>
      <c r="Y210" s="229">
        <v>1.95E-2</v>
      </c>
      <c r="Z210" s="228">
        <v>0.7</v>
      </c>
      <c r="AA210" s="228">
        <v>4.8</v>
      </c>
      <c r="AB210" s="228">
        <v>-4.0999999999999996</v>
      </c>
      <c r="AC210" s="229">
        <v>5.0000000000000001E-4</v>
      </c>
      <c r="AD210" s="228">
        <v>0.7</v>
      </c>
      <c r="AE210" s="228">
        <v>4.8</v>
      </c>
      <c r="AF210" s="228">
        <v>-4.0999999999999996</v>
      </c>
      <c r="AG210" s="229">
        <v>5.0000000000000001E-4</v>
      </c>
      <c r="AH210" s="228">
        <v>-3.8</v>
      </c>
      <c r="AI210" s="228">
        <v>-0.8</v>
      </c>
      <c r="AJ210" s="228">
        <v>-3</v>
      </c>
      <c r="AK210" s="229">
        <v>-2.5000000000000001E-3</v>
      </c>
      <c r="AL210" s="228">
        <v>-6.6</v>
      </c>
      <c r="AM210" s="228">
        <v>-4.4000000000000004</v>
      </c>
      <c r="AN210" s="228">
        <v>-2.2000000000000002</v>
      </c>
      <c r="AO210" s="229">
        <v>-4.4000000000000003E-3</v>
      </c>
      <c r="AP210" s="231">
        <v>1494.49</v>
      </c>
      <c r="AQ210" s="231">
        <v>1487.14</v>
      </c>
      <c r="AR210" s="228">
        <v>0</v>
      </c>
      <c r="AS210" s="228">
        <v>264</v>
      </c>
      <c r="AT210" s="228">
        <v>468</v>
      </c>
      <c r="AU210" s="228">
        <v>-204</v>
      </c>
      <c r="AV210" s="229">
        <v>-0.4365</v>
      </c>
      <c r="AW210" s="228">
        <v>201</v>
      </c>
      <c r="AX210" s="228">
        <v>407</v>
      </c>
      <c r="AY210" s="228">
        <v>-206</v>
      </c>
      <c r="AZ210" s="229">
        <v>-0.50519999999999998</v>
      </c>
      <c r="BA210" s="228">
        <v>61</v>
      </c>
      <c r="BB210" s="228">
        <v>57</v>
      </c>
      <c r="BC210" s="228">
        <v>4</v>
      </c>
      <c r="BD210" s="229">
        <v>7.2599999999999998E-2</v>
      </c>
      <c r="BE210" s="228">
        <v>1</v>
      </c>
      <c r="BF210" s="228">
        <v>4</v>
      </c>
      <c r="BG210" s="228">
        <v>-3</v>
      </c>
      <c r="BH210" s="229">
        <v>-0.65790000000000004</v>
      </c>
      <c r="BI210" s="228">
        <v>849</v>
      </c>
      <c r="BJ210" s="230">
        <v>1421</v>
      </c>
      <c r="BK210" s="228">
        <v>-573</v>
      </c>
      <c r="BL210" s="229">
        <v>-0.40279999999999999</v>
      </c>
      <c r="BM210" s="228">
        <v>468</v>
      </c>
      <c r="BN210" s="228">
        <v>908</v>
      </c>
      <c r="BO210" s="228">
        <v>-441</v>
      </c>
      <c r="BP210" s="229">
        <v>-0.48509999999999998</v>
      </c>
      <c r="BQ210" s="230">
        <v>1580</v>
      </c>
      <c r="BR210" s="230">
        <v>2798</v>
      </c>
      <c r="BS210" s="230">
        <v>-1217</v>
      </c>
      <c r="BT210" s="229">
        <v>-0.43519999999999998</v>
      </c>
      <c r="BU210" s="230">
        <v>659413</v>
      </c>
      <c r="BV210" s="230">
        <v>1447710</v>
      </c>
      <c r="BW210" s="230">
        <v>-788297</v>
      </c>
      <c r="BX210" s="229">
        <v>-0.54449999999999998</v>
      </c>
      <c r="BY210" s="230">
        <v>1779</v>
      </c>
      <c r="BZ210" s="230">
        <v>1757</v>
      </c>
      <c r="CA210" s="228">
        <v>22</v>
      </c>
      <c r="CB210" s="229">
        <v>1.2500000000000001E-2</v>
      </c>
      <c r="CC210" s="230">
        <v>1625</v>
      </c>
      <c r="CD210" s="230">
        <v>1645</v>
      </c>
      <c r="CE210" s="228">
        <v>-20</v>
      </c>
      <c r="CF210" s="229">
        <v>-1.21E-2</v>
      </c>
      <c r="CG210" s="228">
        <v>144</v>
      </c>
      <c r="CH210" s="228">
        <v>103</v>
      </c>
      <c r="CI210" s="228">
        <v>42</v>
      </c>
      <c r="CJ210" s="229">
        <v>0.40899999999999997</v>
      </c>
      <c r="CK210" s="228">
        <v>9</v>
      </c>
      <c r="CL210" s="228">
        <v>9</v>
      </c>
      <c r="CM210" s="228">
        <v>0</v>
      </c>
      <c r="CN210" s="229">
        <v>-6.0000000000000001E-3</v>
      </c>
      <c r="CO210" s="228">
        <v>522</v>
      </c>
      <c r="CP210" s="228">
        <v>525</v>
      </c>
      <c r="CQ210" s="228">
        <v>-3</v>
      </c>
      <c r="CR210" s="229">
        <v>-6.1999999999999998E-3</v>
      </c>
      <c r="CS210" s="228">
        <v>543</v>
      </c>
      <c r="CT210" s="228">
        <v>510</v>
      </c>
      <c r="CU210" s="228">
        <v>33</v>
      </c>
      <c r="CV210" s="229">
        <v>6.4399999999999999E-2</v>
      </c>
      <c r="CW210" s="230">
        <v>2844</v>
      </c>
      <c r="CX210" s="230">
        <v>2792</v>
      </c>
      <c r="CY210" s="228">
        <v>52</v>
      </c>
      <c r="CZ210" s="229">
        <v>1.8499999999999999E-2</v>
      </c>
      <c r="DA210" s="228">
        <v>30.07</v>
      </c>
      <c r="DB210" s="228">
        <v>31.27</v>
      </c>
      <c r="DC210" s="228">
        <v>-1.2</v>
      </c>
      <c r="DD210" s="228">
        <v>-1.2</v>
      </c>
      <c r="DE210" s="228">
        <v>37.25</v>
      </c>
      <c r="DF210" s="228">
        <v>37.24</v>
      </c>
      <c r="DG210" s="228">
        <v>-7.18</v>
      </c>
      <c r="DH210" s="228">
        <v>0.01</v>
      </c>
      <c r="DI210" s="228">
        <v>29.1</v>
      </c>
      <c r="DJ210" s="228">
        <v>30.68</v>
      </c>
      <c r="DK210" s="228">
        <v>-1.58</v>
      </c>
      <c r="DL210" s="228">
        <v>-1.58</v>
      </c>
      <c r="DM210" s="228">
        <v>31.84</v>
      </c>
      <c r="DN210" s="228">
        <v>32.200000000000003</v>
      </c>
      <c r="DO210" s="228">
        <v>-0.36</v>
      </c>
      <c r="DP210" s="228">
        <v>-0.36</v>
      </c>
      <c r="DQ210" s="228">
        <v>1.04</v>
      </c>
      <c r="DR210" s="228">
        <v>0.97</v>
      </c>
      <c r="DS210" s="228">
        <v>7.0000000000000007E-2</v>
      </c>
      <c r="DT210" s="229">
        <v>7.22E-2</v>
      </c>
      <c r="DU210" s="231">
        <v>1500</v>
      </c>
      <c r="DV210" s="231">
        <v>1300</v>
      </c>
      <c r="DW210" s="228">
        <v>0.55000000000000004</v>
      </c>
      <c r="DX210" s="228">
        <v>0.64</v>
      </c>
      <c r="DY210" s="228">
        <v>-0.09</v>
      </c>
      <c r="DZ210" s="229">
        <v>-0.1406</v>
      </c>
      <c r="EA210" s="229">
        <v>8.6499999999999994E-2</v>
      </c>
      <c r="EB210" s="230">
        <v>743250</v>
      </c>
      <c r="EC210" s="229">
        <v>-3.0000000000000001E-3</v>
      </c>
      <c r="ED210" s="229">
        <v>8.6499999999999994E-2</v>
      </c>
      <c r="EE210" s="228">
        <v>-7.35</v>
      </c>
      <c r="EF210" s="229">
        <v>-4.8999999999999998E-3</v>
      </c>
      <c r="EG210" s="230">
        <v>272215</v>
      </c>
      <c r="EH210" s="230">
        <v>778841</v>
      </c>
      <c r="EI210" s="229">
        <v>-0.65049999999999997</v>
      </c>
      <c r="EJ210" s="229">
        <v>0.4128</v>
      </c>
      <c r="EK210" s="228">
        <v>875.08</v>
      </c>
      <c r="EL210" s="228">
        <v>449.78</v>
      </c>
      <c r="EM210" s="228">
        <v>261.31</v>
      </c>
      <c r="EN210" s="228">
        <v>57.98</v>
      </c>
      <c r="EO210" s="231">
        <v>1586.16</v>
      </c>
      <c r="EP210" s="231">
        <v>2816.31</v>
      </c>
      <c r="EQ210" s="231">
        <v>-1230.1600000000001</v>
      </c>
      <c r="ER210" s="229">
        <v>-0.43680000000000002</v>
      </c>
      <c r="ES210" s="228">
        <v>522.47</v>
      </c>
      <c r="ET210" s="228">
        <v>488</v>
      </c>
      <c r="EU210" s="231">
        <v>1778.6</v>
      </c>
      <c r="EV210" s="231">
        <v>34594689</v>
      </c>
      <c r="EW210" s="231">
        <v>2789.07</v>
      </c>
      <c r="EX210" s="231">
        <v>2705.9</v>
      </c>
      <c r="EY210" s="228">
        <v>83.17</v>
      </c>
      <c r="EZ210" s="229">
        <v>3.0700000000000002E-2</v>
      </c>
      <c r="FA210" s="229">
        <v>0.5454</v>
      </c>
      <c r="FB210" s="227" t="s">
        <v>555</v>
      </c>
      <c r="FC210">
        <f t="shared" si="4"/>
        <v>0</v>
      </c>
    </row>
    <row r="211" spans="1:159" ht="17.25" thickBot="1" x14ac:dyDescent="0.3">
      <c r="A211" s="226">
        <v>46064</v>
      </c>
      <c r="B211" s="227" t="s">
        <v>184</v>
      </c>
      <c r="C211" s="227" t="s">
        <v>691</v>
      </c>
      <c r="D211" s="228">
        <v>175</v>
      </c>
      <c r="E211" s="228">
        <v>13</v>
      </c>
      <c r="F211" s="231">
        <v>3183.3</v>
      </c>
      <c r="G211" s="231">
        <v>3169.3</v>
      </c>
      <c r="H211" s="228">
        <v>14</v>
      </c>
      <c r="I211" s="229">
        <v>4.4000000000000003E-3</v>
      </c>
      <c r="J211" s="231">
        <v>3177.6</v>
      </c>
      <c r="K211" s="231">
        <v>3163.8</v>
      </c>
      <c r="L211" s="228">
        <v>13.8</v>
      </c>
      <c r="M211" s="229">
        <v>4.4000000000000003E-3</v>
      </c>
      <c r="N211" s="231">
        <v>3183.3</v>
      </c>
      <c r="O211" s="231">
        <v>3169.3</v>
      </c>
      <c r="P211" s="228">
        <v>14</v>
      </c>
      <c r="Q211" s="229">
        <v>4.4000000000000003E-3</v>
      </c>
      <c r="R211" s="231">
        <v>3190.4</v>
      </c>
      <c r="S211" s="231">
        <v>3176.4</v>
      </c>
      <c r="T211" s="228">
        <v>14</v>
      </c>
      <c r="U211" s="229">
        <v>4.4000000000000003E-3</v>
      </c>
      <c r="V211" s="231">
        <v>3199.4</v>
      </c>
      <c r="W211" s="231">
        <v>3189.7</v>
      </c>
      <c r="X211" s="228">
        <v>9.6999999999999993</v>
      </c>
      <c r="Y211" s="229">
        <v>3.0000000000000001E-3</v>
      </c>
      <c r="Z211" s="228">
        <v>5.7</v>
      </c>
      <c r="AA211" s="228">
        <v>5.5</v>
      </c>
      <c r="AB211" s="228">
        <v>0.2</v>
      </c>
      <c r="AC211" s="229">
        <v>1.8E-3</v>
      </c>
      <c r="AD211" s="228">
        <v>5.7</v>
      </c>
      <c r="AE211" s="228">
        <v>5.5</v>
      </c>
      <c r="AF211" s="228">
        <v>0.2</v>
      </c>
      <c r="AG211" s="229">
        <v>1.8E-3</v>
      </c>
      <c r="AH211" s="228">
        <v>12.8</v>
      </c>
      <c r="AI211" s="228">
        <v>12.6</v>
      </c>
      <c r="AJ211" s="228">
        <v>0.2</v>
      </c>
      <c r="AK211" s="229">
        <v>4.0000000000000001E-3</v>
      </c>
      <c r="AL211" s="228">
        <v>21.8</v>
      </c>
      <c r="AM211" s="228">
        <v>25.9</v>
      </c>
      <c r="AN211" s="228">
        <v>-4.0999999999999996</v>
      </c>
      <c r="AO211" s="229">
        <v>6.8999999999999999E-3</v>
      </c>
      <c r="AP211" s="231">
        <v>3178.83</v>
      </c>
      <c r="AQ211" s="231">
        <v>3183.57</v>
      </c>
      <c r="AR211" s="228">
        <v>0</v>
      </c>
      <c r="AS211" s="228">
        <v>394</v>
      </c>
      <c r="AT211" s="228">
        <v>354</v>
      </c>
      <c r="AU211" s="228">
        <v>40</v>
      </c>
      <c r="AV211" s="229">
        <v>0.1125</v>
      </c>
      <c r="AW211" s="228">
        <v>310</v>
      </c>
      <c r="AX211" s="228">
        <v>300</v>
      </c>
      <c r="AY211" s="228">
        <v>11</v>
      </c>
      <c r="AZ211" s="229">
        <v>3.5499999999999997E-2</v>
      </c>
      <c r="BA211" s="228">
        <v>83</v>
      </c>
      <c r="BB211" s="228">
        <v>53</v>
      </c>
      <c r="BC211" s="228">
        <v>30</v>
      </c>
      <c r="BD211" s="229">
        <v>0.56140000000000001</v>
      </c>
      <c r="BE211" s="228">
        <v>1</v>
      </c>
      <c r="BF211" s="228">
        <v>2</v>
      </c>
      <c r="BG211" s="228">
        <v>-1</v>
      </c>
      <c r="BH211" s="229">
        <v>-0.3448</v>
      </c>
      <c r="BI211" s="228">
        <v>604</v>
      </c>
      <c r="BJ211" s="228">
        <v>696</v>
      </c>
      <c r="BK211" s="228">
        <v>-92</v>
      </c>
      <c r="BL211" s="229">
        <v>-0.1326</v>
      </c>
      <c r="BM211" s="228">
        <v>208</v>
      </c>
      <c r="BN211" s="228">
        <v>218</v>
      </c>
      <c r="BO211" s="228">
        <v>-10</v>
      </c>
      <c r="BP211" s="229">
        <v>-4.5699999999999998E-2</v>
      </c>
      <c r="BQ211" s="230">
        <v>1206</v>
      </c>
      <c r="BR211" s="230">
        <v>1268</v>
      </c>
      <c r="BS211" s="228">
        <v>-62</v>
      </c>
      <c r="BT211" s="229">
        <v>-4.9200000000000001E-2</v>
      </c>
      <c r="BU211" s="230">
        <v>945031</v>
      </c>
      <c r="BV211" s="230">
        <v>1075296</v>
      </c>
      <c r="BW211" s="230">
        <v>-130265</v>
      </c>
      <c r="BX211" s="229">
        <v>-0.1211</v>
      </c>
      <c r="BY211" s="228">
        <v>825</v>
      </c>
      <c r="BZ211" s="228">
        <v>740</v>
      </c>
      <c r="CA211" s="228">
        <v>85</v>
      </c>
      <c r="CB211" s="229">
        <v>0.1154</v>
      </c>
      <c r="CC211" s="228">
        <v>699</v>
      </c>
      <c r="CD211" s="228">
        <v>676</v>
      </c>
      <c r="CE211" s="228">
        <v>23</v>
      </c>
      <c r="CF211" s="229">
        <v>3.39E-2</v>
      </c>
      <c r="CG211" s="228">
        <v>124</v>
      </c>
      <c r="CH211" s="228">
        <v>61</v>
      </c>
      <c r="CI211" s="228">
        <v>63</v>
      </c>
      <c r="CJ211" s="229">
        <v>1.0284</v>
      </c>
      <c r="CK211" s="228">
        <v>3</v>
      </c>
      <c r="CL211" s="228">
        <v>3</v>
      </c>
      <c r="CM211" s="228">
        <v>0</v>
      </c>
      <c r="CN211" s="229">
        <v>-5.6599999999999998E-2</v>
      </c>
      <c r="CO211" s="228">
        <v>447</v>
      </c>
      <c r="CP211" s="228">
        <v>471</v>
      </c>
      <c r="CQ211" s="228">
        <v>-23</v>
      </c>
      <c r="CR211" s="229">
        <v>-4.9799999999999997E-2</v>
      </c>
      <c r="CS211" s="228">
        <v>301</v>
      </c>
      <c r="CT211" s="228">
        <v>306</v>
      </c>
      <c r="CU211" s="228">
        <v>-4</v>
      </c>
      <c r="CV211" s="229">
        <v>-1.46E-2</v>
      </c>
      <c r="CW211" s="230">
        <v>1574</v>
      </c>
      <c r="CX211" s="230">
        <v>1516</v>
      </c>
      <c r="CY211" s="228">
        <v>57</v>
      </c>
      <c r="CZ211" s="229">
        <v>3.7900000000000003E-2</v>
      </c>
      <c r="DA211" s="228">
        <v>42.79</v>
      </c>
      <c r="DB211" s="228">
        <v>42.39</v>
      </c>
      <c r="DC211" s="228">
        <v>0.4</v>
      </c>
      <c r="DD211" s="228">
        <v>0.4</v>
      </c>
      <c r="DE211" s="228">
        <v>52.04</v>
      </c>
      <c r="DF211" s="228">
        <v>52.16</v>
      </c>
      <c r="DG211" s="228">
        <v>-9.25</v>
      </c>
      <c r="DH211" s="228">
        <v>-0.12</v>
      </c>
      <c r="DI211" s="228">
        <v>42.06</v>
      </c>
      <c r="DJ211" s="228">
        <v>41.51</v>
      </c>
      <c r="DK211" s="228">
        <v>0.55000000000000004</v>
      </c>
      <c r="DL211" s="228">
        <v>0.55000000000000004</v>
      </c>
      <c r="DM211" s="228">
        <v>44.9</v>
      </c>
      <c r="DN211" s="228">
        <v>45.21</v>
      </c>
      <c r="DO211" s="228">
        <v>-0.31</v>
      </c>
      <c r="DP211" s="228">
        <v>-0.31</v>
      </c>
      <c r="DQ211" s="228">
        <v>0.67</v>
      </c>
      <c r="DR211" s="228">
        <v>0.65</v>
      </c>
      <c r="DS211" s="228">
        <v>0.02</v>
      </c>
      <c r="DT211" s="229">
        <v>3.0800000000000001E-2</v>
      </c>
      <c r="DU211" s="231">
        <v>3200</v>
      </c>
      <c r="DV211" s="231">
        <v>3200</v>
      </c>
      <c r="DW211" s="228">
        <v>0.34</v>
      </c>
      <c r="DX211" s="228">
        <v>0.31</v>
      </c>
      <c r="DY211" s="228">
        <v>0.03</v>
      </c>
      <c r="DZ211" s="229">
        <v>9.6799999999999997E-2</v>
      </c>
      <c r="EA211" s="229">
        <v>0.153</v>
      </c>
      <c r="EB211" s="230">
        <v>200550</v>
      </c>
      <c r="EC211" s="229">
        <v>2.2000000000000001E-3</v>
      </c>
      <c r="ED211" s="229">
        <v>0.153</v>
      </c>
      <c r="EE211" s="228">
        <v>4.74</v>
      </c>
      <c r="EF211" s="229">
        <v>1.5E-3</v>
      </c>
      <c r="EG211" s="230">
        <v>235928</v>
      </c>
      <c r="EH211" s="230">
        <v>333144</v>
      </c>
      <c r="EI211" s="229">
        <v>-0.2918</v>
      </c>
      <c r="EJ211" s="229">
        <v>0.24970000000000001</v>
      </c>
      <c r="EK211" s="228">
        <v>635</v>
      </c>
      <c r="EL211" s="228">
        <v>200.21</v>
      </c>
      <c r="EM211" s="228">
        <v>393.88</v>
      </c>
      <c r="EN211" s="228">
        <v>43.06</v>
      </c>
      <c r="EO211" s="231">
        <v>1229.0899999999999</v>
      </c>
      <c r="EP211" s="231">
        <v>1286.24</v>
      </c>
      <c r="EQ211" s="228">
        <v>-57.15</v>
      </c>
      <c r="ER211" s="229">
        <v>-4.4400000000000002E-2</v>
      </c>
      <c r="ES211" s="228">
        <v>439.68</v>
      </c>
      <c r="ET211" s="228">
        <v>267.94</v>
      </c>
      <c r="EU211" s="228">
        <v>825.6</v>
      </c>
      <c r="EV211" s="231">
        <v>15436318</v>
      </c>
      <c r="EW211" s="231">
        <v>1533.22</v>
      </c>
      <c r="EX211" s="231">
        <v>1471.56</v>
      </c>
      <c r="EY211" s="228">
        <v>61.66</v>
      </c>
      <c r="EZ211" s="229">
        <v>4.19E-2</v>
      </c>
      <c r="FA211" s="229">
        <v>0.32019999999999998</v>
      </c>
      <c r="FB211" s="227" t="s">
        <v>555</v>
      </c>
      <c r="FC211">
        <f t="shared" si="4"/>
        <v>0</v>
      </c>
    </row>
    <row r="212" spans="1:159" ht="17.25" thickBot="1" x14ac:dyDescent="0.3">
      <c r="A212" s="226">
        <v>46064</v>
      </c>
      <c r="B212" s="227" t="s">
        <v>221</v>
      </c>
      <c r="C212" s="227" t="s">
        <v>306</v>
      </c>
      <c r="D212" s="228">
        <v>3000</v>
      </c>
      <c r="E212" s="228">
        <v>13</v>
      </c>
      <c r="F212" s="228">
        <v>229.9</v>
      </c>
      <c r="G212" s="228">
        <v>231.5</v>
      </c>
      <c r="H212" s="228">
        <v>-1.6</v>
      </c>
      <c r="I212" s="229">
        <v>-6.8999999999999999E-3</v>
      </c>
      <c r="J212" s="228">
        <v>229.81</v>
      </c>
      <c r="K212" s="228">
        <v>231.47</v>
      </c>
      <c r="L212" s="228">
        <v>-1.66</v>
      </c>
      <c r="M212" s="229">
        <v>-7.1999999999999998E-3</v>
      </c>
      <c r="N212" s="228">
        <v>229.9</v>
      </c>
      <c r="O212" s="228">
        <v>231.5</v>
      </c>
      <c r="P212" s="228">
        <v>-1.6</v>
      </c>
      <c r="Q212" s="229">
        <v>-6.8999999999999999E-3</v>
      </c>
      <c r="R212" s="228">
        <v>229.9</v>
      </c>
      <c r="S212" s="228">
        <v>231.47</v>
      </c>
      <c r="T212" s="228">
        <v>-1.57</v>
      </c>
      <c r="U212" s="229">
        <v>-6.7999999999999996E-3</v>
      </c>
      <c r="V212" s="228">
        <v>230.06</v>
      </c>
      <c r="W212" s="228">
        <v>231.66</v>
      </c>
      <c r="X212" s="228">
        <v>-1.6</v>
      </c>
      <c r="Y212" s="229">
        <v>-6.8999999999999999E-3</v>
      </c>
      <c r="Z212" s="228">
        <v>0.09</v>
      </c>
      <c r="AA212" s="228">
        <v>0.03</v>
      </c>
      <c r="AB212" s="228">
        <v>0.06</v>
      </c>
      <c r="AC212" s="229">
        <v>4.0000000000000002E-4</v>
      </c>
      <c r="AD212" s="228">
        <v>0.09</v>
      </c>
      <c r="AE212" s="228">
        <v>0.03</v>
      </c>
      <c r="AF212" s="228">
        <v>0.06</v>
      </c>
      <c r="AG212" s="229">
        <v>4.0000000000000002E-4</v>
      </c>
      <c r="AH212" s="228">
        <v>0.09</v>
      </c>
      <c r="AI212" s="228">
        <v>0</v>
      </c>
      <c r="AJ212" s="228">
        <v>0.09</v>
      </c>
      <c r="AK212" s="229">
        <v>4.0000000000000002E-4</v>
      </c>
      <c r="AL212" s="228">
        <v>0.25</v>
      </c>
      <c r="AM212" s="228">
        <v>0.19</v>
      </c>
      <c r="AN212" s="228">
        <v>0.06</v>
      </c>
      <c r="AO212" s="229">
        <v>1.1000000000000001E-3</v>
      </c>
      <c r="AP212" s="228">
        <v>230.84</v>
      </c>
      <c r="AQ212" s="228">
        <v>230.67</v>
      </c>
      <c r="AR212" s="228">
        <v>0</v>
      </c>
      <c r="AS212" s="228">
        <v>443</v>
      </c>
      <c r="AT212" s="228">
        <v>757</v>
      </c>
      <c r="AU212" s="228">
        <v>-315</v>
      </c>
      <c r="AV212" s="229">
        <v>-0.41549999999999998</v>
      </c>
      <c r="AW212" s="228">
        <v>328</v>
      </c>
      <c r="AX212" s="228">
        <v>545</v>
      </c>
      <c r="AY212" s="228">
        <v>-217</v>
      </c>
      <c r="AZ212" s="229">
        <v>-0.39839999999999998</v>
      </c>
      <c r="BA212" s="228">
        <v>104</v>
      </c>
      <c r="BB212" s="228">
        <v>196</v>
      </c>
      <c r="BC212" s="228">
        <v>-91</v>
      </c>
      <c r="BD212" s="229">
        <v>-0.46689999999999998</v>
      </c>
      <c r="BE212" s="228">
        <v>11</v>
      </c>
      <c r="BF212" s="228">
        <v>17</v>
      </c>
      <c r="BG212" s="228">
        <v>-6</v>
      </c>
      <c r="BH212" s="229">
        <v>-0.37040000000000001</v>
      </c>
      <c r="BI212" s="230">
        <v>1100</v>
      </c>
      <c r="BJ212" s="230">
        <v>1711</v>
      </c>
      <c r="BK212" s="228">
        <v>-611</v>
      </c>
      <c r="BL212" s="229">
        <v>-0.3569</v>
      </c>
      <c r="BM212" s="228">
        <v>664</v>
      </c>
      <c r="BN212" s="228">
        <v>806</v>
      </c>
      <c r="BO212" s="228">
        <v>-141</v>
      </c>
      <c r="BP212" s="229">
        <v>-0.17519999999999999</v>
      </c>
      <c r="BQ212" s="230">
        <v>2207</v>
      </c>
      <c r="BR212" s="230">
        <v>3274</v>
      </c>
      <c r="BS212" s="230">
        <v>-1066</v>
      </c>
      <c r="BT212" s="229">
        <v>-0.32569999999999999</v>
      </c>
      <c r="BU212" s="230">
        <v>8239093</v>
      </c>
      <c r="BV212" s="230">
        <v>13237295</v>
      </c>
      <c r="BW212" s="230">
        <v>-4998202</v>
      </c>
      <c r="BX212" s="229">
        <v>-0.37759999999999999</v>
      </c>
      <c r="BY212" s="230">
        <v>3745</v>
      </c>
      <c r="BZ212" s="230">
        <v>3715</v>
      </c>
      <c r="CA212" s="228">
        <v>30</v>
      </c>
      <c r="CB212" s="229">
        <v>8.0999999999999996E-3</v>
      </c>
      <c r="CC212" s="230">
        <v>2896</v>
      </c>
      <c r="CD212" s="230">
        <v>2923</v>
      </c>
      <c r="CE212" s="228">
        <v>-27</v>
      </c>
      <c r="CF212" s="229">
        <v>-9.1000000000000004E-3</v>
      </c>
      <c r="CG212" s="228">
        <v>778</v>
      </c>
      <c r="CH212" s="228">
        <v>725</v>
      </c>
      <c r="CI212" s="228">
        <v>54</v>
      </c>
      <c r="CJ212" s="229">
        <v>7.3999999999999996E-2</v>
      </c>
      <c r="CK212" s="228">
        <v>71</v>
      </c>
      <c r="CL212" s="228">
        <v>68</v>
      </c>
      <c r="CM212" s="228">
        <v>3</v>
      </c>
      <c r="CN212" s="229">
        <v>4.58E-2</v>
      </c>
      <c r="CO212" s="230">
        <v>2271</v>
      </c>
      <c r="CP212" s="230">
        <v>2247</v>
      </c>
      <c r="CQ212" s="228">
        <v>24</v>
      </c>
      <c r="CR212" s="229">
        <v>1.0699999999999999E-2</v>
      </c>
      <c r="CS212" s="230">
        <v>1257</v>
      </c>
      <c r="CT212" s="230">
        <v>1228</v>
      </c>
      <c r="CU212" s="228">
        <v>28</v>
      </c>
      <c r="CV212" s="229">
        <v>2.3E-2</v>
      </c>
      <c r="CW212" s="230">
        <v>7273</v>
      </c>
      <c r="CX212" s="230">
        <v>7191</v>
      </c>
      <c r="CY212" s="228">
        <v>82</v>
      </c>
      <c r="CZ212" s="229">
        <v>1.14E-2</v>
      </c>
      <c r="DA212" s="228">
        <v>29.51</v>
      </c>
      <c r="DB212" s="228">
        <v>28.34</v>
      </c>
      <c r="DC212" s="228">
        <v>1.17</v>
      </c>
      <c r="DD212" s="228">
        <v>1.17</v>
      </c>
      <c r="DE212" s="228">
        <v>30.88</v>
      </c>
      <c r="DF212" s="228">
        <v>30.95</v>
      </c>
      <c r="DG212" s="228">
        <v>-1.37</v>
      </c>
      <c r="DH212" s="228">
        <v>-7.0000000000000007E-2</v>
      </c>
      <c r="DI212" s="228">
        <v>29.88</v>
      </c>
      <c r="DJ212" s="228">
        <v>28.6</v>
      </c>
      <c r="DK212" s="228">
        <v>1.28</v>
      </c>
      <c r="DL212" s="228">
        <v>1.28</v>
      </c>
      <c r="DM212" s="228">
        <v>28.9</v>
      </c>
      <c r="DN212" s="228">
        <v>27.8</v>
      </c>
      <c r="DO212" s="228">
        <v>1.1000000000000001</v>
      </c>
      <c r="DP212" s="228">
        <v>1.1000000000000001</v>
      </c>
      <c r="DQ212" s="228">
        <v>0.55000000000000004</v>
      </c>
      <c r="DR212" s="228">
        <v>0.55000000000000004</v>
      </c>
      <c r="DS212" s="228">
        <v>0</v>
      </c>
      <c r="DT212" s="229">
        <v>0</v>
      </c>
      <c r="DU212" s="228">
        <v>250</v>
      </c>
      <c r="DV212" s="228">
        <v>230</v>
      </c>
      <c r="DW212" s="228">
        <v>0.6</v>
      </c>
      <c r="DX212" s="228">
        <v>0.47</v>
      </c>
      <c r="DY212" s="228">
        <v>0.13</v>
      </c>
      <c r="DZ212" s="229">
        <v>0.27660000000000001</v>
      </c>
      <c r="EA212" s="229">
        <v>0.22670000000000001</v>
      </c>
      <c r="EB212" s="230">
        <v>34470000</v>
      </c>
      <c r="EC212" s="229">
        <v>0</v>
      </c>
      <c r="ED212" s="229">
        <v>0.22670000000000001</v>
      </c>
      <c r="EE212" s="228">
        <v>-0.17</v>
      </c>
      <c r="EF212" s="229">
        <v>-6.9999999999999999E-4</v>
      </c>
      <c r="EG212" s="230">
        <v>4261713</v>
      </c>
      <c r="EH212" s="230">
        <v>5852128</v>
      </c>
      <c r="EI212" s="229">
        <v>-0.27179999999999999</v>
      </c>
      <c r="EJ212" s="229">
        <v>0.51729999999999998</v>
      </c>
      <c r="EK212" s="231">
        <v>1159.94</v>
      </c>
      <c r="EL212" s="228">
        <v>663.2</v>
      </c>
      <c r="EM212" s="228">
        <v>444.24</v>
      </c>
      <c r="EN212" s="228">
        <v>124.83</v>
      </c>
      <c r="EO212" s="231">
        <v>2267.37</v>
      </c>
      <c r="EP212" s="231">
        <v>3367.82</v>
      </c>
      <c r="EQ212" s="231">
        <v>-1100.44</v>
      </c>
      <c r="ER212" s="229">
        <v>-0.32679999999999998</v>
      </c>
      <c r="ES212" s="231">
        <v>2454.25</v>
      </c>
      <c r="ET212" s="231">
        <v>1256.21</v>
      </c>
      <c r="EU212" s="231">
        <v>3745.12</v>
      </c>
      <c r="EV212" s="231">
        <v>358423198</v>
      </c>
      <c r="EW212" s="231">
        <v>7455.58</v>
      </c>
      <c r="EX212" s="231">
        <v>7401.35</v>
      </c>
      <c r="EY212" s="228">
        <v>54.23</v>
      </c>
      <c r="EZ212" s="229">
        <v>7.3000000000000001E-3</v>
      </c>
      <c r="FA212" s="229">
        <v>0.88260000000000005</v>
      </c>
      <c r="FB212" s="227" t="s">
        <v>567</v>
      </c>
      <c r="FC212">
        <f t="shared" si="4"/>
        <v>0</v>
      </c>
    </row>
    <row r="213" spans="1:159" ht="17.25" thickBot="1" x14ac:dyDescent="0.3">
      <c r="A213" s="226">
        <v>46064</v>
      </c>
      <c r="B213" s="227" t="s">
        <v>172</v>
      </c>
      <c r="C213" s="227" t="s">
        <v>590</v>
      </c>
      <c r="D213" s="228">
        <v>31100</v>
      </c>
      <c r="E213" s="228">
        <v>13</v>
      </c>
      <c r="F213" s="228">
        <v>21.34</v>
      </c>
      <c r="G213" s="228">
        <v>21.42</v>
      </c>
      <c r="H213" s="228">
        <v>-0.08</v>
      </c>
      <c r="I213" s="229">
        <v>-3.7000000000000002E-3</v>
      </c>
      <c r="J213" s="228">
        <v>21.32</v>
      </c>
      <c r="K213" s="228">
        <v>21.4</v>
      </c>
      <c r="L213" s="228">
        <v>-0.08</v>
      </c>
      <c r="M213" s="229">
        <v>-3.7000000000000002E-3</v>
      </c>
      <c r="N213" s="228">
        <v>21.34</v>
      </c>
      <c r="O213" s="228">
        <v>21.42</v>
      </c>
      <c r="P213" s="228">
        <v>-0.08</v>
      </c>
      <c r="Q213" s="229">
        <v>-3.7000000000000002E-3</v>
      </c>
      <c r="R213" s="228">
        <v>21.49</v>
      </c>
      <c r="S213" s="228">
        <v>21.56</v>
      </c>
      <c r="T213" s="228">
        <v>-7.0000000000000007E-2</v>
      </c>
      <c r="U213" s="229">
        <v>-3.2000000000000002E-3</v>
      </c>
      <c r="V213" s="228">
        <v>21.64</v>
      </c>
      <c r="W213" s="228">
        <v>21.7</v>
      </c>
      <c r="X213" s="228">
        <v>-0.06</v>
      </c>
      <c r="Y213" s="229">
        <v>-2.8E-3</v>
      </c>
      <c r="Z213" s="228">
        <v>0.02</v>
      </c>
      <c r="AA213" s="228">
        <v>0.02</v>
      </c>
      <c r="AB213" s="228">
        <v>0</v>
      </c>
      <c r="AC213" s="229">
        <v>8.9999999999999998E-4</v>
      </c>
      <c r="AD213" s="228">
        <v>0.02</v>
      </c>
      <c r="AE213" s="228">
        <v>0.02</v>
      </c>
      <c r="AF213" s="228">
        <v>0</v>
      </c>
      <c r="AG213" s="229">
        <v>8.9999999999999998E-4</v>
      </c>
      <c r="AH213" s="228">
        <v>0.17</v>
      </c>
      <c r="AI213" s="228">
        <v>0.16</v>
      </c>
      <c r="AJ213" s="228">
        <v>0.01</v>
      </c>
      <c r="AK213" s="229">
        <v>8.0000000000000002E-3</v>
      </c>
      <c r="AL213" s="228">
        <v>0.32</v>
      </c>
      <c r="AM213" s="228">
        <v>0.3</v>
      </c>
      <c r="AN213" s="228">
        <v>0.02</v>
      </c>
      <c r="AO213" s="229">
        <v>1.4999999999999999E-2</v>
      </c>
      <c r="AP213" s="228">
        <v>21.34</v>
      </c>
      <c r="AQ213" s="228">
        <v>21.48</v>
      </c>
      <c r="AR213" s="228">
        <v>0</v>
      </c>
      <c r="AS213" s="228">
        <v>181</v>
      </c>
      <c r="AT213" s="228">
        <v>243</v>
      </c>
      <c r="AU213" s="228">
        <v>-62</v>
      </c>
      <c r="AV213" s="229">
        <v>-0.25359999999999999</v>
      </c>
      <c r="AW213" s="228">
        <v>149</v>
      </c>
      <c r="AX213" s="228">
        <v>178</v>
      </c>
      <c r="AY213" s="228">
        <v>-29</v>
      </c>
      <c r="AZ213" s="229">
        <v>-0.16139999999999999</v>
      </c>
      <c r="BA213" s="228">
        <v>27</v>
      </c>
      <c r="BB213" s="228">
        <v>46</v>
      </c>
      <c r="BC213" s="228">
        <v>-19</v>
      </c>
      <c r="BD213" s="229">
        <v>-0.41470000000000001</v>
      </c>
      <c r="BE213" s="228">
        <v>5</v>
      </c>
      <c r="BF213" s="228">
        <v>19</v>
      </c>
      <c r="BG213" s="228">
        <v>-14</v>
      </c>
      <c r="BH213" s="229">
        <v>-0.71819999999999995</v>
      </c>
      <c r="BI213" s="228">
        <v>322</v>
      </c>
      <c r="BJ213" s="228">
        <v>482</v>
      </c>
      <c r="BK213" s="228">
        <v>-160</v>
      </c>
      <c r="BL213" s="229">
        <v>-0.33289999999999997</v>
      </c>
      <c r="BM213" s="228">
        <v>117</v>
      </c>
      <c r="BN213" s="228">
        <v>165</v>
      </c>
      <c r="BO213" s="228">
        <v>-47</v>
      </c>
      <c r="BP213" s="229">
        <v>-0.28789999999999999</v>
      </c>
      <c r="BQ213" s="228">
        <v>620</v>
      </c>
      <c r="BR213" s="228">
        <v>889</v>
      </c>
      <c r="BS213" s="228">
        <v>-269</v>
      </c>
      <c r="BT213" s="229">
        <v>-0.3029</v>
      </c>
      <c r="BU213" s="230">
        <v>57026618</v>
      </c>
      <c r="BV213" s="230">
        <v>60595379</v>
      </c>
      <c r="BW213" s="230">
        <v>-3568761</v>
      </c>
      <c r="BX213" s="229">
        <v>-5.8900000000000001E-2</v>
      </c>
      <c r="BY213" s="230">
        <v>2234</v>
      </c>
      <c r="BZ213" s="230">
        <v>2238</v>
      </c>
      <c r="CA213" s="228">
        <v>-4</v>
      </c>
      <c r="CB213" s="229">
        <v>-1.8E-3</v>
      </c>
      <c r="CC213" s="230">
        <v>1983</v>
      </c>
      <c r="CD213" s="230">
        <v>2003</v>
      </c>
      <c r="CE213" s="228">
        <v>-19</v>
      </c>
      <c r="CF213" s="229">
        <v>-9.5999999999999992E-3</v>
      </c>
      <c r="CG213" s="228">
        <v>214</v>
      </c>
      <c r="CH213" s="228">
        <v>201</v>
      </c>
      <c r="CI213" s="228">
        <v>13</v>
      </c>
      <c r="CJ213" s="229">
        <v>6.4899999999999999E-2</v>
      </c>
      <c r="CK213" s="228">
        <v>37</v>
      </c>
      <c r="CL213" s="228">
        <v>35</v>
      </c>
      <c r="CM213" s="228">
        <v>2</v>
      </c>
      <c r="CN213" s="229">
        <v>6.2100000000000002E-2</v>
      </c>
      <c r="CO213" s="230">
        <v>1031</v>
      </c>
      <c r="CP213" s="230">
        <v>1026</v>
      </c>
      <c r="CQ213" s="228">
        <v>5</v>
      </c>
      <c r="CR213" s="229">
        <v>4.8999999999999998E-3</v>
      </c>
      <c r="CS213" s="228">
        <v>522</v>
      </c>
      <c r="CT213" s="228">
        <v>529</v>
      </c>
      <c r="CU213" s="228">
        <v>-7</v>
      </c>
      <c r="CV213" s="229">
        <v>-1.3899999999999999E-2</v>
      </c>
      <c r="CW213" s="230">
        <v>3787</v>
      </c>
      <c r="CX213" s="230">
        <v>3794</v>
      </c>
      <c r="CY213" s="228">
        <v>-6</v>
      </c>
      <c r="CZ213" s="229">
        <v>-1.6999999999999999E-3</v>
      </c>
      <c r="DA213" s="228">
        <v>32.11</v>
      </c>
      <c r="DB213" s="228">
        <v>33.630000000000003</v>
      </c>
      <c r="DC213" s="228">
        <v>-1.52</v>
      </c>
      <c r="DD213" s="228">
        <v>-1.52</v>
      </c>
      <c r="DE213" s="228">
        <v>38.380000000000003</v>
      </c>
      <c r="DF213" s="228">
        <v>38.479999999999997</v>
      </c>
      <c r="DG213" s="228">
        <v>-6.27</v>
      </c>
      <c r="DH213" s="228">
        <v>-0.1</v>
      </c>
      <c r="DI213" s="228">
        <v>33.28</v>
      </c>
      <c r="DJ213" s="228">
        <v>35.32</v>
      </c>
      <c r="DK213" s="228">
        <v>-2.04</v>
      </c>
      <c r="DL213" s="228">
        <v>-2.04</v>
      </c>
      <c r="DM213" s="228">
        <v>28.9</v>
      </c>
      <c r="DN213" s="228">
        <v>28.68</v>
      </c>
      <c r="DO213" s="228">
        <v>0.22</v>
      </c>
      <c r="DP213" s="228">
        <v>0.22</v>
      </c>
      <c r="DQ213" s="228">
        <v>0.51</v>
      </c>
      <c r="DR213" s="228">
        <v>0.52</v>
      </c>
      <c r="DS213" s="228">
        <v>-0.01</v>
      </c>
      <c r="DT213" s="229">
        <v>-1.9199999999999998E-2</v>
      </c>
      <c r="DU213" s="228">
        <v>22</v>
      </c>
      <c r="DV213" s="228">
        <v>21</v>
      </c>
      <c r="DW213" s="228">
        <v>0.36</v>
      </c>
      <c r="DX213" s="228">
        <v>0.34</v>
      </c>
      <c r="DY213" s="228">
        <v>0.02</v>
      </c>
      <c r="DZ213" s="229">
        <v>5.8799999999999998E-2</v>
      </c>
      <c r="EA213" s="229">
        <v>0.1123</v>
      </c>
      <c r="EB213" s="230">
        <v>110498300</v>
      </c>
      <c r="EC213" s="229">
        <v>7.0000000000000001E-3</v>
      </c>
      <c r="ED213" s="229">
        <v>0.1123</v>
      </c>
      <c r="EE213" s="228">
        <v>0.14000000000000001</v>
      </c>
      <c r="EF213" s="229">
        <v>6.6E-3</v>
      </c>
      <c r="EG213" s="230">
        <v>29841113</v>
      </c>
      <c r="EH213" s="230">
        <v>28767944</v>
      </c>
      <c r="EI213" s="229">
        <v>3.73E-2</v>
      </c>
      <c r="EJ213" s="229">
        <v>0.52329999999999999</v>
      </c>
      <c r="EK213" s="228">
        <v>345.77</v>
      </c>
      <c r="EL213" s="228">
        <v>114.51</v>
      </c>
      <c r="EM213" s="228">
        <v>181.49</v>
      </c>
      <c r="EN213" s="228">
        <v>36.44</v>
      </c>
      <c r="EO213" s="228">
        <v>641.76</v>
      </c>
      <c r="EP213" s="228">
        <v>936.31</v>
      </c>
      <c r="EQ213" s="228">
        <v>-294.55</v>
      </c>
      <c r="ER213" s="229">
        <v>-0.31459999999999999</v>
      </c>
      <c r="ES213" s="231">
        <v>1127.2</v>
      </c>
      <c r="ET213" s="228">
        <v>514.91999999999996</v>
      </c>
      <c r="EU213" s="231">
        <v>2236.42</v>
      </c>
      <c r="EV213" s="231">
        <v>3547322779</v>
      </c>
      <c r="EW213" s="231">
        <v>3878.55</v>
      </c>
      <c r="EX213" s="231">
        <v>3892.71</v>
      </c>
      <c r="EY213" s="228">
        <v>-14.16</v>
      </c>
      <c r="EZ213" s="229">
        <v>-3.5999999999999999E-3</v>
      </c>
      <c r="FA213" s="229">
        <v>0.50029999999999997</v>
      </c>
      <c r="FB213" s="227" t="s">
        <v>568</v>
      </c>
      <c r="FC213">
        <f t="shared" si="4"/>
        <v>0</v>
      </c>
    </row>
    <row r="214" spans="1:159" ht="17.25" thickBot="1" x14ac:dyDescent="0.3">
      <c r="A214" s="226">
        <v>46064</v>
      </c>
      <c r="B214" s="227" t="s">
        <v>170</v>
      </c>
      <c r="C214" s="227" t="s">
        <v>557</v>
      </c>
      <c r="D214" s="228">
        <v>900</v>
      </c>
      <c r="E214" s="228">
        <v>13</v>
      </c>
      <c r="F214" s="228">
        <v>899.3</v>
      </c>
      <c r="G214" s="228">
        <v>887.85</v>
      </c>
      <c r="H214" s="228">
        <v>11.45</v>
      </c>
      <c r="I214" s="229">
        <v>1.29E-2</v>
      </c>
      <c r="J214" s="228">
        <v>898.3</v>
      </c>
      <c r="K214" s="228">
        <v>887.3</v>
      </c>
      <c r="L214" s="228">
        <v>11</v>
      </c>
      <c r="M214" s="229">
        <v>1.24E-2</v>
      </c>
      <c r="N214" s="228">
        <v>899.3</v>
      </c>
      <c r="O214" s="228">
        <v>887.85</v>
      </c>
      <c r="P214" s="228">
        <v>11.45</v>
      </c>
      <c r="Q214" s="229">
        <v>1.29E-2</v>
      </c>
      <c r="R214" s="228">
        <v>904.15</v>
      </c>
      <c r="S214" s="228">
        <v>892.95</v>
      </c>
      <c r="T214" s="228">
        <v>11.2</v>
      </c>
      <c r="U214" s="229">
        <v>1.2500000000000001E-2</v>
      </c>
      <c r="V214" s="228">
        <v>908.85</v>
      </c>
      <c r="W214" s="228">
        <v>898.3</v>
      </c>
      <c r="X214" s="228">
        <v>10.55</v>
      </c>
      <c r="Y214" s="229">
        <v>1.17E-2</v>
      </c>
      <c r="Z214" s="228">
        <v>1</v>
      </c>
      <c r="AA214" s="228">
        <v>0.55000000000000004</v>
      </c>
      <c r="AB214" s="228">
        <v>0.45</v>
      </c>
      <c r="AC214" s="229">
        <v>1.1000000000000001E-3</v>
      </c>
      <c r="AD214" s="228">
        <v>1</v>
      </c>
      <c r="AE214" s="228">
        <v>0.55000000000000004</v>
      </c>
      <c r="AF214" s="228">
        <v>0.45</v>
      </c>
      <c r="AG214" s="229">
        <v>1.1000000000000001E-3</v>
      </c>
      <c r="AH214" s="228">
        <v>5.85</v>
      </c>
      <c r="AI214" s="228">
        <v>5.65</v>
      </c>
      <c r="AJ214" s="228">
        <v>0.2</v>
      </c>
      <c r="AK214" s="229">
        <v>6.4999999999999997E-3</v>
      </c>
      <c r="AL214" s="228">
        <v>10.55</v>
      </c>
      <c r="AM214" s="228">
        <v>11</v>
      </c>
      <c r="AN214" s="228">
        <v>-0.45</v>
      </c>
      <c r="AO214" s="229">
        <v>1.17E-2</v>
      </c>
      <c r="AP214" s="228">
        <v>892.87</v>
      </c>
      <c r="AQ214" s="228">
        <v>896.68</v>
      </c>
      <c r="AR214" s="228">
        <v>0</v>
      </c>
      <c r="AS214" s="228">
        <v>313</v>
      </c>
      <c r="AT214" s="228">
        <v>502</v>
      </c>
      <c r="AU214" s="228">
        <v>-188</v>
      </c>
      <c r="AV214" s="229">
        <v>-0.37509999999999999</v>
      </c>
      <c r="AW214" s="228">
        <v>276</v>
      </c>
      <c r="AX214" s="228">
        <v>436</v>
      </c>
      <c r="AY214" s="228">
        <v>-160</v>
      </c>
      <c r="AZ214" s="229">
        <v>-0.36630000000000001</v>
      </c>
      <c r="BA214" s="228">
        <v>35</v>
      </c>
      <c r="BB214" s="228">
        <v>59</v>
      </c>
      <c r="BC214" s="228">
        <v>-24</v>
      </c>
      <c r="BD214" s="229">
        <v>-0.41210000000000002</v>
      </c>
      <c r="BE214" s="228">
        <v>3</v>
      </c>
      <c r="BF214" s="228">
        <v>7</v>
      </c>
      <c r="BG214" s="228">
        <v>-4</v>
      </c>
      <c r="BH214" s="229">
        <v>-0.61629999999999996</v>
      </c>
      <c r="BI214" s="230">
        <v>1392</v>
      </c>
      <c r="BJ214" s="230">
        <v>3535</v>
      </c>
      <c r="BK214" s="230">
        <v>-2143</v>
      </c>
      <c r="BL214" s="229">
        <v>-0.60609999999999997</v>
      </c>
      <c r="BM214" s="228">
        <v>449</v>
      </c>
      <c r="BN214" s="230">
        <v>1559</v>
      </c>
      <c r="BO214" s="230">
        <v>-1110</v>
      </c>
      <c r="BP214" s="229">
        <v>-0.71220000000000006</v>
      </c>
      <c r="BQ214" s="230">
        <v>2154</v>
      </c>
      <c r="BR214" s="230">
        <v>5595</v>
      </c>
      <c r="BS214" s="230">
        <v>-3441</v>
      </c>
      <c r="BT214" s="229">
        <v>-0.61499999999999999</v>
      </c>
      <c r="BU214" s="230">
        <v>871184</v>
      </c>
      <c r="BV214" s="230">
        <v>2336516</v>
      </c>
      <c r="BW214" s="230">
        <v>-1465332</v>
      </c>
      <c r="BX214" s="229">
        <v>-0.62709999999999999</v>
      </c>
      <c r="BY214" s="230">
        <v>1010</v>
      </c>
      <c r="BZ214" s="230">
        <v>1027</v>
      </c>
      <c r="CA214" s="228">
        <v>-17</v>
      </c>
      <c r="CB214" s="229">
        <v>-1.6500000000000001E-2</v>
      </c>
      <c r="CC214" s="228">
        <v>944</v>
      </c>
      <c r="CD214" s="228">
        <v>971</v>
      </c>
      <c r="CE214" s="228">
        <v>-28</v>
      </c>
      <c r="CF214" s="229">
        <v>-2.87E-2</v>
      </c>
      <c r="CG214" s="228">
        <v>60</v>
      </c>
      <c r="CH214" s="228">
        <v>49</v>
      </c>
      <c r="CI214" s="228">
        <v>11</v>
      </c>
      <c r="CJ214" s="229">
        <v>0.2301</v>
      </c>
      <c r="CK214" s="228">
        <v>6</v>
      </c>
      <c r="CL214" s="228">
        <v>7</v>
      </c>
      <c r="CM214" s="228">
        <v>0</v>
      </c>
      <c r="CN214" s="229">
        <v>-4.82E-2</v>
      </c>
      <c r="CO214" s="228">
        <v>949</v>
      </c>
      <c r="CP214" s="230">
        <v>1074</v>
      </c>
      <c r="CQ214" s="228">
        <v>-125</v>
      </c>
      <c r="CR214" s="229">
        <v>-0.11609999999999999</v>
      </c>
      <c r="CS214" s="228">
        <v>425</v>
      </c>
      <c r="CT214" s="228">
        <v>454</v>
      </c>
      <c r="CU214" s="228">
        <v>-29</v>
      </c>
      <c r="CV214" s="229">
        <v>-6.3100000000000003E-2</v>
      </c>
      <c r="CW214" s="230">
        <v>2384</v>
      </c>
      <c r="CX214" s="230">
        <v>2555</v>
      </c>
      <c r="CY214" s="228">
        <v>-170</v>
      </c>
      <c r="CZ214" s="229">
        <v>-6.6699999999999995E-2</v>
      </c>
      <c r="DA214" s="228">
        <v>28.91</v>
      </c>
      <c r="DB214" s="228">
        <v>31.82</v>
      </c>
      <c r="DC214" s="228">
        <v>-2.91</v>
      </c>
      <c r="DD214" s="228">
        <v>-2.91</v>
      </c>
      <c r="DE214" s="228">
        <v>28.06</v>
      </c>
      <c r="DF214" s="228">
        <v>28.07</v>
      </c>
      <c r="DG214" s="228">
        <v>0.85</v>
      </c>
      <c r="DH214" s="228">
        <v>-0.01</v>
      </c>
      <c r="DI214" s="228">
        <v>29.23</v>
      </c>
      <c r="DJ214" s="228">
        <v>32.979999999999997</v>
      </c>
      <c r="DK214" s="228">
        <v>-3.75</v>
      </c>
      <c r="DL214" s="228">
        <v>-3.75</v>
      </c>
      <c r="DM214" s="228">
        <v>27.91</v>
      </c>
      <c r="DN214" s="228">
        <v>29.18</v>
      </c>
      <c r="DO214" s="228">
        <v>-1.27</v>
      </c>
      <c r="DP214" s="228">
        <v>-1.27</v>
      </c>
      <c r="DQ214" s="228">
        <v>0.45</v>
      </c>
      <c r="DR214" s="228">
        <v>0.42</v>
      </c>
      <c r="DS214" s="228">
        <v>0.03</v>
      </c>
      <c r="DT214" s="229">
        <v>7.1400000000000005E-2</v>
      </c>
      <c r="DU214" s="228">
        <v>960</v>
      </c>
      <c r="DV214" s="228">
        <v>900</v>
      </c>
      <c r="DW214" s="228">
        <v>0.32</v>
      </c>
      <c r="DX214" s="228">
        <v>0.44</v>
      </c>
      <c r="DY214" s="228">
        <v>-0.12</v>
      </c>
      <c r="DZ214" s="229">
        <v>-0.2727</v>
      </c>
      <c r="EA214" s="229">
        <v>6.59E-2</v>
      </c>
      <c r="EB214" s="230">
        <v>618300</v>
      </c>
      <c r="EC214" s="229">
        <v>5.4000000000000003E-3</v>
      </c>
      <c r="ED214" s="229">
        <v>6.59E-2</v>
      </c>
      <c r="EE214" s="228">
        <v>3.81</v>
      </c>
      <c r="EF214" s="229">
        <v>4.3E-3</v>
      </c>
      <c r="EG214" s="230">
        <v>306036</v>
      </c>
      <c r="EH214" s="230">
        <v>782883</v>
      </c>
      <c r="EI214" s="229">
        <v>-0.60909999999999997</v>
      </c>
      <c r="EJ214" s="229">
        <v>0.3513</v>
      </c>
      <c r="EK214" s="231">
        <v>1460.02</v>
      </c>
      <c r="EL214" s="228">
        <v>436.99</v>
      </c>
      <c r="EM214" s="228">
        <v>311.41000000000003</v>
      </c>
      <c r="EN214" s="228">
        <v>36.5</v>
      </c>
      <c r="EO214" s="231">
        <v>2208.42</v>
      </c>
      <c r="EP214" s="231">
        <v>5798.05</v>
      </c>
      <c r="EQ214" s="231">
        <v>-3589.64</v>
      </c>
      <c r="ER214" s="229">
        <v>-0.61909999999999998</v>
      </c>
      <c r="ES214" s="231">
        <v>1012.55</v>
      </c>
      <c r="ET214" s="228">
        <v>414.14</v>
      </c>
      <c r="EU214" s="231">
        <v>1010.49</v>
      </c>
      <c r="EV214" s="231">
        <v>37741451</v>
      </c>
      <c r="EW214" s="231">
        <v>2437.1799999999998</v>
      </c>
      <c r="EX214" s="231">
        <v>2598.1</v>
      </c>
      <c r="EY214" s="228">
        <v>-160.91999999999999</v>
      </c>
      <c r="EZ214" s="229">
        <v>-6.1899999999999997E-2</v>
      </c>
      <c r="FA214" s="229">
        <v>0.70250000000000001</v>
      </c>
      <c r="FB214" s="227" t="s">
        <v>556</v>
      </c>
      <c r="FC214">
        <f t="shared" si="4"/>
        <v>0</v>
      </c>
    </row>
    <row r="215" spans="1:159" x14ac:dyDescent="0.25">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BY324-CC324</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BY388-CC388</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A156" zoomScaleNormal="100" workbookViewId="0">
      <selection activeCell="CB165" sqref="CB165"/>
    </sheetView>
  </sheetViews>
  <sheetFormatPr defaultRowHeight="15" x14ac:dyDescent="0.25"/>
  <cols>
    <col min="1" max="1" width="12"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 customWidth="1"/>
    <col min="80" max="81" width="15.5703125" customWidth="1"/>
    <col min="82" max="82" width="14.85546875" customWidth="1"/>
    <col min="83" max="83" width="11.42578125" customWidth="1"/>
    <col min="84" max="84" width="14" customWidth="1"/>
    <col min="85" max="85" width="14.42578125" customWidth="1"/>
    <col min="86" max="86" width="13.5703125" customWidth="1"/>
    <col min="87" max="87" width="11.42578125" customWidth="1"/>
    <col min="88" max="89" width="12.7109375" customWidth="1"/>
    <col min="90" max="90" width="11.5703125" customWidth="1"/>
    <col min="91" max="91" width="10.140625" customWidth="1"/>
    <col min="92" max="93" width="15.5703125" customWidth="1"/>
    <col min="94" max="94" width="12.7109375" customWidth="1"/>
    <col min="95" max="95" width="10.42578125" customWidth="1"/>
    <col min="96" max="97" width="15.5703125" customWidth="1"/>
    <col min="98" max="98" width="12.7109375" customWidth="1"/>
    <col min="99" max="99" width="10.28515625" customWidth="1"/>
    <col min="100" max="101" width="15.5703125" customWidth="1"/>
    <col min="102" max="102" width="14.85546875" customWidth="1"/>
    <col min="103" max="103" width="11.7109375" customWidth="1"/>
    <col min="104" max="104" width="8" style="195" customWidth="1"/>
    <col min="105" max="105" width="8.7109375" customWidth="1"/>
    <col min="106"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6.71093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46064</v>
      </c>
      <c r="B2" s="227" t="s">
        <v>175</v>
      </c>
      <c r="C2" s="227" t="s">
        <v>681</v>
      </c>
      <c r="D2" s="228">
        <v>500</v>
      </c>
      <c r="E2" s="231">
        <v>1142.2</v>
      </c>
      <c r="F2" s="231">
        <v>1164</v>
      </c>
      <c r="G2" s="228">
        <v>-21.8</v>
      </c>
      <c r="H2" s="229">
        <v>-1.8700000000000001E-2</v>
      </c>
      <c r="I2" s="231">
        <v>1138.4000000000001</v>
      </c>
      <c r="J2" s="231">
        <v>1162.4000000000001</v>
      </c>
      <c r="K2" s="228">
        <v>-24</v>
      </c>
      <c r="L2" s="229">
        <v>-2.06E-2</v>
      </c>
      <c r="M2" s="231">
        <v>1142.2</v>
      </c>
      <c r="N2" s="231">
        <v>1164</v>
      </c>
      <c r="O2" s="228">
        <v>-21.8</v>
      </c>
      <c r="P2" s="229">
        <v>-1.8700000000000001E-2</v>
      </c>
      <c r="Q2" s="231">
        <v>1140.9000000000001</v>
      </c>
      <c r="R2" s="231">
        <v>1161.2</v>
      </c>
      <c r="S2" s="228">
        <v>-20.3</v>
      </c>
      <c r="T2" s="229">
        <v>-1.7500000000000002E-2</v>
      </c>
      <c r="U2" s="231">
        <v>1150</v>
      </c>
      <c r="V2" s="231">
        <v>1130</v>
      </c>
      <c r="W2" s="228">
        <v>20</v>
      </c>
      <c r="X2" s="229">
        <v>1.77E-2</v>
      </c>
      <c r="Y2" s="228">
        <v>3.8</v>
      </c>
      <c r="Z2" s="228">
        <v>1.6</v>
      </c>
      <c r="AA2" s="228">
        <v>2.2000000000000002</v>
      </c>
      <c r="AB2" s="229">
        <v>3.3E-3</v>
      </c>
      <c r="AC2" s="228">
        <v>3.8</v>
      </c>
      <c r="AD2" s="228">
        <v>1.6</v>
      </c>
      <c r="AE2" s="228">
        <v>2.2000000000000002</v>
      </c>
      <c r="AF2" s="229">
        <v>3.3E-3</v>
      </c>
      <c r="AG2" s="228">
        <v>2.5</v>
      </c>
      <c r="AH2" s="228">
        <v>-1.2</v>
      </c>
      <c r="AI2" s="228">
        <v>3.7</v>
      </c>
      <c r="AJ2" s="229">
        <v>2.2000000000000001E-3</v>
      </c>
      <c r="AK2" s="228">
        <v>11.6</v>
      </c>
      <c r="AL2" s="228">
        <v>-32.4</v>
      </c>
      <c r="AM2" s="228">
        <v>44</v>
      </c>
      <c r="AN2" s="229">
        <v>1.0200000000000001E-2</v>
      </c>
      <c r="AO2" s="231">
        <v>1141.1600000000001</v>
      </c>
      <c r="AP2" s="231">
        <v>1139.45</v>
      </c>
      <c r="AQ2" s="228">
        <v>0</v>
      </c>
      <c r="AR2" s="230">
        <v>1121000</v>
      </c>
      <c r="AS2" s="230">
        <v>1686000</v>
      </c>
      <c r="AT2" s="230">
        <v>-565000</v>
      </c>
      <c r="AU2" s="229">
        <v>-0.33510000000000001</v>
      </c>
      <c r="AV2" s="230">
        <v>1035500</v>
      </c>
      <c r="AW2" s="230">
        <v>1453500</v>
      </c>
      <c r="AX2" s="230">
        <v>-418000</v>
      </c>
      <c r="AY2" s="229">
        <v>-0.28760000000000002</v>
      </c>
      <c r="AZ2" s="230">
        <v>81500</v>
      </c>
      <c r="BA2" s="230">
        <v>229000</v>
      </c>
      <c r="BB2" s="230">
        <v>-147500</v>
      </c>
      <c r="BC2" s="229">
        <v>-0.64410000000000001</v>
      </c>
      <c r="BD2" s="230">
        <v>4000</v>
      </c>
      <c r="BE2" s="230">
        <v>3500</v>
      </c>
      <c r="BF2" s="228">
        <v>500</v>
      </c>
      <c r="BG2" s="229">
        <v>0.1429</v>
      </c>
      <c r="BH2" s="230">
        <v>3092000</v>
      </c>
      <c r="BI2" s="230">
        <v>5955000</v>
      </c>
      <c r="BJ2" s="230">
        <v>-2863000</v>
      </c>
      <c r="BK2" s="229">
        <v>-0.48080000000000001</v>
      </c>
      <c r="BL2" s="230">
        <v>1494500</v>
      </c>
      <c r="BM2" s="230">
        <v>1999000</v>
      </c>
      <c r="BN2" s="230">
        <v>-504500</v>
      </c>
      <c r="BO2" s="229">
        <v>-0.25240000000000001</v>
      </c>
      <c r="BP2" s="230">
        <v>5707500</v>
      </c>
      <c r="BQ2" s="230">
        <v>9640000</v>
      </c>
      <c r="BR2" s="230">
        <v>-3932500</v>
      </c>
      <c r="BS2" s="229">
        <v>-0.40789999999999998</v>
      </c>
      <c r="BT2" s="230">
        <v>780640</v>
      </c>
      <c r="BU2" s="230">
        <v>1080456</v>
      </c>
      <c r="BV2" s="230">
        <v>-299816</v>
      </c>
      <c r="BW2" s="229">
        <v>-0.27750000000000002</v>
      </c>
      <c r="BX2" s="230">
        <v>2912500</v>
      </c>
      <c r="BY2" s="230">
        <v>2790500</v>
      </c>
      <c r="BZ2" s="230">
        <v>122000</v>
      </c>
      <c r="CA2" s="229">
        <v>4.3700000000000003E-2</v>
      </c>
      <c r="CB2" s="230">
        <v>2781000</v>
      </c>
      <c r="CC2" s="230">
        <v>2699500</v>
      </c>
      <c r="CD2" s="230">
        <v>81500</v>
      </c>
      <c r="CE2" s="229">
        <v>3.0200000000000001E-2</v>
      </c>
      <c r="CF2" s="230">
        <v>125000</v>
      </c>
      <c r="CG2" s="230">
        <v>86500</v>
      </c>
      <c r="CH2" s="230">
        <v>38500</v>
      </c>
      <c r="CI2" s="229">
        <v>0.4451</v>
      </c>
      <c r="CJ2" s="230">
        <v>6500</v>
      </c>
      <c r="CK2" s="230">
        <v>4500</v>
      </c>
      <c r="CL2" s="230">
        <v>2000</v>
      </c>
      <c r="CM2" s="229">
        <v>0.44440000000000002</v>
      </c>
      <c r="CN2" s="230">
        <v>1690500</v>
      </c>
      <c r="CO2" s="230">
        <v>1584500</v>
      </c>
      <c r="CP2" s="230">
        <v>106000</v>
      </c>
      <c r="CQ2" s="229">
        <v>6.6900000000000001E-2</v>
      </c>
      <c r="CR2" s="230">
        <v>1276500</v>
      </c>
      <c r="CS2" s="230">
        <v>1155500</v>
      </c>
      <c r="CT2" s="230">
        <v>121000</v>
      </c>
      <c r="CU2" s="229">
        <v>0.1047</v>
      </c>
      <c r="CV2" s="230">
        <v>5879500</v>
      </c>
      <c r="CW2" s="230">
        <v>5530500</v>
      </c>
      <c r="CX2" s="230">
        <v>349000</v>
      </c>
      <c r="CY2" s="229">
        <v>6.3100000000000003E-2</v>
      </c>
      <c r="CZ2" s="228">
        <v>29.59</v>
      </c>
      <c r="DA2" s="228">
        <v>29.63</v>
      </c>
      <c r="DB2" s="228">
        <v>-0.04</v>
      </c>
      <c r="DC2" s="228">
        <v>-0.04</v>
      </c>
      <c r="DD2" s="228">
        <v>42.52</v>
      </c>
      <c r="DE2" s="228">
        <v>42.53</v>
      </c>
      <c r="DF2" s="228">
        <v>-12.93</v>
      </c>
      <c r="DG2" s="228">
        <v>-0.01</v>
      </c>
      <c r="DH2" s="228">
        <v>28.93</v>
      </c>
      <c r="DI2" s="228">
        <v>29.07</v>
      </c>
      <c r="DJ2" s="228">
        <v>-0.14000000000000001</v>
      </c>
      <c r="DK2" s="228">
        <v>-0.14000000000000001</v>
      </c>
      <c r="DL2" s="228">
        <v>30.96</v>
      </c>
      <c r="DM2" s="228">
        <v>31.3</v>
      </c>
      <c r="DN2" s="228">
        <v>-0.34</v>
      </c>
      <c r="DO2" s="228">
        <v>-0.34</v>
      </c>
      <c r="DP2" s="228">
        <v>0.76</v>
      </c>
      <c r="DQ2" s="228">
        <v>0.73</v>
      </c>
      <c r="DR2" s="228">
        <v>0.03</v>
      </c>
      <c r="DS2" s="229">
        <v>4.1099999999999998E-2</v>
      </c>
      <c r="DT2" s="231">
        <v>1200</v>
      </c>
      <c r="DU2" s="231">
        <v>1080</v>
      </c>
      <c r="DV2" s="228">
        <v>0.48</v>
      </c>
      <c r="DW2" s="228">
        <v>0.34</v>
      </c>
      <c r="DX2" s="228">
        <v>0.14000000000000001</v>
      </c>
      <c r="DY2" s="229">
        <v>0.4118</v>
      </c>
      <c r="DZ2" s="229">
        <v>4.5199999999999997E-2</v>
      </c>
      <c r="EA2" s="230">
        <v>91000</v>
      </c>
      <c r="EB2" s="229">
        <v>-1.1000000000000001E-3</v>
      </c>
      <c r="EC2" s="229">
        <v>4.5199999999999997E-2</v>
      </c>
      <c r="ED2" s="228">
        <v>-1.71</v>
      </c>
      <c r="EE2" s="229">
        <v>-1.5E-3</v>
      </c>
      <c r="EF2" s="230">
        <v>342639</v>
      </c>
      <c r="EG2" s="230">
        <v>376960</v>
      </c>
      <c r="EH2" s="229">
        <v>-9.0999999999999998E-2</v>
      </c>
      <c r="EI2" s="229">
        <v>0.43890000000000001</v>
      </c>
      <c r="EJ2" s="231">
        <v>37189.79</v>
      </c>
      <c r="EK2" s="231">
        <v>16460.14</v>
      </c>
      <c r="EL2" s="231">
        <v>12791.23</v>
      </c>
      <c r="EM2" s="231">
        <v>1763</v>
      </c>
      <c r="EN2" s="231">
        <v>66441.16</v>
      </c>
      <c r="EO2" s="231">
        <v>113072.04</v>
      </c>
      <c r="EP2" s="231">
        <v>-46630.879999999997</v>
      </c>
      <c r="EQ2" s="229">
        <v>-0.41239999999999999</v>
      </c>
      <c r="ER2" s="231">
        <v>20400</v>
      </c>
      <c r="ES2" s="231">
        <v>13894</v>
      </c>
      <c r="ET2" s="231">
        <v>33265</v>
      </c>
      <c r="EU2" s="231">
        <v>36943219</v>
      </c>
      <c r="EV2" s="231">
        <v>67559</v>
      </c>
      <c r="EW2" s="231">
        <v>64333</v>
      </c>
      <c r="EX2" s="231">
        <v>3226</v>
      </c>
      <c r="EY2" s="229">
        <v>5.0099999999999999E-2</v>
      </c>
      <c r="EZ2" s="229">
        <v>0.15909999999999999</v>
      </c>
      <c r="FA2" s="227" t="s">
        <v>567</v>
      </c>
      <c r="FB2" s="161">
        <f>BX2-CB2</f>
        <v>131500</v>
      </c>
    </row>
    <row r="3" spans="1:158" ht="17.25" hidden="1" thickBot="1" x14ac:dyDescent="0.3">
      <c r="A3" s="226">
        <v>46064</v>
      </c>
      <c r="B3" s="227" t="s">
        <v>184</v>
      </c>
      <c r="C3" s="227" t="s">
        <v>553</v>
      </c>
      <c r="D3" s="228">
        <v>125</v>
      </c>
      <c r="E3" s="231">
        <v>5826.5</v>
      </c>
      <c r="F3" s="231">
        <v>5881</v>
      </c>
      <c r="G3" s="228">
        <v>-54.5</v>
      </c>
      <c r="H3" s="229">
        <v>-9.2999999999999992E-3</v>
      </c>
      <c r="I3" s="231">
        <v>5825.5</v>
      </c>
      <c r="J3" s="231">
        <v>5870</v>
      </c>
      <c r="K3" s="228">
        <v>-44.5</v>
      </c>
      <c r="L3" s="229">
        <v>-7.6E-3</v>
      </c>
      <c r="M3" s="231">
        <v>5826.5</v>
      </c>
      <c r="N3" s="231">
        <v>5881</v>
      </c>
      <c r="O3" s="228">
        <v>-54.5</v>
      </c>
      <c r="P3" s="229">
        <v>-9.2999999999999992E-3</v>
      </c>
      <c r="Q3" s="231">
        <v>5819</v>
      </c>
      <c r="R3" s="231">
        <v>5872.5</v>
      </c>
      <c r="S3" s="228">
        <v>-53.5</v>
      </c>
      <c r="T3" s="229">
        <v>-9.1000000000000004E-3</v>
      </c>
      <c r="U3" s="231">
        <v>5832</v>
      </c>
      <c r="V3" s="231">
        <v>5877</v>
      </c>
      <c r="W3" s="228">
        <v>-45</v>
      </c>
      <c r="X3" s="229">
        <v>-7.7000000000000002E-3</v>
      </c>
      <c r="Y3" s="228">
        <v>1</v>
      </c>
      <c r="Z3" s="228">
        <v>11</v>
      </c>
      <c r="AA3" s="228">
        <v>-10</v>
      </c>
      <c r="AB3" s="229">
        <v>2.0000000000000001E-4</v>
      </c>
      <c r="AC3" s="228">
        <v>1</v>
      </c>
      <c r="AD3" s="228">
        <v>11</v>
      </c>
      <c r="AE3" s="228">
        <v>-10</v>
      </c>
      <c r="AF3" s="229">
        <v>2.0000000000000001E-4</v>
      </c>
      <c r="AG3" s="228">
        <v>-6.5</v>
      </c>
      <c r="AH3" s="228">
        <v>2.5</v>
      </c>
      <c r="AI3" s="228">
        <v>-9</v>
      </c>
      <c r="AJ3" s="229">
        <v>-1.1000000000000001E-3</v>
      </c>
      <c r="AK3" s="228">
        <v>6.5</v>
      </c>
      <c r="AL3" s="228">
        <v>7</v>
      </c>
      <c r="AM3" s="228">
        <v>-0.5</v>
      </c>
      <c r="AN3" s="229">
        <v>1.1000000000000001E-3</v>
      </c>
      <c r="AO3" s="231">
        <v>5826.53</v>
      </c>
      <c r="AP3" s="231">
        <v>5821.36</v>
      </c>
      <c r="AQ3" s="228">
        <v>0</v>
      </c>
      <c r="AR3" s="230">
        <v>279125</v>
      </c>
      <c r="AS3" s="230">
        <v>351875</v>
      </c>
      <c r="AT3" s="230">
        <v>-72750</v>
      </c>
      <c r="AU3" s="229">
        <v>-0.20669999999999999</v>
      </c>
      <c r="AV3" s="230">
        <v>251375</v>
      </c>
      <c r="AW3" s="230">
        <v>312875</v>
      </c>
      <c r="AX3" s="230">
        <v>-61500</v>
      </c>
      <c r="AY3" s="229">
        <v>-0.1966</v>
      </c>
      <c r="AZ3" s="230">
        <v>24250</v>
      </c>
      <c r="BA3" s="230">
        <v>36875</v>
      </c>
      <c r="BB3" s="230">
        <v>-12625</v>
      </c>
      <c r="BC3" s="229">
        <v>-0.34239999999999998</v>
      </c>
      <c r="BD3" s="230">
        <v>3500</v>
      </c>
      <c r="BE3" s="230">
        <v>2125</v>
      </c>
      <c r="BF3" s="230">
        <v>1375</v>
      </c>
      <c r="BG3" s="229">
        <v>0.64710000000000001</v>
      </c>
      <c r="BH3" s="230">
        <v>738875</v>
      </c>
      <c r="BI3" s="230">
        <v>1014750</v>
      </c>
      <c r="BJ3" s="230">
        <v>-275875</v>
      </c>
      <c r="BK3" s="229">
        <v>-0.27189999999999998</v>
      </c>
      <c r="BL3" s="230">
        <v>750375</v>
      </c>
      <c r="BM3" s="230">
        <v>434375</v>
      </c>
      <c r="BN3" s="230">
        <v>316000</v>
      </c>
      <c r="BO3" s="229">
        <v>0.72750000000000004</v>
      </c>
      <c r="BP3" s="230">
        <v>1768375</v>
      </c>
      <c r="BQ3" s="230">
        <v>1801000</v>
      </c>
      <c r="BR3" s="230">
        <v>-32625</v>
      </c>
      <c r="BS3" s="229">
        <v>-1.8100000000000002E-2</v>
      </c>
      <c r="BT3" s="230">
        <v>94218</v>
      </c>
      <c r="BU3" s="230">
        <v>159645</v>
      </c>
      <c r="BV3" s="230">
        <v>-65427</v>
      </c>
      <c r="BW3" s="229">
        <v>-0.4098</v>
      </c>
      <c r="BX3" s="230">
        <v>2228500</v>
      </c>
      <c r="BY3" s="230">
        <v>2252625</v>
      </c>
      <c r="BZ3" s="230">
        <v>-24125</v>
      </c>
      <c r="CA3" s="229">
        <v>-1.0699999999999999E-2</v>
      </c>
      <c r="CB3" s="230">
        <v>1916125</v>
      </c>
      <c r="CC3" s="230">
        <v>1947125</v>
      </c>
      <c r="CD3" s="230">
        <v>-31000</v>
      </c>
      <c r="CE3" s="229">
        <v>-1.5900000000000001E-2</v>
      </c>
      <c r="CF3" s="230">
        <v>298250</v>
      </c>
      <c r="CG3" s="230">
        <v>294250</v>
      </c>
      <c r="CH3" s="230">
        <v>4000</v>
      </c>
      <c r="CI3" s="229">
        <v>1.3599999999999999E-2</v>
      </c>
      <c r="CJ3" s="230">
        <v>14125</v>
      </c>
      <c r="CK3" s="230">
        <v>11250</v>
      </c>
      <c r="CL3" s="230">
        <v>2875</v>
      </c>
      <c r="CM3" s="229">
        <v>0.25559999999999999</v>
      </c>
      <c r="CN3" s="230">
        <v>1306250</v>
      </c>
      <c r="CO3" s="230">
        <v>1283625</v>
      </c>
      <c r="CP3" s="230">
        <v>22625</v>
      </c>
      <c r="CQ3" s="229">
        <v>1.7600000000000001E-2</v>
      </c>
      <c r="CR3" s="230">
        <v>962375</v>
      </c>
      <c r="CS3" s="230">
        <v>954250</v>
      </c>
      <c r="CT3" s="230">
        <v>8125</v>
      </c>
      <c r="CU3" s="229">
        <v>8.5000000000000006E-3</v>
      </c>
      <c r="CV3" s="230">
        <v>4497125</v>
      </c>
      <c r="CW3" s="230">
        <v>4490500</v>
      </c>
      <c r="CX3" s="230">
        <v>6625</v>
      </c>
      <c r="CY3" s="229">
        <v>1.5E-3</v>
      </c>
      <c r="CZ3" s="228">
        <v>35.81</v>
      </c>
      <c r="DA3" s="228">
        <v>34.549999999999997</v>
      </c>
      <c r="DB3" s="228">
        <v>1.26</v>
      </c>
      <c r="DC3" s="228">
        <v>1.26</v>
      </c>
      <c r="DD3" s="228">
        <v>36.479999999999997</v>
      </c>
      <c r="DE3" s="228">
        <v>36.56</v>
      </c>
      <c r="DF3" s="228">
        <v>-0.67</v>
      </c>
      <c r="DG3" s="228">
        <v>-0.08</v>
      </c>
      <c r="DH3" s="228">
        <v>34.72</v>
      </c>
      <c r="DI3" s="228">
        <v>33.28</v>
      </c>
      <c r="DJ3" s="228">
        <v>1.44</v>
      </c>
      <c r="DK3" s="228">
        <v>1.44</v>
      </c>
      <c r="DL3" s="228">
        <v>36.89</v>
      </c>
      <c r="DM3" s="228">
        <v>37.49</v>
      </c>
      <c r="DN3" s="228">
        <v>-0.6</v>
      </c>
      <c r="DO3" s="228">
        <v>-0.6</v>
      </c>
      <c r="DP3" s="228">
        <v>0.74</v>
      </c>
      <c r="DQ3" s="228">
        <v>0.74</v>
      </c>
      <c r="DR3" s="228">
        <v>0</v>
      </c>
      <c r="DS3" s="229">
        <v>0</v>
      </c>
      <c r="DT3" s="231">
        <v>6000</v>
      </c>
      <c r="DU3" s="231">
        <v>5700</v>
      </c>
      <c r="DV3" s="228">
        <v>1.02</v>
      </c>
      <c r="DW3" s="228">
        <v>0.43</v>
      </c>
      <c r="DX3" s="228">
        <v>0.59</v>
      </c>
      <c r="DY3" s="229">
        <v>1.3721000000000001</v>
      </c>
      <c r="DZ3" s="229">
        <v>0.14019999999999999</v>
      </c>
      <c r="EA3" s="230">
        <v>305500</v>
      </c>
      <c r="EB3" s="229">
        <v>-1.2999999999999999E-3</v>
      </c>
      <c r="EC3" s="229">
        <v>0.14019999999999999</v>
      </c>
      <c r="ED3" s="228">
        <v>-5.17</v>
      </c>
      <c r="EE3" s="229">
        <v>-8.9999999999999998E-4</v>
      </c>
      <c r="EF3" s="230">
        <v>37228</v>
      </c>
      <c r="EG3" s="230">
        <v>80194</v>
      </c>
      <c r="EH3" s="229">
        <v>-0.53580000000000005</v>
      </c>
      <c r="EI3" s="229">
        <v>0.39510000000000001</v>
      </c>
      <c r="EJ3" s="231">
        <v>45253.48</v>
      </c>
      <c r="EK3" s="231">
        <v>42416.4</v>
      </c>
      <c r="EL3" s="231">
        <v>16262.26</v>
      </c>
      <c r="EM3" s="231">
        <v>4486</v>
      </c>
      <c r="EN3" s="231">
        <v>103932.14</v>
      </c>
      <c r="EO3" s="231">
        <v>106594.44</v>
      </c>
      <c r="EP3" s="231">
        <v>-2662.3</v>
      </c>
      <c r="EQ3" s="229">
        <v>-2.5000000000000001E-2</v>
      </c>
      <c r="ER3" s="231">
        <v>75228</v>
      </c>
      <c r="ES3" s="231">
        <v>50949</v>
      </c>
      <c r="ET3" s="231">
        <v>129822</v>
      </c>
      <c r="EU3" s="231">
        <v>7946564</v>
      </c>
      <c r="EV3" s="231">
        <v>256000</v>
      </c>
      <c r="EW3" s="231">
        <v>256597</v>
      </c>
      <c r="EX3" s="228">
        <v>-597</v>
      </c>
      <c r="EY3" s="229">
        <v>-2.3E-3</v>
      </c>
      <c r="EZ3" s="229">
        <v>0.56589999999999996</v>
      </c>
      <c r="FA3" s="227" t="s">
        <v>568</v>
      </c>
      <c r="FB3" s="161">
        <f t="shared" ref="FB3:FB66" si="0">BX3-CB3</f>
        <v>312375</v>
      </c>
    </row>
    <row r="4" spans="1:158" ht="17.25" hidden="1" thickBot="1" x14ac:dyDescent="0.3">
      <c r="A4" s="226">
        <v>46064</v>
      </c>
      <c r="B4" s="227" t="s">
        <v>175</v>
      </c>
      <c r="C4" s="227" t="s">
        <v>544</v>
      </c>
      <c r="D4" s="228">
        <v>3100</v>
      </c>
      <c r="E4" s="228">
        <v>344.35</v>
      </c>
      <c r="F4" s="228">
        <v>354.9</v>
      </c>
      <c r="G4" s="228">
        <v>-10.55</v>
      </c>
      <c r="H4" s="229">
        <v>-2.9700000000000001E-2</v>
      </c>
      <c r="I4" s="228">
        <v>344.25</v>
      </c>
      <c r="J4" s="228">
        <v>353.75</v>
      </c>
      <c r="K4" s="228">
        <v>-9.5</v>
      </c>
      <c r="L4" s="229">
        <v>-2.69E-2</v>
      </c>
      <c r="M4" s="228">
        <v>344.35</v>
      </c>
      <c r="N4" s="228">
        <v>354.9</v>
      </c>
      <c r="O4" s="228">
        <v>-10.55</v>
      </c>
      <c r="P4" s="229">
        <v>-2.9700000000000001E-2</v>
      </c>
      <c r="Q4" s="228">
        <v>344.65</v>
      </c>
      <c r="R4" s="228">
        <v>355.55</v>
      </c>
      <c r="S4" s="228">
        <v>-10.9</v>
      </c>
      <c r="T4" s="229">
        <v>-3.0700000000000002E-2</v>
      </c>
      <c r="U4" s="228">
        <v>346.65</v>
      </c>
      <c r="V4" s="228">
        <v>358.65</v>
      </c>
      <c r="W4" s="228">
        <v>-12</v>
      </c>
      <c r="X4" s="229">
        <v>-3.3500000000000002E-2</v>
      </c>
      <c r="Y4" s="228">
        <v>0.1</v>
      </c>
      <c r="Z4" s="228">
        <v>1.1499999999999999</v>
      </c>
      <c r="AA4" s="228">
        <v>-1.05</v>
      </c>
      <c r="AB4" s="229">
        <v>2.9999999999999997E-4</v>
      </c>
      <c r="AC4" s="228">
        <v>0.1</v>
      </c>
      <c r="AD4" s="228">
        <v>1.1499999999999999</v>
      </c>
      <c r="AE4" s="228">
        <v>-1.05</v>
      </c>
      <c r="AF4" s="229">
        <v>2.9999999999999997E-4</v>
      </c>
      <c r="AG4" s="228">
        <v>0.4</v>
      </c>
      <c r="AH4" s="228">
        <v>1.8</v>
      </c>
      <c r="AI4" s="228">
        <v>-1.4</v>
      </c>
      <c r="AJ4" s="229">
        <v>1.1999999999999999E-3</v>
      </c>
      <c r="AK4" s="228">
        <v>2.4</v>
      </c>
      <c r="AL4" s="228">
        <v>4.9000000000000004</v>
      </c>
      <c r="AM4" s="228">
        <v>-2.5</v>
      </c>
      <c r="AN4" s="229">
        <v>7.0000000000000001E-3</v>
      </c>
      <c r="AO4" s="228">
        <v>346.16</v>
      </c>
      <c r="AP4" s="228">
        <v>347.57</v>
      </c>
      <c r="AQ4" s="228">
        <v>0</v>
      </c>
      <c r="AR4" s="230">
        <v>16640800</v>
      </c>
      <c r="AS4" s="230">
        <v>10639200</v>
      </c>
      <c r="AT4" s="230">
        <v>6001600</v>
      </c>
      <c r="AU4" s="229">
        <v>0.56410000000000005</v>
      </c>
      <c r="AV4" s="230">
        <v>14926500</v>
      </c>
      <c r="AW4" s="230">
        <v>10109100</v>
      </c>
      <c r="AX4" s="230">
        <v>4817400</v>
      </c>
      <c r="AY4" s="229">
        <v>0.47649999999999998</v>
      </c>
      <c r="AZ4" s="230">
        <v>1649200</v>
      </c>
      <c r="BA4" s="230">
        <v>486700</v>
      </c>
      <c r="BB4" s="230">
        <v>1162500</v>
      </c>
      <c r="BC4" s="229">
        <v>2.3885000000000001</v>
      </c>
      <c r="BD4" s="230">
        <v>65100</v>
      </c>
      <c r="BE4" s="230">
        <v>43400</v>
      </c>
      <c r="BF4" s="230">
        <v>21700</v>
      </c>
      <c r="BG4" s="229">
        <v>0.5</v>
      </c>
      <c r="BH4" s="230">
        <v>38232300</v>
      </c>
      <c r="BI4" s="230">
        <v>29037700</v>
      </c>
      <c r="BJ4" s="230">
        <v>9194600</v>
      </c>
      <c r="BK4" s="229">
        <v>0.31659999999999999</v>
      </c>
      <c r="BL4" s="230">
        <v>18550400</v>
      </c>
      <c r="BM4" s="230">
        <v>14033700</v>
      </c>
      <c r="BN4" s="230">
        <v>4516700</v>
      </c>
      <c r="BO4" s="229">
        <v>0.32179999999999997</v>
      </c>
      <c r="BP4" s="230">
        <v>73423500</v>
      </c>
      <c r="BQ4" s="230">
        <v>53710600</v>
      </c>
      <c r="BR4" s="230">
        <v>19712900</v>
      </c>
      <c r="BS4" s="229">
        <v>0.36699999999999999</v>
      </c>
      <c r="BT4" s="230">
        <v>6863398</v>
      </c>
      <c r="BU4" s="230">
        <v>6302317</v>
      </c>
      <c r="BV4" s="230">
        <v>561081</v>
      </c>
      <c r="BW4" s="229">
        <v>8.8999999999999996E-2</v>
      </c>
      <c r="BX4" s="230">
        <v>83734100</v>
      </c>
      <c r="BY4" s="230">
        <v>81610600</v>
      </c>
      <c r="BZ4" s="230">
        <v>2123500</v>
      </c>
      <c r="CA4" s="229">
        <v>2.5999999999999999E-2</v>
      </c>
      <c r="CB4" s="230">
        <v>81657100</v>
      </c>
      <c r="CC4" s="230">
        <v>80045100</v>
      </c>
      <c r="CD4" s="230">
        <v>1612000</v>
      </c>
      <c r="CE4" s="229">
        <v>2.01E-2</v>
      </c>
      <c r="CF4" s="230">
        <v>1965400</v>
      </c>
      <c r="CG4" s="230">
        <v>1497300</v>
      </c>
      <c r="CH4" s="230">
        <v>468100</v>
      </c>
      <c r="CI4" s="229">
        <v>0.31259999999999999</v>
      </c>
      <c r="CJ4" s="230">
        <v>111600</v>
      </c>
      <c r="CK4" s="230">
        <v>68200</v>
      </c>
      <c r="CL4" s="230">
        <v>43400</v>
      </c>
      <c r="CM4" s="229">
        <v>0.63639999999999997</v>
      </c>
      <c r="CN4" s="230">
        <v>22186700</v>
      </c>
      <c r="CO4" s="230">
        <v>17180200</v>
      </c>
      <c r="CP4" s="230">
        <v>5006500</v>
      </c>
      <c r="CQ4" s="229">
        <v>0.29139999999999999</v>
      </c>
      <c r="CR4" s="230">
        <v>13206000</v>
      </c>
      <c r="CS4" s="230">
        <v>13094400</v>
      </c>
      <c r="CT4" s="230">
        <v>111600</v>
      </c>
      <c r="CU4" s="229">
        <v>8.5000000000000006E-3</v>
      </c>
      <c r="CV4" s="230">
        <v>119126800</v>
      </c>
      <c r="CW4" s="230">
        <v>111885200</v>
      </c>
      <c r="CX4" s="230">
        <v>7241600</v>
      </c>
      <c r="CY4" s="229">
        <v>6.4699999999999994E-2</v>
      </c>
      <c r="CZ4" s="228">
        <v>37.72</v>
      </c>
      <c r="DA4" s="228">
        <v>34.72</v>
      </c>
      <c r="DB4" s="228">
        <v>3</v>
      </c>
      <c r="DC4" s="228">
        <v>3</v>
      </c>
      <c r="DD4" s="228">
        <v>37.35</v>
      </c>
      <c r="DE4" s="228">
        <v>37.22</v>
      </c>
      <c r="DF4" s="228">
        <v>0.37</v>
      </c>
      <c r="DG4" s="228">
        <v>0.13</v>
      </c>
      <c r="DH4" s="228">
        <v>37.86</v>
      </c>
      <c r="DI4" s="228">
        <v>34.39</v>
      </c>
      <c r="DJ4" s="228">
        <v>3.47</v>
      </c>
      <c r="DK4" s="228">
        <v>3.47</v>
      </c>
      <c r="DL4" s="228">
        <v>37.409999999999997</v>
      </c>
      <c r="DM4" s="228">
        <v>35.4</v>
      </c>
      <c r="DN4" s="228">
        <v>2.0099999999999998</v>
      </c>
      <c r="DO4" s="228">
        <v>2.0099999999999998</v>
      </c>
      <c r="DP4" s="228">
        <v>0.6</v>
      </c>
      <c r="DQ4" s="228">
        <v>0.76</v>
      </c>
      <c r="DR4" s="228">
        <v>-0.16</v>
      </c>
      <c r="DS4" s="229">
        <v>-0.21049999999999999</v>
      </c>
      <c r="DT4" s="228">
        <v>360</v>
      </c>
      <c r="DU4" s="228">
        <v>320</v>
      </c>
      <c r="DV4" s="228">
        <v>0.49</v>
      </c>
      <c r="DW4" s="228">
        <v>0.48</v>
      </c>
      <c r="DX4" s="228">
        <v>0.01</v>
      </c>
      <c r="DY4" s="229">
        <v>2.0799999999999999E-2</v>
      </c>
      <c r="DZ4" s="229">
        <v>2.4799999999999999E-2</v>
      </c>
      <c r="EA4" s="230">
        <v>1565500</v>
      </c>
      <c r="EB4" s="229">
        <v>8.9999999999999998E-4</v>
      </c>
      <c r="EC4" s="229">
        <v>2.4799999999999999E-2</v>
      </c>
      <c r="ED4" s="228">
        <v>1.41</v>
      </c>
      <c r="EE4" s="229">
        <v>4.1000000000000003E-3</v>
      </c>
      <c r="EF4" s="230">
        <v>3372995</v>
      </c>
      <c r="EG4" s="230">
        <v>3219017</v>
      </c>
      <c r="EH4" s="229">
        <v>4.7800000000000002E-2</v>
      </c>
      <c r="EI4" s="229">
        <v>0.4914</v>
      </c>
      <c r="EJ4" s="231">
        <v>139813.82</v>
      </c>
      <c r="EK4" s="231">
        <v>63682.01</v>
      </c>
      <c r="EL4" s="231">
        <v>57628.11</v>
      </c>
      <c r="EM4" s="231">
        <v>4864</v>
      </c>
      <c r="EN4" s="231">
        <v>261123.94</v>
      </c>
      <c r="EO4" s="231">
        <v>193335.37</v>
      </c>
      <c r="EP4" s="231">
        <v>67788.570000000007</v>
      </c>
      <c r="EQ4" s="229">
        <v>0.35060000000000002</v>
      </c>
      <c r="ER4" s="231">
        <v>80233</v>
      </c>
      <c r="ES4" s="231">
        <v>43887</v>
      </c>
      <c r="ET4" s="231">
        <v>288347</v>
      </c>
      <c r="EU4" s="231">
        <v>122657000</v>
      </c>
      <c r="EV4" s="231">
        <v>412467</v>
      </c>
      <c r="EW4" s="231">
        <v>395580</v>
      </c>
      <c r="EX4" s="231">
        <v>16887</v>
      </c>
      <c r="EY4" s="229">
        <v>4.2700000000000002E-2</v>
      </c>
      <c r="EZ4" s="229">
        <v>0.97119999999999995</v>
      </c>
      <c r="FA4" s="227" t="s">
        <v>567</v>
      </c>
      <c r="FB4" s="161">
        <f t="shared" si="0"/>
        <v>2077000</v>
      </c>
    </row>
    <row r="5" spans="1:158" ht="17.25" hidden="1" thickBot="1" x14ac:dyDescent="0.3">
      <c r="A5" s="226">
        <v>46064</v>
      </c>
      <c r="B5" s="227" t="s">
        <v>161</v>
      </c>
      <c r="C5" s="227" t="s">
        <v>579</v>
      </c>
      <c r="D5" s="228">
        <v>675</v>
      </c>
      <c r="E5" s="231">
        <v>1036.7</v>
      </c>
      <c r="F5" s="231">
        <v>1019.55</v>
      </c>
      <c r="G5" s="228">
        <v>17.149999999999999</v>
      </c>
      <c r="H5" s="229">
        <v>1.6799999999999999E-2</v>
      </c>
      <c r="I5" s="231">
        <v>1033.8</v>
      </c>
      <c r="J5" s="231">
        <v>1016.75</v>
      </c>
      <c r="K5" s="228">
        <v>17.05</v>
      </c>
      <c r="L5" s="229">
        <v>1.6799999999999999E-2</v>
      </c>
      <c r="M5" s="231">
        <v>1036.7</v>
      </c>
      <c r="N5" s="231">
        <v>1019.55</v>
      </c>
      <c r="O5" s="228">
        <v>17.149999999999999</v>
      </c>
      <c r="P5" s="229">
        <v>1.6799999999999999E-2</v>
      </c>
      <c r="Q5" s="231">
        <v>1043.05</v>
      </c>
      <c r="R5" s="231">
        <v>1024.55</v>
      </c>
      <c r="S5" s="228">
        <v>18.5</v>
      </c>
      <c r="T5" s="229">
        <v>1.8100000000000002E-2</v>
      </c>
      <c r="U5" s="231">
        <v>1045.3</v>
      </c>
      <c r="V5" s="231">
        <v>1031.45</v>
      </c>
      <c r="W5" s="228">
        <v>13.85</v>
      </c>
      <c r="X5" s="229">
        <v>1.34E-2</v>
      </c>
      <c r="Y5" s="228">
        <v>2.9</v>
      </c>
      <c r="Z5" s="228">
        <v>2.8</v>
      </c>
      <c r="AA5" s="228">
        <v>0.1</v>
      </c>
      <c r="AB5" s="229">
        <v>2.8E-3</v>
      </c>
      <c r="AC5" s="228">
        <v>2.9</v>
      </c>
      <c r="AD5" s="228">
        <v>2.8</v>
      </c>
      <c r="AE5" s="228">
        <v>0.1</v>
      </c>
      <c r="AF5" s="229">
        <v>2.8E-3</v>
      </c>
      <c r="AG5" s="228">
        <v>9.25</v>
      </c>
      <c r="AH5" s="228">
        <v>7.8</v>
      </c>
      <c r="AI5" s="228">
        <v>1.45</v>
      </c>
      <c r="AJ5" s="229">
        <v>8.8999999999999999E-3</v>
      </c>
      <c r="AK5" s="228">
        <v>11.5</v>
      </c>
      <c r="AL5" s="228">
        <v>14.7</v>
      </c>
      <c r="AM5" s="228">
        <v>-3.2</v>
      </c>
      <c r="AN5" s="229">
        <v>1.11E-2</v>
      </c>
      <c r="AO5" s="231">
        <v>1032.46</v>
      </c>
      <c r="AP5" s="231">
        <v>1037.21</v>
      </c>
      <c r="AQ5" s="228">
        <v>0</v>
      </c>
      <c r="AR5" s="230">
        <v>1912275</v>
      </c>
      <c r="AS5" s="230">
        <v>1720575</v>
      </c>
      <c r="AT5" s="230">
        <v>191700</v>
      </c>
      <c r="AU5" s="229">
        <v>0.1114</v>
      </c>
      <c r="AV5" s="230">
        <v>1850850</v>
      </c>
      <c r="AW5" s="230">
        <v>1637550</v>
      </c>
      <c r="AX5" s="230">
        <v>213300</v>
      </c>
      <c r="AY5" s="229">
        <v>0.1303</v>
      </c>
      <c r="AZ5" s="230">
        <v>59400</v>
      </c>
      <c r="BA5" s="230">
        <v>78300</v>
      </c>
      <c r="BB5" s="230">
        <v>-18900</v>
      </c>
      <c r="BC5" s="229">
        <v>-0.2414</v>
      </c>
      <c r="BD5" s="230">
        <v>2025</v>
      </c>
      <c r="BE5" s="230">
        <v>4725</v>
      </c>
      <c r="BF5" s="230">
        <v>-2700</v>
      </c>
      <c r="BG5" s="229">
        <v>-0.57140000000000002</v>
      </c>
      <c r="BH5" s="230">
        <v>2008125</v>
      </c>
      <c r="BI5" s="230">
        <v>1737450</v>
      </c>
      <c r="BJ5" s="230">
        <v>270675</v>
      </c>
      <c r="BK5" s="229">
        <v>0.15579999999999999</v>
      </c>
      <c r="BL5" s="230">
        <v>1447875</v>
      </c>
      <c r="BM5" s="230">
        <v>2041200</v>
      </c>
      <c r="BN5" s="230">
        <v>-593325</v>
      </c>
      <c r="BO5" s="229">
        <v>-0.29070000000000001</v>
      </c>
      <c r="BP5" s="230">
        <v>5368275</v>
      </c>
      <c r="BQ5" s="230">
        <v>5499225</v>
      </c>
      <c r="BR5" s="230">
        <v>-130950</v>
      </c>
      <c r="BS5" s="229">
        <v>-2.3800000000000002E-2</v>
      </c>
      <c r="BT5" s="230">
        <v>956963</v>
      </c>
      <c r="BU5" s="230">
        <v>1050211</v>
      </c>
      <c r="BV5" s="230">
        <v>-93248</v>
      </c>
      <c r="BW5" s="229">
        <v>-8.8800000000000004E-2</v>
      </c>
      <c r="BX5" s="230">
        <v>21182175</v>
      </c>
      <c r="BY5" s="230">
        <v>21050550</v>
      </c>
      <c r="BZ5" s="230">
        <v>131625</v>
      </c>
      <c r="CA5" s="229">
        <v>6.3E-3</v>
      </c>
      <c r="CB5" s="230">
        <v>20851425</v>
      </c>
      <c r="CC5" s="230">
        <v>20726550</v>
      </c>
      <c r="CD5" s="230">
        <v>124875</v>
      </c>
      <c r="CE5" s="229">
        <v>6.0000000000000001E-3</v>
      </c>
      <c r="CF5" s="230">
        <v>277425</v>
      </c>
      <c r="CG5" s="230">
        <v>268650</v>
      </c>
      <c r="CH5" s="230">
        <v>8775</v>
      </c>
      <c r="CI5" s="229">
        <v>3.27E-2</v>
      </c>
      <c r="CJ5" s="230">
        <v>53325</v>
      </c>
      <c r="CK5" s="230">
        <v>55350</v>
      </c>
      <c r="CL5" s="230">
        <v>-2025</v>
      </c>
      <c r="CM5" s="229">
        <v>-3.6600000000000001E-2</v>
      </c>
      <c r="CN5" s="230">
        <v>4009500</v>
      </c>
      <c r="CO5" s="230">
        <v>4147875</v>
      </c>
      <c r="CP5" s="230">
        <v>-138375</v>
      </c>
      <c r="CQ5" s="229">
        <v>-3.3399999999999999E-2</v>
      </c>
      <c r="CR5" s="230">
        <v>3392550</v>
      </c>
      <c r="CS5" s="230">
        <v>3510000</v>
      </c>
      <c r="CT5" s="230">
        <v>-117450</v>
      </c>
      <c r="CU5" s="229">
        <v>-3.3500000000000002E-2</v>
      </c>
      <c r="CV5" s="230">
        <v>28584225</v>
      </c>
      <c r="CW5" s="230">
        <v>28708425</v>
      </c>
      <c r="CX5" s="230">
        <v>-124200</v>
      </c>
      <c r="CY5" s="229">
        <v>-4.3E-3</v>
      </c>
      <c r="CZ5" s="228">
        <v>40.659999999999997</v>
      </c>
      <c r="DA5" s="228">
        <v>39.770000000000003</v>
      </c>
      <c r="DB5" s="228">
        <v>0.89</v>
      </c>
      <c r="DC5" s="228">
        <v>0.89</v>
      </c>
      <c r="DD5" s="228">
        <v>55.08</v>
      </c>
      <c r="DE5" s="228">
        <v>55.17</v>
      </c>
      <c r="DF5" s="228">
        <v>-14.42</v>
      </c>
      <c r="DG5" s="228">
        <v>-0.09</v>
      </c>
      <c r="DH5" s="228">
        <v>37.86</v>
      </c>
      <c r="DI5" s="228">
        <v>38.67</v>
      </c>
      <c r="DJ5" s="228">
        <v>-0.81</v>
      </c>
      <c r="DK5" s="228">
        <v>-0.81</v>
      </c>
      <c r="DL5" s="228">
        <v>44.54</v>
      </c>
      <c r="DM5" s="228">
        <v>40.69</v>
      </c>
      <c r="DN5" s="228">
        <v>3.85</v>
      </c>
      <c r="DO5" s="228">
        <v>3.85</v>
      </c>
      <c r="DP5" s="228">
        <v>0.85</v>
      </c>
      <c r="DQ5" s="228">
        <v>0.85</v>
      </c>
      <c r="DR5" s="228">
        <v>0</v>
      </c>
      <c r="DS5" s="229">
        <v>0</v>
      </c>
      <c r="DT5" s="231">
        <v>1000</v>
      </c>
      <c r="DU5" s="228">
        <v>900</v>
      </c>
      <c r="DV5" s="228">
        <v>0.72</v>
      </c>
      <c r="DW5" s="228">
        <v>1.17</v>
      </c>
      <c r="DX5" s="228">
        <v>-0.45</v>
      </c>
      <c r="DY5" s="229">
        <v>-0.3846</v>
      </c>
      <c r="DZ5" s="229">
        <v>1.5599999999999999E-2</v>
      </c>
      <c r="EA5" s="230">
        <v>324000</v>
      </c>
      <c r="EB5" s="229">
        <v>6.1000000000000004E-3</v>
      </c>
      <c r="EC5" s="229">
        <v>1.5599999999999999E-2</v>
      </c>
      <c r="ED5" s="228">
        <v>4.75</v>
      </c>
      <c r="EE5" s="229">
        <v>4.5999999999999999E-3</v>
      </c>
      <c r="EF5" s="230">
        <v>400813</v>
      </c>
      <c r="EG5" s="230">
        <v>322950</v>
      </c>
      <c r="EH5" s="229">
        <v>0.24110000000000001</v>
      </c>
      <c r="EI5" s="229">
        <v>0.41880000000000001</v>
      </c>
      <c r="EJ5" s="231">
        <v>21792.51</v>
      </c>
      <c r="EK5" s="231">
        <v>13821.73</v>
      </c>
      <c r="EL5" s="231">
        <v>19746.599999999999</v>
      </c>
      <c r="EM5" s="231">
        <v>3074</v>
      </c>
      <c r="EN5" s="231">
        <v>55360.84</v>
      </c>
      <c r="EO5" s="231">
        <v>56137.5</v>
      </c>
      <c r="EP5" s="228">
        <v>-776.66</v>
      </c>
      <c r="EQ5" s="229">
        <v>-1.38E-2</v>
      </c>
      <c r="ER5" s="231">
        <v>39804</v>
      </c>
      <c r="ES5" s="231">
        <v>31095</v>
      </c>
      <c r="ET5" s="231">
        <v>219618</v>
      </c>
      <c r="EU5" s="231">
        <v>43791427</v>
      </c>
      <c r="EV5" s="231">
        <v>290517</v>
      </c>
      <c r="EW5" s="231">
        <v>287976</v>
      </c>
      <c r="EX5" s="231">
        <v>2541</v>
      </c>
      <c r="EY5" s="229">
        <v>8.8000000000000005E-3</v>
      </c>
      <c r="EZ5" s="229">
        <v>0.65269999999999995</v>
      </c>
      <c r="FA5" s="227" t="s">
        <v>555</v>
      </c>
      <c r="FB5" s="161">
        <f t="shared" si="0"/>
        <v>330750</v>
      </c>
    </row>
    <row r="6" spans="1:158" ht="17.25" hidden="1" thickBot="1" x14ac:dyDescent="0.3">
      <c r="A6" s="226">
        <v>46064</v>
      </c>
      <c r="B6" s="227" t="s">
        <v>215</v>
      </c>
      <c r="C6" s="227" t="s">
        <v>159</v>
      </c>
      <c r="D6" s="228">
        <v>309</v>
      </c>
      <c r="E6" s="231">
        <v>2236.6999999999998</v>
      </c>
      <c r="F6" s="231">
        <v>2229.8000000000002</v>
      </c>
      <c r="G6" s="228">
        <v>6.9</v>
      </c>
      <c r="H6" s="229">
        <v>3.0999999999999999E-3</v>
      </c>
      <c r="I6" s="231">
        <v>2234.4</v>
      </c>
      <c r="J6" s="231">
        <v>2228.4</v>
      </c>
      <c r="K6" s="228">
        <v>6</v>
      </c>
      <c r="L6" s="229">
        <v>2.7000000000000001E-3</v>
      </c>
      <c r="M6" s="231">
        <v>2236.6999999999998</v>
      </c>
      <c r="N6" s="231">
        <v>2229.8000000000002</v>
      </c>
      <c r="O6" s="228">
        <v>6.9</v>
      </c>
      <c r="P6" s="229">
        <v>3.0999999999999999E-3</v>
      </c>
      <c r="Q6" s="231">
        <v>2235.1999999999998</v>
      </c>
      <c r="R6" s="231">
        <v>2231.6999999999998</v>
      </c>
      <c r="S6" s="228">
        <v>3.5</v>
      </c>
      <c r="T6" s="229">
        <v>1.6000000000000001E-3</v>
      </c>
      <c r="U6" s="231">
        <v>2235.6999999999998</v>
      </c>
      <c r="V6" s="231">
        <v>2236.6</v>
      </c>
      <c r="W6" s="228">
        <v>-0.9</v>
      </c>
      <c r="X6" s="229">
        <v>-4.0000000000000002E-4</v>
      </c>
      <c r="Y6" s="228">
        <v>2.2999999999999998</v>
      </c>
      <c r="Z6" s="228">
        <v>1.4</v>
      </c>
      <c r="AA6" s="228">
        <v>0.9</v>
      </c>
      <c r="AB6" s="229">
        <v>1E-3</v>
      </c>
      <c r="AC6" s="228">
        <v>2.2999999999999998</v>
      </c>
      <c r="AD6" s="228">
        <v>1.4</v>
      </c>
      <c r="AE6" s="228">
        <v>0.9</v>
      </c>
      <c r="AF6" s="229">
        <v>1E-3</v>
      </c>
      <c r="AG6" s="228">
        <v>0.8</v>
      </c>
      <c r="AH6" s="228">
        <v>3.3</v>
      </c>
      <c r="AI6" s="228">
        <v>-2.5</v>
      </c>
      <c r="AJ6" s="229">
        <v>4.0000000000000002E-4</v>
      </c>
      <c r="AK6" s="228">
        <v>1.3</v>
      </c>
      <c r="AL6" s="228">
        <v>8.1999999999999993</v>
      </c>
      <c r="AM6" s="228">
        <v>-6.9</v>
      </c>
      <c r="AN6" s="229">
        <v>5.9999999999999995E-4</v>
      </c>
      <c r="AO6" s="231">
        <v>2230</v>
      </c>
      <c r="AP6" s="231">
        <v>2228.62</v>
      </c>
      <c r="AQ6" s="228">
        <v>0</v>
      </c>
      <c r="AR6" s="230">
        <v>2288145</v>
      </c>
      <c r="AS6" s="230">
        <v>4999002</v>
      </c>
      <c r="AT6" s="230">
        <v>-2710857</v>
      </c>
      <c r="AU6" s="229">
        <v>-0.5423</v>
      </c>
      <c r="AV6" s="230">
        <v>1642953</v>
      </c>
      <c r="AW6" s="230">
        <v>4343922</v>
      </c>
      <c r="AX6" s="230">
        <v>-2700969</v>
      </c>
      <c r="AY6" s="229">
        <v>-0.62180000000000002</v>
      </c>
      <c r="AZ6" s="230">
        <v>577830</v>
      </c>
      <c r="BA6" s="230">
        <v>573813</v>
      </c>
      <c r="BB6" s="230">
        <v>4017</v>
      </c>
      <c r="BC6" s="229">
        <v>7.0000000000000001E-3</v>
      </c>
      <c r="BD6" s="230">
        <v>67362</v>
      </c>
      <c r="BE6" s="230">
        <v>81267</v>
      </c>
      <c r="BF6" s="230">
        <v>-13905</v>
      </c>
      <c r="BG6" s="229">
        <v>-0.1711</v>
      </c>
      <c r="BH6" s="230">
        <v>4609353</v>
      </c>
      <c r="BI6" s="230">
        <v>14184027</v>
      </c>
      <c r="BJ6" s="230">
        <v>-9574674</v>
      </c>
      <c r="BK6" s="229">
        <v>-0.67500000000000004</v>
      </c>
      <c r="BL6" s="230">
        <v>3449058</v>
      </c>
      <c r="BM6" s="230">
        <v>15789900</v>
      </c>
      <c r="BN6" s="230">
        <v>-12340842</v>
      </c>
      <c r="BO6" s="229">
        <v>-0.78159999999999996</v>
      </c>
      <c r="BP6" s="230">
        <v>10346556</v>
      </c>
      <c r="BQ6" s="230">
        <v>34972929</v>
      </c>
      <c r="BR6" s="230">
        <v>-24626373</v>
      </c>
      <c r="BS6" s="229">
        <v>-0.70420000000000005</v>
      </c>
      <c r="BT6" s="230">
        <v>728198</v>
      </c>
      <c r="BU6" s="230">
        <v>1790366</v>
      </c>
      <c r="BV6" s="230">
        <v>-1062168</v>
      </c>
      <c r="BW6" s="229">
        <v>-0.59330000000000005</v>
      </c>
      <c r="BX6" s="230">
        <v>18874338</v>
      </c>
      <c r="BY6" s="230">
        <v>18903693</v>
      </c>
      <c r="BZ6" s="230">
        <v>-29355</v>
      </c>
      <c r="CA6" s="229">
        <v>-1.6000000000000001E-3</v>
      </c>
      <c r="CB6" s="230">
        <v>17117364</v>
      </c>
      <c r="CC6" s="230">
        <v>17559543</v>
      </c>
      <c r="CD6" s="230">
        <v>-442179</v>
      </c>
      <c r="CE6" s="229">
        <v>-2.52E-2</v>
      </c>
      <c r="CF6" s="230">
        <v>1541910</v>
      </c>
      <c r="CG6" s="230">
        <v>1137429</v>
      </c>
      <c r="CH6" s="230">
        <v>404481</v>
      </c>
      <c r="CI6" s="229">
        <v>0.35560000000000003</v>
      </c>
      <c r="CJ6" s="230">
        <v>215064</v>
      </c>
      <c r="CK6" s="230">
        <v>206721</v>
      </c>
      <c r="CL6" s="230">
        <v>8343</v>
      </c>
      <c r="CM6" s="229">
        <v>4.0399999999999998E-2</v>
      </c>
      <c r="CN6" s="230">
        <v>8355669</v>
      </c>
      <c r="CO6" s="230">
        <v>8158527</v>
      </c>
      <c r="CP6" s="230">
        <v>197142</v>
      </c>
      <c r="CQ6" s="229">
        <v>2.4199999999999999E-2</v>
      </c>
      <c r="CR6" s="230">
        <v>7634154</v>
      </c>
      <c r="CS6" s="230">
        <v>7670307</v>
      </c>
      <c r="CT6" s="230">
        <v>-36153</v>
      </c>
      <c r="CU6" s="229">
        <v>-4.7000000000000002E-3</v>
      </c>
      <c r="CV6" s="230">
        <v>34864161</v>
      </c>
      <c r="CW6" s="230">
        <v>34732527</v>
      </c>
      <c r="CX6" s="230">
        <v>131634</v>
      </c>
      <c r="CY6" s="229">
        <v>3.8E-3</v>
      </c>
      <c r="CZ6" s="228">
        <v>38.020000000000003</v>
      </c>
      <c r="DA6" s="228">
        <v>38.979999999999997</v>
      </c>
      <c r="DB6" s="228">
        <v>-0.96</v>
      </c>
      <c r="DC6" s="228">
        <v>-0.96</v>
      </c>
      <c r="DD6" s="228">
        <v>49.29</v>
      </c>
      <c r="DE6" s="228">
        <v>49.41</v>
      </c>
      <c r="DF6" s="228">
        <v>-11.27</v>
      </c>
      <c r="DG6" s="228">
        <v>-0.12</v>
      </c>
      <c r="DH6" s="228">
        <v>36.29</v>
      </c>
      <c r="DI6" s="228">
        <v>36.68</v>
      </c>
      <c r="DJ6" s="228">
        <v>-0.39</v>
      </c>
      <c r="DK6" s="228">
        <v>-0.39</v>
      </c>
      <c r="DL6" s="228">
        <v>40.33</v>
      </c>
      <c r="DM6" s="228">
        <v>41.06</v>
      </c>
      <c r="DN6" s="228">
        <v>-0.73</v>
      </c>
      <c r="DO6" s="228">
        <v>-0.73</v>
      </c>
      <c r="DP6" s="228">
        <v>0.91</v>
      </c>
      <c r="DQ6" s="228">
        <v>0.94</v>
      </c>
      <c r="DR6" s="228">
        <v>-0.03</v>
      </c>
      <c r="DS6" s="229">
        <v>-3.1899999999999998E-2</v>
      </c>
      <c r="DT6" s="231">
        <v>2300</v>
      </c>
      <c r="DU6" s="231">
        <v>2200</v>
      </c>
      <c r="DV6" s="228">
        <v>0.75</v>
      </c>
      <c r="DW6" s="228">
        <v>1.1100000000000001</v>
      </c>
      <c r="DX6" s="228">
        <v>-0.36</v>
      </c>
      <c r="DY6" s="229">
        <v>-0.32429999999999998</v>
      </c>
      <c r="DZ6" s="229">
        <v>9.3100000000000002E-2</v>
      </c>
      <c r="EA6" s="230">
        <v>1344150</v>
      </c>
      <c r="EB6" s="229">
        <v>-6.9999999999999999E-4</v>
      </c>
      <c r="EC6" s="229">
        <v>9.3100000000000002E-2</v>
      </c>
      <c r="ED6" s="228">
        <v>-1.38</v>
      </c>
      <c r="EE6" s="229">
        <v>-5.9999999999999995E-4</v>
      </c>
      <c r="EF6" s="230">
        <v>282064</v>
      </c>
      <c r="EG6" s="230">
        <v>283605</v>
      </c>
      <c r="EH6" s="229">
        <v>-5.4000000000000003E-3</v>
      </c>
      <c r="EI6" s="229">
        <v>0.38729999999999998</v>
      </c>
      <c r="EJ6" s="231">
        <v>108151.38</v>
      </c>
      <c r="EK6" s="231">
        <v>74352.37</v>
      </c>
      <c r="EL6" s="231">
        <v>51017.37</v>
      </c>
      <c r="EM6" s="231">
        <v>10593</v>
      </c>
      <c r="EN6" s="231">
        <v>233521.12</v>
      </c>
      <c r="EO6" s="231">
        <v>786535.26</v>
      </c>
      <c r="EP6" s="231">
        <v>-553014.14</v>
      </c>
      <c r="EQ6" s="229">
        <v>-0.70309999999999995</v>
      </c>
      <c r="ER6" s="231">
        <v>189675</v>
      </c>
      <c r="ES6" s="231">
        <v>160154</v>
      </c>
      <c r="ET6" s="231">
        <v>422137</v>
      </c>
      <c r="EU6" s="231">
        <v>49117354</v>
      </c>
      <c r="EV6" s="231">
        <v>771966</v>
      </c>
      <c r="EW6" s="231">
        <v>767239</v>
      </c>
      <c r="EX6" s="231">
        <v>4727</v>
      </c>
      <c r="EY6" s="229">
        <v>6.1999999999999998E-3</v>
      </c>
      <c r="EZ6" s="229">
        <v>0.70979999999999999</v>
      </c>
      <c r="FA6" s="227" t="s">
        <v>556</v>
      </c>
      <c r="FB6" s="161">
        <f t="shared" si="0"/>
        <v>1756974</v>
      </c>
    </row>
    <row r="7" spans="1:158" ht="17.25" hidden="1" thickBot="1" x14ac:dyDescent="0.3">
      <c r="A7" s="226">
        <v>46064</v>
      </c>
      <c r="B7" s="227" t="s">
        <v>161</v>
      </c>
      <c r="C7" s="227" t="s">
        <v>606</v>
      </c>
      <c r="D7" s="228">
        <v>600</v>
      </c>
      <c r="E7" s="228">
        <v>997.6</v>
      </c>
      <c r="F7" s="228">
        <v>981.2</v>
      </c>
      <c r="G7" s="228">
        <v>16.399999999999999</v>
      </c>
      <c r="H7" s="229">
        <v>1.67E-2</v>
      </c>
      <c r="I7" s="228">
        <v>994.75</v>
      </c>
      <c r="J7" s="228">
        <v>978.3</v>
      </c>
      <c r="K7" s="228">
        <v>16.45</v>
      </c>
      <c r="L7" s="229">
        <v>1.6799999999999999E-2</v>
      </c>
      <c r="M7" s="228">
        <v>997.6</v>
      </c>
      <c r="N7" s="228">
        <v>981.2</v>
      </c>
      <c r="O7" s="228">
        <v>16.399999999999999</v>
      </c>
      <c r="P7" s="229">
        <v>1.67E-2</v>
      </c>
      <c r="Q7" s="231">
        <v>1002.85</v>
      </c>
      <c r="R7" s="228">
        <v>986.25</v>
      </c>
      <c r="S7" s="228">
        <v>16.600000000000001</v>
      </c>
      <c r="T7" s="229">
        <v>1.6799999999999999E-2</v>
      </c>
      <c r="U7" s="231">
        <v>1008.9</v>
      </c>
      <c r="V7" s="228">
        <v>993.35</v>
      </c>
      <c r="W7" s="228">
        <v>15.55</v>
      </c>
      <c r="X7" s="229">
        <v>1.5699999999999999E-2</v>
      </c>
      <c r="Y7" s="228">
        <v>2.85</v>
      </c>
      <c r="Z7" s="228">
        <v>2.9</v>
      </c>
      <c r="AA7" s="228">
        <v>-0.05</v>
      </c>
      <c r="AB7" s="229">
        <v>2.8999999999999998E-3</v>
      </c>
      <c r="AC7" s="228">
        <v>2.85</v>
      </c>
      <c r="AD7" s="228">
        <v>2.9</v>
      </c>
      <c r="AE7" s="228">
        <v>-0.05</v>
      </c>
      <c r="AF7" s="229">
        <v>2.8999999999999998E-3</v>
      </c>
      <c r="AG7" s="228">
        <v>8.1</v>
      </c>
      <c r="AH7" s="228">
        <v>7.95</v>
      </c>
      <c r="AI7" s="228">
        <v>0.15</v>
      </c>
      <c r="AJ7" s="229">
        <v>8.0999999999999996E-3</v>
      </c>
      <c r="AK7" s="228">
        <v>14.15</v>
      </c>
      <c r="AL7" s="228">
        <v>15.05</v>
      </c>
      <c r="AM7" s="228">
        <v>-0.9</v>
      </c>
      <c r="AN7" s="229">
        <v>1.4200000000000001E-2</v>
      </c>
      <c r="AO7" s="228">
        <v>992.41</v>
      </c>
      <c r="AP7" s="228">
        <v>996.78</v>
      </c>
      <c r="AQ7" s="228">
        <v>0</v>
      </c>
      <c r="AR7" s="230">
        <v>2952000</v>
      </c>
      <c r="AS7" s="230">
        <v>2843400</v>
      </c>
      <c r="AT7" s="230">
        <v>108600</v>
      </c>
      <c r="AU7" s="229">
        <v>3.8199999999999998E-2</v>
      </c>
      <c r="AV7" s="230">
        <v>2758200</v>
      </c>
      <c r="AW7" s="230">
        <v>2638800</v>
      </c>
      <c r="AX7" s="230">
        <v>119400</v>
      </c>
      <c r="AY7" s="229">
        <v>4.5199999999999997E-2</v>
      </c>
      <c r="AZ7" s="230">
        <v>182400</v>
      </c>
      <c r="BA7" s="230">
        <v>178200</v>
      </c>
      <c r="BB7" s="230">
        <v>4200</v>
      </c>
      <c r="BC7" s="229">
        <v>2.3599999999999999E-2</v>
      </c>
      <c r="BD7" s="230">
        <v>11400</v>
      </c>
      <c r="BE7" s="230">
        <v>26400</v>
      </c>
      <c r="BF7" s="230">
        <v>-15000</v>
      </c>
      <c r="BG7" s="229">
        <v>-0.56820000000000004</v>
      </c>
      <c r="BH7" s="230">
        <v>8622000</v>
      </c>
      <c r="BI7" s="230">
        <v>8134200</v>
      </c>
      <c r="BJ7" s="230">
        <v>487800</v>
      </c>
      <c r="BK7" s="229">
        <v>0.06</v>
      </c>
      <c r="BL7" s="230">
        <v>4106400</v>
      </c>
      <c r="BM7" s="230">
        <v>6438600</v>
      </c>
      <c r="BN7" s="230">
        <v>-2332200</v>
      </c>
      <c r="BO7" s="229">
        <v>-0.36220000000000002</v>
      </c>
      <c r="BP7" s="230">
        <v>15680400</v>
      </c>
      <c r="BQ7" s="230">
        <v>17416200</v>
      </c>
      <c r="BR7" s="230">
        <v>-1735800</v>
      </c>
      <c r="BS7" s="229">
        <v>-9.9699999999999997E-2</v>
      </c>
      <c r="BT7" s="230">
        <v>1704454</v>
      </c>
      <c r="BU7" s="230">
        <v>2315875</v>
      </c>
      <c r="BV7" s="230">
        <v>-611421</v>
      </c>
      <c r="BW7" s="229">
        <v>-0.26400000000000001</v>
      </c>
      <c r="BX7" s="230">
        <v>22464000</v>
      </c>
      <c r="BY7" s="230">
        <v>22388400</v>
      </c>
      <c r="BZ7" s="230">
        <v>75600</v>
      </c>
      <c r="CA7" s="229">
        <v>3.3999999999999998E-3</v>
      </c>
      <c r="CB7" s="230">
        <v>21817200</v>
      </c>
      <c r="CC7" s="230">
        <v>21730800</v>
      </c>
      <c r="CD7" s="230">
        <v>86400</v>
      </c>
      <c r="CE7" s="229">
        <v>4.0000000000000001E-3</v>
      </c>
      <c r="CF7" s="230">
        <v>514200</v>
      </c>
      <c r="CG7" s="230">
        <v>525000</v>
      </c>
      <c r="CH7" s="230">
        <v>-10800</v>
      </c>
      <c r="CI7" s="229">
        <v>-2.06E-2</v>
      </c>
      <c r="CJ7" s="230">
        <v>132600</v>
      </c>
      <c r="CK7" s="230">
        <v>132600</v>
      </c>
      <c r="CL7" s="228">
        <v>0</v>
      </c>
      <c r="CM7" s="229">
        <v>0</v>
      </c>
      <c r="CN7" s="230">
        <v>9574800</v>
      </c>
      <c r="CO7" s="230">
        <v>9534000</v>
      </c>
      <c r="CP7" s="230">
        <v>40800</v>
      </c>
      <c r="CQ7" s="229">
        <v>4.3E-3</v>
      </c>
      <c r="CR7" s="230">
        <v>8216400</v>
      </c>
      <c r="CS7" s="230">
        <v>8296800</v>
      </c>
      <c r="CT7" s="230">
        <v>-80400</v>
      </c>
      <c r="CU7" s="229">
        <v>-9.7000000000000003E-3</v>
      </c>
      <c r="CV7" s="230">
        <v>40255200</v>
      </c>
      <c r="CW7" s="230">
        <v>40219200</v>
      </c>
      <c r="CX7" s="230">
        <v>36000</v>
      </c>
      <c r="CY7" s="229">
        <v>8.9999999999999998E-4</v>
      </c>
      <c r="CZ7" s="228">
        <v>38.049999999999997</v>
      </c>
      <c r="DA7" s="228">
        <v>38.86</v>
      </c>
      <c r="DB7" s="228">
        <v>-0.81</v>
      </c>
      <c r="DC7" s="228">
        <v>-0.81</v>
      </c>
      <c r="DD7" s="228">
        <v>58.82</v>
      </c>
      <c r="DE7" s="228">
        <v>58.92</v>
      </c>
      <c r="DF7" s="228">
        <v>-20.77</v>
      </c>
      <c r="DG7" s="228">
        <v>-0.1</v>
      </c>
      <c r="DH7" s="228">
        <v>36.25</v>
      </c>
      <c r="DI7" s="228">
        <v>37.56</v>
      </c>
      <c r="DJ7" s="228">
        <v>-1.31</v>
      </c>
      <c r="DK7" s="228">
        <v>-1.31</v>
      </c>
      <c r="DL7" s="228">
        <v>41.84</v>
      </c>
      <c r="DM7" s="228">
        <v>40.51</v>
      </c>
      <c r="DN7" s="228">
        <v>1.33</v>
      </c>
      <c r="DO7" s="228">
        <v>1.33</v>
      </c>
      <c r="DP7" s="228">
        <v>0.86</v>
      </c>
      <c r="DQ7" s="228">
        <v>0.87</v>
      </c>
      <c r="DR7" s="228">
        <v>-0.01</v>
      </c>
      <c r="DS7" s="229">
        <v>-1.15E-2</v>
      </c>
      <c r="DT7" s="231">
        <v>1000</v>
      </c>
      <c r="DU7" s="228">
        <v>900</v>
      </c>
      <c r="DV7" s="228">
        <v>0.48</v>
      </c>
      <c r="DW7" s="228">
        <v>0.79</v>
      </c>
      <c r="DX7" s="228">
        <v>-0.31</v>
      </c>
      <c r="DY7" s="229">
        <v>-0.39240000000000003</v>
      </c>
      <c r="DZ7" s="229">
        <v>2.8799999999999999E-2</v>
      </c>
      <c r="EA7" s="230">
        <v>657600</v>
      </c>
      <c r="EB7" s="229">
        <v>5.3E-3</v>
      </c>
      <c r="EC7" s="229">
        <v>2.8799999999999999E-2</v>
      </c>
      <c r="ED7" s="228">
        <v>4.37</v>
      </c>
      <c r="EE7" s="229">
        <v>4.4000000000000003E-3</v>
      </c>
      <c r="EF7" s="230">
        <v>673302</v>
      </c>
      <c r="EG7" s="230">
        <v>506443</v>
      </c>
      <c r="EH7" s="229">
        <v>0.32950000000000002</v>
      </c>
      <c r="EI7" s="229">
        <v>0.39500000000000002</v>
      </c>
      <c r="EJ7" s="231">
        <v>89265.05</v>
      </c>
      <c r="EK7" s="231">
        <v>38567.19</v>
      </c>
      <c r="EL7" s="231">
        <v>29305.08</v>
      </c>
      <c r="EM7" s="231">
        <v>5548</v>
      </c>
      <c r="EN7" s="231">
        <v>157137.32</v>
      </c>
      <c r="EO7" s="231">
        <v>172054.28</v>
      </c>
      <c r="EP7" s="231">
        <v>-14916.96</v>
      </c>
      <c r="EQ7" s="229">
        <v>-8.6699999999999999E-2</v>
      </c>
      <c r="ER7" s="231">
        <v>93634</v>
      </c>
      <c r="ES7" s="231">
        <v>71514</v>
      </c>
      <c r="ET7" s="231">
        <v>224143</v>
      </c>
      <c r="EU7" s="231">
        <v>92816927</v>
      </c>
      <c r="EV7" s="231">
        <v>389290</v>
      </c>
      <c r="EW7" s="231">
        <v>384390</v>
      </c>
      <c r="EX7" s="231">
        <v>4900</v>
      </c>
      <c r="EY7" s="229">
        <v>1.2699999999999999E-2</v>
      </c>
      <c r="EZ7" s="229">
        <v>0.43369999999999997</v>
      </c>
      <c r="FA7" s="227" t="s">
        <v>555</v>
      </c>
      <c r="FB7" s="161">
        <f t="shared" si="0"/>
        <v>646800</v>
      </c>
    </row>
    <row r="8" spans="1:158" ht="17.25" hidden="1" thickBot="1" x14ac:dyDescent="0.3">
      <c r="A8" s="226">
        <v>46064</v>
      </c>
      <c r="B8" s="227" t="s">
        <v>215</v>
      </c>
      <c r="C8" s="227" t="s">
        <v>160</v>
      </c>
      <c r="D8" s="228">
        <v>475</v>
      </c>
      <c r="E8" s="231">
        <v>1555.8</v>
      </c>
      <c r="F8" s="231">
        <v>1559.4</v>
      </c>
      <c r="G8" s="228">
        <v>-3.6</v>
      </c>
      <c r="H8" s="229">
        <v>-2.3E-3</v>
      </c>
      <c r="I8" s="231">
        <v>1553.4</v>
      </c>
      <c r="J8" s="231">
        <v>1554.7</v>
      </c>
      <c r="K8" s="228">
        <v>-1.3</v>
      </c>
      <c r="L8" s="229">
        <v>-8.0000000000000004E-4</v>
      </c>
      <c r="M8" s="231">
        <v>1555.8</v>
      </c>
      <c r="N8" s="231">
        <v>1559.4</v>
      </c>
      <c r="O8" s="228">
        <v>-3.6</v>
      </c>
      <c r="P8" s="229">
        <v>-2.3E-3</v>
      </c>
      <c r="Q8" s="231">
        <v>1564.8</v>
      </c>
      <c r="R8" s="231">
        <v>1569.2</v>
      </c>
      <c r="S8" s="228">
        <v>-4.4000000000000004</v>
      </c>
      <c r="T8" s="229">
        <v>-2.8E-3</v>
      </c>
      <c r="U8" s="231">
        <v>1576.8</v>
      </c>
      <c r="V8" s="231">
        <v>1579.7</v>
      </c>
      <c r="W8" s="228">
        <v>-2.9</v>
      </c>
      <c r="X8" s="229">
        <v>-1.8E-3</v>
      </c>
      <c r="Y8" s="228">
        <v>2.4</v>
      </c>
      <c r="Z8" s="228">
        <v>4.7</v>
      </c>
      <c r="AA8" s="228">
        <v>-2.2999999999999998</v>
      </c>
      <c r="AB8" s="229">
        <v>1.5E-3</v>
      </c>
      <c r="AC8" s="228">
        <v>2.4</v>
      </c>
      <c r="AD8" s="228">
        <v>4.7</v>
      </c>
      <c r="AE8" s="228">
        <v>-2.2999999999999998</v>
      </c>
      <c r="AF8" s="229">
        <v>1.5E-3</v>
      </c>
      <c r="AG8" s="228">
        <v>11.4</v>
      </c>
      <c r="AH8" s="228">
        <v>14.5</v>
      </c>
      <c r="AI8" s="228">
        <v>-3.1</v>
      </c>
      <c r="AJ8" s="229">
        <v>7.3000000000000001E-3</v>
      </c>
      <c r="AK8" s="228">
        <v>23.4</v>
      </c>
      <c r="AL8" s="228">
        <v>25</v>
      </c>
      <c r="AM8" s="228">
        <v>-1.6</v>
      </c>
      <c r="AN8" s="229">
        <v>1.5100000000000001E-2</v>
      </c>
      <c r="AO8" s="231">
        <v>1552.89</v>
      </c>
      <c r="AP8" s="231">
        <v>1562.84</v>
      </c>
      <c r="AQ8" s="228">
        <v>0</v>
      </c>
      <c r="AR8" s="230">
        <v>1449225</v>
      </c>
      <c r="AS8" s="230">
        <v>3846550</v>
      </c>
      <c r="AT8" s="230">
        <v>-2397325</v>
      </c>
      <c r="AU8" s="229">
        <v>-0.62319999999999998</v>
      </c>
      <c r="AV8" s="230">
        <v>1312900</v>
      </c>
      <c r="AW8" s="230">
        <v>3574850</v>
      </c>
      <c r="AX8" s="230">
        <v>-2261950</v>
      </c>
      <c r="AY8" s="229">
        <v>-0.63270000000000004</v>
      </c>
      <c r="AZ8" s="230">
        <v>130150</v>
      </c>
      <c r="BA8" s="230">
        <v>250325</v>
      </c>
      <c r="BB8" s="230">
        <v>-120175</v>
      </c>
      <c r="BC8" s="229">
        <v>-0.48010000000000003</v>
      </c>
      <c r="BD8" s="230">
        <v>6175</v>
      </c>
      <c r="BE8" s="230">
        <v>21375</v>
      </c>
      <c r="BF8" s="230">
        <v>-15200</v>
      </c>
      <c r="BG8" s="229">
        <v>-0.71109999999999995</v>
      </c>
      <c r="BH8" s="230">
        <v>6203975</v>
      </c>
      <c r="BI8" s="230">
        <v>13262000</v>
      </c>
      <c r="BJ8" s="230">
        <v>-7058025</v>
      </c>
      <c r="BK8" s="229">
        <v>-0.53220000000000001</v>
      </c>
      <c r="BL8" s="230">
        <v>5636350</v>
      </c>
      <c r="BM8" s="230">
        <v>13100025</v>
      </c>
      <c r="BN8" s="230">
        <v>-7463675</v>
      </c>
      <c r="BO8" s="229">
        <v>-0.56969999999999998</v>
      </c>
      <c r="BP8" s="230">
        <v>13289550</v>
      </c>
      <c r="BQ8" s="230">
        <v>30208575</v>
      </c>
      <c r="BR8" s="230">
        <v>-16919025</v>
      </c>
      <c r="BS8" s="229">
        <v>-0.56010000000000004</v>
      </c>
      <c r="BT8" s="230">
        <v>1529414</v>
      </c>
      <c r="BU8" s="230">
        <v>1874785</v>
      </c>
      <c r="BV8" s="230">
        <v>-345371</v>
      </c>
      <c r="BW8" s="229">
        <v>-0.1842</v>
      </c>
      <c r="BX8" s="230">
        <v>21816750</v>
      </c>
      <c r="BY8" s="230">
        <v>21689450</v>
      </c>
      <c r="BZ8" s="230">
        <v>127300</v>
      </c>
      <c r="CA8" s="229">
        <v>5.8999999999999999E-3</v>
      </c>
      <c r="CB8" s="230">
        <v>20872925</v>
      </c>
      <c r="CC8" s="230">
        <v>20783150</v>
      </c>
      <c r="CD8" s="230">
        <v>89775</v>
      </c>
      <c r="CE8" s="229">
        <v>4.3E-3</v>
      </c>
      <c r="CF8" s="230">
        <v>808450</v>
      </c>
      <c r="CG8" s="230">
        <v>772825</v>
      </c>
      <c r="CH8" s="230">
        <v>35625</v>
      </c>
      <c r="CI8" s="229">
        <v>4.6100000000000002E-2</v>
      </c>
      <c r="CJ8" s="230">
        <v>135375</v>
      </c>
      <c r="CK8" s="230">
        <v>133475</v>
      </c>
      <c r="CL8" s="230">
        <v>1900</v>
      </c>
      <c r="CM8" s="229">
        <v>1.4200000000000001E-2</v>
      </c>
      <c r="CN8" s="230">
        <v>9748900</v>
      </c>
      <c r="CO8" s="230">
        <v>9636800</v>
      </c>
      <c r="CP8" s="230">
        <v>112100</v>
      </c>
      <c r="CQ8" s="229">
        <v>1.1599999999999999E-2</v>
      </c>
      <c r="CR8" s="230">
        <v>8502500</v>
      </c>
      <c r="CS8" s="230">
        <v>8369500</v>
      </c>
      <c r="CT8" s="230">
        <v>133000</v>
      </c>
      <c r="CU8" s="229">
        <v>1.5900000000000001E-2</v>
      </c>
      <c r="CV8" s="230">
        <v>40068150</v>
      </c>
      <c r="CW8" s="230">
        <v>39695750</v>
      </c>
      <c r="CX8" s="230">
        <v>372400</v>
      </c>
      <c r="CY8" s="229">
        <v>9.4000000000000004E-3</v>
      </c>
      <c r="CZ8" s="228">
        <v>28.83</v>
      </c>
      <c r="DA8" s="228">
        <v>29.56</v>
      </c>
      <c r="DB8" s="228">
        <v>-0.73</v>
      </c>
      <c r="DC8" s="228">
        <v>-0.73</v>
      </c>
      <c r="DD8" s="228">
        <v>38.869999999999997</v>
      </c>
      <c r="DE8" s="228">
        <v>38.97</v>
      </c>
      <c r="DF8" s="228">
        <v>-10.039999999999999</v>
      </c>
      <c r="DG8" s="228">
        <v>-0.1</v>
      </c>
      <c r="DH8" s="228">
        <v>27.47</v>
      </c>
      <c r="DI8" s="228">
        <v>27.65</v>
      </c>
      <c r="DJ8" s="228">
        <v>-0.18</v>
      </c>
      <c r="DK8" s="228">
        <v>-0.18</v>
      </c>
      <c r="DL8" s="228">
        <v>30.31</v>
      </c>
      <c r="DM8" s="228">
        <v>31.5</v>
      </c>
      <c r="DN8" s="228">
        <v>-1.19</v>
      </c>
      <c r="DO8" s="228">
        <v>-1.19</v>
      </c>
      <c r="DP8" s="228">
        <v>0.87</v>
      </c>
      <c r="DQ8" s="228">
        <v>0.87</v>
      </c>
      <c r="DR8" s="228">
        <v>0</v>
      </c>
      <c r="DS8" s="229">
        <v>0</v>
      </c>
      <c r="DT8" s="231">
        <v>1600</v>
      </c>
      <c r="DU8" s="231">
        <v>1500</v>
      </c>
      <c r="DV8" s="228">
        <v>0.91</v>
      </c>
      <c r="DW8" s="228">
        <v>0.99</v>
      </c>
      <c r="DX8" s="228">
        <v>-0.08</v>
      </c>
      <c r="DY8" s="229">
        <v>-8.0799999999999997E-2</v>
      </c>
      <c r="DZ8" s="229">
        <v>4.3299999999999998E-2</v>
      </c>
      <c r="EA8" s="230">
        <v>906300</v>
      </c>
      <c r="EB8" s="229">
        <v>5.7999999999999996E-3</v>
      </c>
      <c r="EC8" s="229">
        <v>4.3299999999999998E-2</v>
      </c>
      <c r="ED8" s="228">
        <v>9.9499999999999993</v>
      </c>
      <c r="EE8" s="229">
        <v>6.4000000000000003E-3</v>
      </c>
      <c r="EF8" s="230">
        <v>870932</v>
      </c>
      <c r="EG8" s="230">
        <v>725237</v>
      </c>
      <c r="EH8" s="229">
        <v>0.2009</v>
      </c>
      <c r="EI8" s="229">
        <v>0.56950000000000001</v>
      </c>
      <c r="EJ8" s="231">
        <v>100352.74</v>
      </c>
      <c r="EK8" s="231">
        <v>85029.3</v>
      </c>
      <c r="EL8" s="231">
        <v>22519.15</v>
      </c>
      <c r="EM8" s="231">
        <v>8868</v>
      </c>
      <c r="EN8" s="231">
        <v>207901.19</v>
      </c>
      <c r="EO8" s="231">
        <v>470657.86</v>
      </c>
      <c r="EP8" s="231">
        <v>-262756.67</v>
      </c>
      <c r="EQ8" s="229">
        <v>-0.55830000000000002</v>
      </c>
      <c r="ER8" s="231">
        <v>151607</v>
      </c>
      <c r="ES8" s="231">
        <v>121487</v>
      </c>
      <c r="ET8" s="231">
        <v>339526</v>
      </c>
      <c r="EU8" s="231">
        <v>84394936</v>
      </c>
      <c r="EV8" s="231">
        <v>612621</v>
      </c>
      <c r="EW8" s="231">
        <v>607499</v>
      </c>
      <c r="EX8" s="231">
        <v>5122</v>
      </c>
      <c r="EY8" s="229">
        <v>8.3999999999999995E-3</v>
      </c>
      <c r="EZ8" s="229">
        <v>0.4748</v>
      </c>
      <c r="FA8" s="227" t="s">
        <v>567</v>
      </c>
      <c r="FB8" s="161">
        <f t="shared" si="0"/>
        <v>943825</v>
      </c>
    </row>
    <row r="9" spans="1:158" ht="17.25" hidden="1" thickBot="1" x14ac:dyDescent="0.3">
      <c r="A9" s="226">
        <v>46064</v>
      </c>
      <c r="B9" s="227" t="s">
        <v>170</v>
      </c>
      <c r="C9" s="227" t="s">
        <v>497</v>
      </c>
      <c r="D9" s="228">
        <v>125</v>
      </c>
      <c r="E9" s="231">
        <v>5851.5</v>
      </c>
      <c r="F9" s="231">
        <v>5771.5</v>
      </c>
      <c r="G9" s="228">
        <v>80</v>
      </c>
      <c r="H9" s="229">
        <v>1.3899999999999999E-2</v>
      </c>
      <c r="I9" s="231">
        <v>5890</v>
      </c>
      <c r="J9" s="231">
        <v>5811.5</v>
      </c>
      <c r="K9" s="228">
        <v>78.5</v>
      </c>
      <c r="L9" s="229">
        <v>1.35E-2</v>
      </c>
      <c r="M9" s="231">
        <v>5851.5</v>
      </c>
      <c r="N9" s="231">
        <v>5771.5</v>
      </c>
      <c r="O9" s="228">
        <v>80</v>
      </c>
      <c r="P9" s="229">
        <v>1.3899999999999999E-2</v>
      </c>
      <c r="Q9" s="231">
        <v>5875</v>
      </c>
      <c r="R9" s="231">
        <v>5790.5</v>
      </c>
      <c r="S9" s="228">
        <v>84.5</v>
      </c>
      <c r="T9" s="229">
        <v>1.46E-2</v>
      </c>
      <c r="U9" s="231">
        <v>5740</v>
      </c>
      <c r="V9" s="231">
        <v>5740</v>
      </c>
      <c r="W9" s="228">
        <v>0</v>
      </c>
      <c r="X9" s="229">
        <v>0</v>
      </c>
      <c r="Y9" s="228">
        <v>-38.5</v>
      </c>
      <c r="Z9" s="228">
        <v>-40</v>
      </c>
      <c r="AA9" s="228">
        <v>1.5</v>
      </c>
      <c r="AB9" s="229">
        <v>-6.4999999999999997E-3</v>
      </c>
      <c r="AC9" s="228">
        <v>-38.5</v>
      </c>
      <c r="AD9" s="228">
        <v>-40</v>
      </c>
      <c r="AE9" s="228">
        <v>1.5</v>
      </c>
      <c r="AF9" s="229">
        <v>-6.4999999999999997E-3</v>
      </c>
      <c r="AG9" s="228">
        <v>-15</v>
      </c>
      <c r="AH9" s="228">
        <v>-21</v>
      </c>
      <c r="AI9" s="228">
        <v>6</v>
      </c>
      <c r="AJ9" s="229">
        <v>-2.5000000000000001E-3</v>
      </c>
      <c r="AK9" s="228">
        <v>-150</v>
      </c>
      <c r="AL9" s="228">
        <v>-71.5</v>
      </c>
      <c r="AM9" s="228">
        <v>-78.5</v>
      </c>
      <c r="AN9" s="229">
        <v>-2.5499999999999998E-2</v>
      </c>
      <c r="AO9" s="231">
        <v>5826.29</v>
      </c>
      <c r="AP9" s="231">
        <v>5827.13</v>
      </c>
      <c r="AQ9" s="228">
        <v>0</v>
      </c>
      <c r="AR9" s="230">
        <v>240625</v>
      </c>
      <c r="AS9" s="230">
        <v>131625</v>
      </c>
      <c r="AT9" s="230">
        <v>109000</v>
      </c>
      <c r="AU9" s="229">
        <v>0.82809999999999995</v>
      </c>
      <c r="AV9" s="230">
        <v>232625</v>
      </c>
      <c r="AW9" s="230">
        <v>126875</v>
      </c>
      <c r="AX9" s="230">
        <v>105750</v>
      </c>
      <c r="AY9" s="229">
        <v>0.83350000000000002</v>
      </c>
      <c r="AZ9" s="230">
        <v>8000</v>
      </c>
      <c r="BA9" s="230">
        <v>4750</v>
      </c>
      <c r="BB9" s="230">
        <v>3250</v>
      </c>
      <c r="BC9" s="229">
        <v>0.68420000000000003</v>
      </c>
      <c r="BD9" s="228">
        <v>0</v>
      </c>
      <c r="BE9" s="228">
        <v>0</v>
      </c>
      <c r="BF9" s="228">
        <v>0</v>
      </c>
      <c r="BG9" s="229">
        <v>0</v>
      </c>
      <c r="BH9" s="230">
        <v>726875</v>
      </c>
      <c r="BI9" s="230">
        <v>237125</v>
      </c>
      <c r="BJ9" s="230">
        <v>489750</v>
      </c>
      <c r="BK9" s="229">
        <v>2.0653999999999999</v>
      </c>
      <c r="BL9" s="230">
        <v>335250</v>
      </c>
      <c r="BM9" s="230">
        <v>178625</v>
      </c>
      <c r="BN9" s="230">
        <v>156625</v>
      </c>
      <c r="BO9" s="229">
        <v>0.87680000000000002</v>
      </c>
      <c r="BP9" s="230">
        <v>1302750</v>
      </c>
      <c r="BQ9" s="230">
        <v>547375</v>
      </c>
      <c r="BR9" s="230">
        <v>755375</v>
      </c>
      <c r="BS9" s="229">
        <v>1.38</v>
      </c>
      <c r="BT9" s="230">
        <v>80390</v>
      </c>
      <c r="BU9" s="230">
        <v>84833</v>
      </c>
      <c r="BV9" s="230">
        <v>-4443</v>
      </c>
      <c r="BW9" s="229">
        <v>-5.2400000000000002E-2</v>
      </c>
      <c r="BX9" s="230">
        <v>1310625</v>
      </c>
      <c r="BY9" s="230">
        <v>1276875</v>
      </c>
      <c r="BZ9" s="230">
        <v>33750</v>
      </c>
      <c r="CA9" s="229">
        <v>2.64E-2</v>
      </c>
      <c r="CB9" s="230">
        <v>1302750</v>
      </c>
      <c r="CC9" s="230">
        <v>1270000</v>
      </c>
      <c r="CD9" s="230">
        <v>32750</v>
      </c>
      <c r="CE9" s="229">
        <v>2.58E-2</v>
      </c>
      <c r="CF9" s="230">
        <v>7750</v>
      </c>
      <c r="CG9" s="230">
        <v>6750</v>
      </c>
      <c r="CH9" s="230">
        <v>1000</v>
      </c>
      <c r="CI9" s="229">
        <v>0.14810000000000001</v>
      </c>
      <c r="CJ9" s="228">
        <v>125</v>
      </c>
      <c r="CK9" s="228">
        <v>125</v>
      </c>
      <c r="CL9" s="228">
        <v>0</v>
      </c>
      <c r="CM9" s="229">
        <v>0</v>
      </c>
      <c r="CN9" s="230">
        <v>242250</v>
      </c>
      <c r="CO9" s="230">
        <v>174250</v>
      </c>
      <c r="CP9" s="230">
        <v>68000</v>
      </c>
      <c r="CQ9" s="229">
        <v>0.39019999999999999</v>
      </c>
      <c r="CR9" s="230">
        <v>183375</v>
      </c>
      <c r="CS9" s="230">
        <v>170000</v>
      </c>
      <c r="CT9" s="230">
        <v>13375</v>
      </c>
      <c r="CU9" s="229">
        <v>7.8700000000000006E-2</v>
      </c>
      <c r="CV9" s="230">
        <v>1736250</v>
      </c>
      <c r="CW9" s="230">
        <v>1621125</v>
      </c>
      <c r="CX9" s="230">
        <v>115125</v>
      </c>
      <c r="CY9" s="229">
        <v>7.0999999999999994E-2</v>
      </c>
      <c r="CZ9" s="228">
        <v>37.299999999999997</v>
      </c>
      <c r="DA9" s="228">
        <v>35.479999999999997</v>
      </c>
      <c r="DB9" s="228">
        <v>1.82</v>
      </c>
      <c r="DC9" s="228">
        <v>1.82</v>
      </c>
      <c r="DD9" s="228">
        <v>25.53</v>
      </c>
      <c r="DE9" s="228">
        <v>25.52</v>
      </c>
      <c r="DF9" s="228">
        <v>11.77</v>
      </c>
      <c r="DG9" s="228">
        <v>0.01</v>
      </c>
      <c r="DH9" s="228">
        <v>35.58</v>
      </c>
      <c r="DI9" s="228">
        <v>32.520000000000003</v>
      </c>
      <c r="DJ9" s="228">
        <v>3.06</v>
      </c>
      <c r="DK9" s="228">
        <v>3.06</v>
      </c>
      <c r="DL9" s="228">
        <v>41.03</v>
      </c>
      <c r="DM9" s="228">
        <v>39.42</v>
      </c>
      <c r="DN9" s="228">
        <v>1.61</v>
      </c>
      <c r="DO9" s="228">
        <v>1.61</v>
      </c>
      <c r="DP9" s="228">
        <v>0.76</v>
      </c>
      <c r="DQ9" s="228">
        <v>0.98</v>
      </c>
      <c r="DR9" s="228">
        <v>-0.22</v>
      </c>
      <c r="DS9" s="229">
        <v>-0.22450000000000001</v>
      </c>
      <c r="DT9" s="231">
        <v>6000</v>
      </c>
      <c r="DU9" s="231">
        <v>5300</v>
      </c>
      <c r="DV9" s="228">
        <v>0.46</v>
      </c>
      <c r="DW9" s="228">
        <v>0.75</v>
      </c>
      <c r="DX9" s="228">
        <v>-0.28999999999999998</v>
      </c>
      <c r="DY9" s="229">
        <v>-0.38669999999999999</v>
      </c>
      <c r="DZ9" s="229">
        <v>6.0000000000000001E-3</v>
      </c>
      <c r="EA9" s="230">
        <v>6875</v>
      </c>
      <c r="EB9" s="229">
        <v>4.0000000000000001E-3</v>
      </c>
      <c r="EC9" s="229">
        <v>6.0000000000000001E-3</v>
      </c>
      <c r="ED9" s="228">
        <v>0.84</v>
      </c>
      <c r="EE9" s="229">
        <v>1E-4</v>
      </c>
      <c r="EF9" s="230">
        <v>27632</v>
      </c>
      <c r="EG9" s="230">
        <v>50045</v>
      </c>
      <c r="EH9" s="229">
        <v>-0.44790000000000002</v>
      </c>
      <c r="EI9" s="229">
        <v>0.34370000000000001</v>
      </c>
      <c r="EJ9" s="231">
        <v>44036.19</v>
      </c>
      <c r="EK9" s="231">
        <v>17662.91</v>
      </c>
      <c r="EL9" s="231">
        <v>14019.57</v>
      </c>
      <c r="EM9" s="231">
        <v>1158</v>
      </c>
      <c r="EN9" s="231">
        <v>75718.67</v>
      </c>
      <c r="EO9" s="231">
        <v>31028.720000000001</v>
      </c>
      <c r="EP9" s="231">
        <v>44689.95</v>
      </c>
      <c r="EQ9" s="229">
        <v>1.4402999999999999</v>
      </c>
      <c r="ER9" s="231">
        <v>14456</v>
      </c>
      <c r="ES9" s="231">
        <v>9927</v>
      </c>
      <c r="ET9" s="231">
        <v>76693</v>
      </c>
      <c r="EU9" s="231">
        <v>7334235</v>
      </c>
      <c r="EV9" s="231">
        <v>101076</v>
      </c>
      <c r="EW9" s="231">
        <v>93161</v>
      </c>
      <c r="EX9" s="231">
        <v>7915</v>
      </c>
      <c r="EY9" s="229">
        <v>8.5000000000000006E-2</v>
      </c>
      <c r="EZ9" s="229">
        <v>0.23669999999999999</v>
      </c>
      <c r="FA9" s="227" t="s">
        <v>555</v>
      </c>
      <c r="FB9" s="161">
        <f t="shared" si="0"/>
        <v>7875</v>
      </c>
    </row>
    <row r="10" spans="1:158" ht="17.25" hidden="1" thickBot="1" x14ac:dyDescent="0.3">
      <c r="A10" s="226">
        <v>46064</v>
      </c>
      <c r="B10" s="227" t="s">
        <v>184</v>
      </c>
      <c r="C10" s="227" t="s">
        <v>680</v>
      </c>
      <c r="D10" s="228">
        <v>100</v>
      </c>
      <c r="E10" s="231">
        <v>7643.5</v>
      </c>
      <c r="F10" s="231">
        <v>7453</v>
      </c>
      <c r="G10" s="228">
        <v>190.5</v>
      </c>
      <c r="H10" s="229">
        <v>2.5600000000000001E-2</v>
      </c>
      <c r="I10" s="231">
        <v>7696</v>
      </c>
      <c r="J10" s="231">
        <v>7510.5</v>
      </c>
      <c r="K10" s="228">
        <v>185.5</v>
      </c>
      <c r="L10" s="229">
        <v>2.47E-2</v>
      </c>
      <c r="M10" s="231">
        <v>7643.5</v>
      </c>
      <c r="N10" s="231">
        <v>7453</v>
      </c>
      <c r="O10" s="228">
        <v>190.5</v>
      </c>
      <c r="P10" s="229">
        <v>2.5600000000000001E-2</v>
      </c>
      <c r="Q10" s="231">
        <v>7525.5</v>
      </c>
      <c r="R10" s="231">
        <v>7345.5</v>
      </c>
      <c r="S10" s="228">
        <v>180</v>
      </c>
      <c r="T10" s="229">
        <v>2.4500000000000001E-2</v>
      </c>
      <c r="U10" s="231">
        <v>7440</v>
      </c>
      <c r="V10" s="231">
        <v>7272</v>
      </c>
      <c r="W10" s="228">
        <v>168</v>
      </c>
      <c r="X10" s="229">
        <v>2.3099999999999999E-2</v>
      </c>
      <c r="Y10" s="228">
        <v>-52.5</v>
      </c>
      <c r="Z10" s="228">
        <v>-57.5</v>
      </c>
      <c r="AA10" s="228">
        <v>5</v>
      </c>
      <c r="AB10" s="229">
        <v>-6.7999999999999996E-3</v>
      </c>
      <c r="AC10" s="228">
        <v>-52.5</v>
      </c>
      <c r="AD10" s="228">
        <v>-57.5</v>
      </c>
      <c r="AE10" s="228">
        <v>5</v>
      </c>
      <c r="AF10" s="229">
        <v>-6.7999999999999996E-3</v>
      </c>
      <c r="AG10" s="228">
        <v>-170.5</v>
      </c>
      <c r="AH10" s="228">
        <v>-165</v>
      </c>
      <c r="AI10" s="228">
        <v>-5.5</v>
      </c>
      <c r="AJ10" s="229">
        <v>-2.2200000000000001E-2</v>
      </c>
      <c r="AK10" s="228">
        <v>-256</v>
      </c>
      <c r="AL10" s="228">
        <v>-238.5</v>
      </c>
      <c r="AM10" s="228">
        <v>-17.5</v>
      </c>
      <c r="AN10" s="229">
        <v>-3.3300000000000003E-2</v>
      </c>
      <c r="AO10" s="231">
        <v>7550.05</v>
      </c>
      <c r="AP10" s="231">
        <v>7446.99</v>
      </c>
      <c r="AQ10" s="228">
        <v>0</v>
      </c>
      <c r="AR10" s="230">
        <v>548300</v>
      </c>
      <c r="AS10" s="230">
        <v>1505200</v>
      </c>
      <c r="AT10" s="230">
        <v>-956900</v>
      </c>
      <c r="AU10" s="229">
        <v>-0.63570000000000004</v>
      </c>
      <c r="AV10" s="230">
        <v>471000</v>
      </c>
      <c r="AW10" s="230">
        <v>1357300</v>
      </c>
      <c r="AX10" s="230">
        <v>-886300</v>
      </c>
      <c r="AY10" s="229">
        <v>-0.65300000000000002</v>
      </c>
      <c r="AZ10" s="230">
        <v>74100</v>
      </c>
      <c r="BA10" s="230">
        <v>138900</v>
      </c>
      <c r="BB10" s="230">
        <v>-64800</v>
      </c>
      <c r="BC10" s="229">
        <v>-0.46650000000000003</v>
      </c>
      <c r="BD10" s="230">
        <v>3200</v>
      </c>
      <c r="BE10" s="230">
        <v>9000</v>
      </c>
      <c r="BF10" s="230">
        <v>-5800</v>
      </c>
      <c r="BG10" s="229">
        <v>-0.64439999999999997</v>
      </c>
      <c r="BH10" s="230">
        <v>3642600</v>
      </c>
      <c r="BI10" s="230">
        <v>9972400</v>
      </c>
      <c r="BJ10" s="230">
        <v>-6329800</v>
      </c>
      <c r="BK10" s="229">
        <v>-0.63470000000000004</v>
      </c>
      <c r="BL10" s="230">
        <v>2424700</v>
      </c>
      <c r="BM10" s="230">
        <v>4722700</v>
      </c>
      <c r="BN10" s="230">
        <v>-2298000</v>
      </c>
      <c r="BO10" s="229">
        <v>-0.48659999999999998</v>
      </c>
      <c r="BP10" s="230">
        <v>6615600</v>
      </c>
      <c r="BQ10" s="230">
        <v>16200300</v>
      </c>
      <c r="BR10" s="230">
        <v>-9584700</v>
      </c>
      <c r="BS10" s="229">
        <v>-0.59160000000000001</v>
      </c>
      <c r="BT10" s="230">
        <v>582957</v>
      </c>
      <c r="BU10" s="230">
        <v>1723988</v>
      </c>
      <c r="BV10" s="230">
        <v>-1141031</v>
      </c>
      <c r="BW10" s="229">
        <v>-0.66190000000000004</v>
      </c>
      <c r="BX10" s="230">
        <v>1181000</v>
      </c>
      <c r="BY10" s="230">
        <v>1132300</v>
      </c>
      <c r="BZ10" s="230">
        <v>48700</v>
      </c>
      <c r="CA10" s="229">
        <v>4.2999999999999997E-2</v>
      </c>
      <c r="CB10" s="230">
        <v>1058800</v>
      </c>
      <c r="CC10" s="230">
        <v>1026700</v>
      </c>
      <c r="CD10" s="230">
        <v>32100</v>
      </c>
      <c r="CE10" s="229">
        <v>3.1300000000000001E-2</v>
      </c>
      <c r="CF10" s="230">
        <v>111700</v>
      </c>
      <c r="CG10" s="230">
        <v>95100</v>
      </c>
      <c r="CH10" s="230">
        <v>16600</v>
      </c>
      <c r="CI10" s="229">
        <v>0.17460000000000001</v>
      </c>
      <c r="CJ10" s="230">
        <v>10500</v>
      </c>
      <c r="CK10" s="230">
        <v>10500</v>
      </c>
      <c r="CL10" s="228">
        <v>0</v>
      </c>
      <c r="CM10" s="229">
        <v>0</v>
      </c>
      <c r="CN10" s="230">
        <v>931000</v>
      </c>
      <c r="CO10" s="230">
        <v>1008800</v>
      </c>
      <c r="CP10" s="230">
        <v>-77800</v>
      </c>
      <c r="CQ10" s="229">
        <v>-7.7100000000000002E-2</v>
      </c>
      <c r="CR10" s="230">
        <v>1035300</v>
      </c>
      <c r="CS10" s="230">
        <v>819100</v>
      </c>
      <c r="CT10" s="230">
        <v>216200</v>
      </c>
      <c r="CU10" s="229">
        <v>0.26390000000000002</v>
      </c>
      <c r="CV10" s="230">
        <v>3147300</v>
      </c>
      <c r="CW10" s="230">
        <v>2960200</v>
      </c>
      <c r="CX10" s="230">
        <v>187100</v>
      </c>
      <c r="CY10" s="229">
        <v>6.3200000000000006E-2</v>
      </c>
      <c r="CZ10" s="228">
        <v>43.25</v>
      </c>
      <c r="DA10" s="228">
        <v>44.73</v>
      </c>
      <c r="DB10" s="228">
        <v>-1.48</v>
      </c>
      <c r="DC10" s="228">
        <v>-1.48</v>
      </c>
      <c r="DD10" s="228">
        <v>51.91</v>
      </c>
      <c r="DE10" s="228">
        <v>51.94</v>
      </c>
      <c r="DF10" s="228">
        <v>-8.66</v>
      </c>
      <c r="DG10" s="228">
        <v>-0.03</v>
      </c>
      <c r="DH10" s="228">
        <v>38.79</v>
      </c>
      <c r="DI10" s="228">
        <v>42.09</v>
      </c>
      <c r="DJ10" s="228">
        <v>-3.3</v>
      </c>
      <c r="DK10" s="228">
        <v>-3.3</v>
      </c>
      <c r="DL10" s="228">
        <v>49.96</v>
      </c>
      <c r="DM10" s="228">
        <v>50.31</v>
      </c>
      <c r="DN10" s="228">
        <v>-0.35</v>
      </c>
      <c r="DO10" s="228">
        <v>-0.35</v>
      </c>
      <c r="DP10" s="228">
        <v>1.1100000000000001</v>
      </c>
      <c r="DQ10" s="228">
        <v>0.81</v>
      </c>
      <c r="DR10" s="228">
        <v>0.3</v>
      </c>
      <c r="DS10" s="229">
        <v>0.37040000000000001</v>
      </c>
      <c r="DT10" s="231">
        <v>8000</v>
      </c>
      <c r="DU10" s="231">
        <v>7000</v>
      </c>
      <c r="DV10" s="228">
        <v>0.67</v>
      </c>
      <c r="DW10" s="228">
        <v>0.47</v>
      </c>
      <c r="DX10" s="228">
        <v>0.2</v>
      </c>
      <c r="DY10" s="229">
        <v>0.42549999999999999</v>
      </c>
      <c r="DZ10" s="229">
        <v>0.10349999999999999</v>
      </c>
      <c r="EA10" s="230">
        <v>105600</v>
      </c>
      <c r="EB10" s="229">
        <v>-1.54E-2</v>
      </c>
      <c r="EC10" s="229">
        <v>0.10349999999999999</v>
      </c>
      <c r="ED10" s="228">
        <v>-103.06</v>
      </c>
      <c r="EE10" s="229">
        <v>-1.37E-2</v>
      </c>
      <c r="EF10" s="230">
        <v>142807</v>
      </c>
      <c r="EG10" s="230">
        <v>456958</v>
      </c>
      <c r="EH10" s="229">
        <v>-0.6875</v>
      </c>
      <c r="EI10" s="229">
        <v>0.245</v>
      </c>
      <c r="EJ10" s="231">
        <v>288905.15000000002</v>
      </c>
      <c r="EK10" s="231">
        <v>170181.91</v>
      </c>
      <c r="EL10" s="231">
        <v>41314.78</v>
      </c>
      <c r="EM10" s="231">
        <v>7611</v>
      </c>
      <c r="EN10" s="231">
        <v>500401.84</v>
      </c>
      <c r="EO10" s="231">
        <v>1214395.47</v>
      </c>
      <c r="EP10" s="231">
        <v>-713993.63</v>
      </c>
      <c r="EQ10" s="229">
        <v>-0.58789999999999998</v>
      </c>
      <c r="ER10" s="231">
        <v>67826</v>
      </c>
      <c r="ES10" s="231">
        <v>70642</v>
      </c>
      <c r="ET10" s="231">
        <v>90117</v>
      </c>
      <c r="EU10" s="231">
        <v>3257355</v>
      </c>
      <c r="EV10" s="231">
        <v>228585</v>
      </c>
      <c r="EW10" s="231">
        <v>212603</v>
      </c>
      <c r="EX10" s="231">
        <v>15982</v>
      </c>
      <c r="EY10" s="229">
        <v>7.5200000000000003E-2</v>
      </c>
      <c r="EZ10" s="229">
        <v>0.96619999999999995</v>
      </c>
      <c r="FA10" s="227" t="s">
        <v>555</v>
      </c>
      <c r="FB10" s="161">
        <f t="shared" si="0"/>
        <v>122200</v>
      </c>
    </row>
    <row r="11" spans="1:158" ht="17.25" hidden="1" thickBot="1" x14ac:dyDescent="0.3">
      <c r="A11" s="226">
        <v>46064</v>
      </c>
      <c r="B11" s="227" t="s">
        <v>157</v>
      </c>
      <c r="C11" s="227" t="s">
        <v>164</v>
      </c>
      <c r="D11" s="228">
        <v>1050</v>
      </c>
      <c r="E11" s="228">
        <v>541.54999999999995</v>
      </c>
      <c r="F11" s="228">
        <v>539.9</v>
      </c>
      <c r="G11" s="228">
        <v>1.65</v>
      </c>
      <c r="H11" s="229">
        <v>3.0999999999999999E-3</v>
      </c>
      <c r="I11" s="228">
        <v>541.25</v>
      </c>
      <c r="J11" s="228">
        <v>538.5</v>
      </c>
      <c r="K11" s="228">
        <v>2.75</v>
      </c>
      <c r="L11" s="229">
        <v>5.1000000000000004E-3</v>
      </c>
      <c r="M11" s="228">
        <v>541.54999999999995</v>
      </c>
      <c r="N11" s="228">
        <v>539.9</v>
      </c>
      <c r="O11" s="228">
        <v>1.65</v>
      </c>
      <c r="P11" s="229">
        <v>3.0999999999999999E-3</v>
      </c>
      <c r="Q11" s="228">
        <v>543.95000000000005</v>
      </c>
      <c r="R11" s="228">
        <v>542.1</v>
      </c>
      <c r="S11" s="228">
        <v>1.85</v>
      </c>
      <c r="T11" s="229">
        <v>3.3999999999999998E-3</v>
      </c>
      <c r="U11" s="228">
        <v>543.54999999999995</v>
      </c>
      <c r="V11" s="228">
        <v>542.4</v>
      </c>
      <c r="W11" s="228">
        <v>1.1499999999999999</v>
      </c>
      <c r="X11" s="229">
        <v>2.0999999999999999E-3</v>
      </c>
      <c r="Y11" s="228">
        <v>0.3</v>
      </c>
      <c r="Z11" s="228">
        <v>1.4</v>
      </c>
      <c r="AA11" s="228">
        <v>-1.1000000000000001</v>
      </c>
      <c r="AB11" s="229">
        <v>5.9999999999999995E-4</v>
      </c>
      <c r="AC11" s="228">
        <v>0.3</v>
      </c>
      <c r="AD11" s="228">
        <v>1.4</v>
      </c>
      <c r="AE11" s="228">
        <v>-1.1000000000000001</v>
      </c>
      <c r="AF11" s="229">
        <v>5.9999999999999995E-4</v>
      </c>
      <c r="AG11" s="228">
        <v>2.7</v>
      </c>
      <c r="AH11" s="228">
        <v>3.6</v>
      </c>
      <c r="AI11" s="228">
        <v>-0.9</v>
      </c>
      <c r="AJ11" s="229">
        <v>5.0000000000000001E-3</v>
      </c>
      <c r="AK11" s="228">
        <v>2.2999999999999998</v>
      </c>
      <c r="AL11" s="228">
        <v>3.9</v>
      </c>
      <c r="AM11" s="228">
        <v>-1.6</v>
      </c>
      <c r="AN11" s="229">
        <v>4.1999999999999997E-3</v>
      </c>
      <c r="AO11" s="228">
        <v>539.55999999999995</v>
      </c>
      <c r="AP11" s="228">
        <v>542.14</v>
      </c>
      <c r="AQ11" s="228">
        <v>0</v>
      </c>
      <c r="AR11" s="230">
        <v>2616600</v>
      </c>
      <c r="AS11" s="230">
        <v>5006400</v>
      </c>
      <c r="AT11" s="230">
        <v>-2389800</v>
      </c>
      <c r="AU11" s="229">
        <v>-0.4773</v>
      </c>
      <c r="AV11" s="230">
        <v>2381400</v>
      </c>
      <c r="AW11" s="230">
        <v>4477200</v>
      </c>
      <c r="AX11" s="230">
        <v>-2095800</v>
      </c>
      <c r="AY11" s="229">
        <v>-0.46810000000000002</v>
      </c>
      <c r="AZ11" s="230">
        <v>194250</v>
      </c>
      <c r="BA11" s="230">
        <v>389550</v>
      </c>
      <c r="BB11" s="230">
        <v>-195300</v>
      </c>
      <c r="BC11" s="229">
        <v>-0.50129999999999997</v>
      </c>
      <c r="BD11" s="230">
        <v>40950</v>
      </c>
      <c r="BE11" s="230">
        <v>139650</v>
      </c>
      <c r="BF11" s="230">
        <v>-98700</v>
      </c>
      <c r="BG11" s="229">
        <v>-0.70679999999999998</v>
      </c>
      <c r="BH11" s="230">
        <v>6989850</v>
      </c>
      <c r="BI11" s="230">
        <v>14210700</v>
      </c>
      <c r="BJ11" s="230">
        <v>-7220850</v>
      </c>
      <c r="BK11" s="229">
        <v>-0.5081</v>
      </c>
      <c r="BL11" s="230">
        <v>2723700</v>
      </c>
      <c r="BM11" s="230">
        <v>9271500</v>
      </c>
      <c r="BN11" s="230">
        <v>-6547800</v>
      </c>
      <c r="BO11" s="229">
        <v>-0.70620000000000005</v>
      </c>
      <c r="BP11" s="230">
        <v>12330150</v>
      </c>
      <c r="BQ11" s="230">
        <v>28488600</v>
      </c>
      <c r="BR11" s="230">
        <v>-16158450</v>
      </c>
      <c r="BS11" s="229">
        <v>-0.56720000000000004</v>
      </c>
      <c r="BT11" s="230">
        <v>1113654</v>
      </c>
      <c r="BU11" s="230">
        <v>1631163</v>
      </c>
      <c r="BV11" s="230">
        <v>-517509</v>
      </c>
      <c r="BW11" s="229">
        <v>-0.31730000000000003</v>
      </c>
      <c r="BX11" s="230">
        <v>48175050</v>
      </c>
      <c r="BY11" s="230">
        <v>48148800</v>
      </c>
      <c r="BZ11" s="230">
        <v>26250</v>
      </c>
      <c r="CA11" s="229">
        <v>5.0000000000000001E-4</v>
      </c>
      <c r="CB11" s="230">
        <v>46762800</v>
      </c>
      <c r="CC11" s="230">
        <v>46817400</v>
      </c>
      <c r="CD11" s="230">
        <v>-54600</v>
      </c>
      <c r="CE11" s="229">
        <v>-1.1999999999999999E-3</v>
      </c>
      <c r="CF11" s="230">
        <v>1172850</v>
      </c>
      <c r="CG11" s="230">
        <v>1106700</v>
      </c>
      <c r="CH11" s="230">
        <v>66150</v>
      </c>
      <c r="CI11" s="229">
        <v>5.9799999999999999E-2</v>
      </c>
      <c r="CJ11" s="230">
        <v>239400</v>
      </c>
      <c r="CK11" s="230">
        <v>224700</v>
      </c>
      <c r="CL11" s="230">
        <v>14700</v>
      </c>
      <c r="CM11" s="229">
        <v>6.54E-2</v>
      </c>
      <c r="CN11" s="230">
        <v>13794900</v>
      </c>
      <c r="CO11" s="230">
        <v>13795950</v>
      </c>
      <c r="CP11" s="230">
        <v>-1050</v>
      </c>
      <c r="CQ11" s="229">
        <v>-1E-4</v>
      </c>
      <c r="CR11" s="230">
        <v>10411800</v>
      </c>
      <c r="CS11" s="230">
        <v>10354050</v>
      </c>
      <c r="CT11" s="230">
        <v>57750</v>
      </c>
      <c r="CU11" s="229">
        <v>5.5999999999999999E-3</v>
      </c>
      <c r="CV11" s="230">
        <v>72381750</v>
      </c>
      <c r="CW11" s="230">
        <v>72298800</v>
      </c>
      <c r="CX11" s="230">
        <v>82950</v>
      </c>
      <c r="CY11" s="229">
        <v>1.1000000000000001E-3</v>
      </c>
      <c r="CZ11" s="228">
        <v>24.35</v>
      </c>
      <c r="DA11" s="228">
        <v>25.88</v>
      </c>
      <c r="DB11" s="228">
        <v>-1.53</v>
      </c>
      <c r="DC11" s="228">
        <v>-1.53</v>
      </c>
      <c r="DD11" s="228">
        <v>32.74</v>
      </c>
      <c r="DE11" s="228">
        <v>32.82</v>
      </c>
      <c r="DF11" s="228">
        <v>-8.39</v>
      </c>
      <c r="DG11" s="228">
        <v>-0.08</v>
      </c>
      <c r="DH11" s="228">
        <v>23.87</v>
      </c>
      <c r="DI11" s="228">
        <v>24.64</v>
      </c>
      <c r="DJ11" s="228">
        <v>-0.77</v>
      </c>
      <c r="DK11" s="228">
        <v>-0.77</v>
      </c>
      <c r="DL11" s="228">
        <v>25.58</v>
      </c>
      <c r="DM11" s="228">
        <v>27.8</v>
      </c>
      <c r="DN11" s="228">
        <v>-2.2200000000000002</v>
      </c>
      <c r="DO11" s="228">
        <v>-2.2200000000000002</v>
      </c>
      <c r="DP11" s="228">
        <v>0.75</v>
      </c>
      <c r="DQ11" s="228">
        <v>0.75</v>
      </c>
      <c r="DR11" s="228">
        <v>0</v>
      </c>
      <c r="DS11" s="229">
        <v>0</v>
      </c>
      <c r="DT11" s="228">
        <v>550</v>
      </c>
      <c r="DU11" s="228">
        <v>500</v>
      </c>
      <c r="DV11" s="228">
        <v>0.39</v>
      </c>
      <c r="DW11" s="228">
        <v>0.65</v>
      </c>
      <c r="DX11" s="228">
        <v>-0.26</v>
      </c>
      <c r="DY11" s="229">
        <v>-0.4</v>
      </c>
      <c r="DZ11" s="229">
        <v>2.93E-2</v>
      </c>
      <c r="EA11" s="230">
        <v>1331400</v>
      </c>
      <c r="EB11" s="229">
        <v>4.4000000000000003E-3</v>
      </c>
      <c r="EC11" s="229">
        <v>2.93E-2</v>
      </c>
      <c r="ED11" s="228">
        <v>2.58</v>
      </c>
      <c r="EE11" s="229">
        <v>4.7999999999999996E-3</v>
      </c>
      <c r="EF11" s="230">
        <v>636672</v>
      </c>
      <c r="EG11" s="230">
        <v>669124</v>
      </c>
      <c r="EH11" s="229">
        <v>-4.8500000000000001E-2</v>
      </c>
      <c r="EI11" s="229">
        <v>0.57169999999999999</v>
      </c>
      <c r="EJ11" s="231">
        <v>39199.65</v>
      </c>
      <c r="EK11" s="231">
        <v>14609.92</v>
      </c>
      <c r="EL11" s="231">
        <v>14124.46</v>
      </c>
      <c r="EM11" s="231">
        <v>3821</v>
      </c>
      <c r="EN11" s="231">
        <v>67934.03</v>
      </c>
      <c r="EO11" s="231">
        <v>155330.85</v>
      </c>
      <c r="EP11" s="231">
        <v>-87396.82</v>
      </c>
      <c r="EQ11" s="229">
        <v>-0.56259999999999999</v>
      </c>
      <c r="ER11" s="231">
        <v>76846</v>
      </c>
      <c r="ES11" s="231">
        <v>55890</v>
      </c>
      <c r="ET11" s="231">
        <v>260925</v>
      </c>
      <c r="EU11" s="231">
        <v>79841849</v>
      </c>
      <c r="EV11" s="231">
        <v>393661</v>
      </c>
      <c r="EW11" s="231">
        <v>392352</v>
      </c>
      <c r="EX11" s="231">
        <v>1309</v>
      </c>
      <c r="EY11" s="229">
        <v>3.3E-3</v>
      </c>
      <c r="EZ11" s="229">
        <v>0.90659999999999996</v>
      </c>
      <c r="FA11" s="227" t="s">
        <v>555</v>
      </c>
      <c r="FB11" s="161">
        <f t="shared" si="0"/>
        <v>1412250</v>
      </c>
    </row>
    <row r="12" spans="1:158" ht="17.25" hidden="1" thickBot="1" x14ac:dyDescent="0.3">
      <c r="A12" s="226">
        <v>46064</v>
      </c>
      <c r="B12" s="227" t="s">
        <v>175</v>
      </c>
      <c r="C12" s="227" t="s">
        <v>609</v>
      </c>
      <c r="D12" s="228">
        <v>250</v>
      </c>
      <c r="E12" s="231">
        <v>2790.9</v>
      </c>
      <c r="F12" s="231">
        <v>2792.5</v>
      </c>
      <c r="G12" s="228">
        <v>-1.6</v>
      </c>
      <c r="H12" s="229">
        <v>-5.9999999999999995E-4</v>
      </c>
      <c r="I12" s="231">
        <v>2781.1</v>
      </c>
      <c r="J12" s="231">
        <v>2783</v>
      </c>
      <c r="K12" s="228">
        <v>-1.9</v>
      </c>
      <c r="L12" s="229">
        <v>-6.9999999999999999E-4</v>
      </c>
      <c r="M12" s="231">
        <v>2790.9</v>
      </c>
      <c r="N12" s="231">
        <v>2792.5</v>
      </c>
      <c r="O12" s="228">
        <v>-1.6</v>
      </c>
      <c r="P12" s="229">
        <v>-5.9999999999999995E-4</v>
      </c>
      <c r="Q12" s="231">
        <v>2786.3</v>
      </c>
      <c r="R12" s="231">
        <v>2785.4</v>
      </c>
      <c r="S12" s="228">
        <v>0.9</v>
      </c>
      <c r="T12" s="229">
        <v>2.9999999999999997E-4</v>
      </c>
      <c r="U12" s="231">
        <v>2784.2</v>
      </c>
      <c r="V12" s="231">
        <v>2781.3</v>
      </c>
      <c r="W12" s="228">
        <v>2.9</v>
      </c>
      <c r="X12" s="229">
        <v>1E-3</v>
      </c>
      <c r="Y12" s="228">
        <v>9.8000000000000007</v>
      </c>
      <c r="Z12" s="228">
        <v>9.5</v>
      </c>
      <c r="AA12" s="228">
        <v>0.3</v>
      </c>
      <c r="AB12" s="229">
        <v>3.5000000000000001E-3</v>
      </c>
      <c r="AC12" s="228">
        <v>9.8000000000000007</v>
      </c>
      <c r="AD12" s="228">
        <v>9.5</v>
      </c>
      <c r="AE12" s="228">
        <v>0.3</v>
      </c>
      <c r="AF12" s="229">
        <v>3.5000000000000001E-3</v>
      </c>
      <c r="AG12" s="228">
        <v>5.2</v>
      </c>
      <c r="AH12" s="228">
        <v>2.4</v>
      </c>
      <c r="AI12" s="228">
        <v>2.8</v>
      </c>
      <c r="AJ12" s="229">
        <v>1.9E-3</v>
      </c>
      <c r="AK12" s="228">
        <v>3.1</v>
      </c>
      <c r="AL12" s="228">
        <v>-1.7</v>
      </c>
      <c r="AM12" s="228">
        <v>4.8</v>
      </c>
      <c r="AN12" s="229">
        <v>1.1000000000000001E-3</v>
      </c>
      <c r="AO12" s="231">
        <v>2792.97</v>
      </c>
      <c r="AP12" s="231">
        <v>2785.85</v>
      </c>
      <c r="AQ12" s="228">
        <v>0</v>
      </c>
      <c r="AR12" s="230">
        <v>791750</v>
      </c>
      <c r="AS12" s="230">
        <v>1418750</v>
      </c>
      <c r="AT12" s="230">
        <v>-627000</v>
      </c>
      <c r="AU12" s="229">
        <v>-0.44190000000000002</v>
      </c>
      <c r="AV12" s="230">
        <v>732250</v>
      </c>
      <c r="AW12" s="230">
        <v>1315500</v>
      </c>
      <c r="AX12" s="230">
        <v>-583250</v>
      </c>
      <c r="AY12" s="229">
        <v>-0.44340000000000002</v>
      </c>
      <c r="AZ12" s="230">
        <v>49250</v>
      </c>
      <c r="BA12" s="230">
        <v>88500</v>
      </c>
      <c r="BB12" s="230">
        <v>-39250</v>
      </c>
      <c r="BC12" s="229">
        <v>-0.44350000000000001</v>
      </c>
      <c r="BD12" s="230">
        <v>10250</v>
      </c>
      <c r="BE12" s="230">
        <v>14750</v>
      </c>
      <c r="BF12" s="230">
        <v>-4500</v>
      </c>
      <c r="BG12" s="229">
        <v>-0.30509999999999998</v>
      </c>
      <c r="BH12" s="230">
        <v>2400250</v>
      </c>
      <c r="BI12" s="230">
        <v>9901250</v>
      </c>
      <c r="BJ12" s="230">
        <v>-7501000</v>
      </c>
      <c r="BK12" s="229">
        <v>-0.75760000000000005</v>
      </c>
      <c r="BL12" s="230">
        <v>1401000</v>
      </c>
      <c r="BM12" s="230">
        <v>3882000</v>
      </c>
      <c r="BN12" s="230">
        <v>-2481000</v>
      </c>
      <c r="BO12" s="229">
        <v>-0.6391</v>
      </c>
      <c r="BP12" s="230">
        <v>4593000</v>
      </c>
      <c r="BQ12" s="230">
        <v>15202000</v>
      </c>
      <c r="BR12" s="230">
        <v>-10609000</v>
      </c>
      <c r="BS12" s="229">
        <v>-0.69789999999999996</v>
      </c>
      <c r="BT12" s="230">
        <v>511680</v>
      </c>
      <c r="BU12" s="230">
        <v>906459</v>
      </c>
      <c r="BV12" s="230">
        <v>-394779</v>
      </c>
      <c r="BW12" s="229">
        <v>-0.4355</v>
      </c>
      <c r="BX12" s="230">
        <v>2925000</v>
      </c>
      <c r="BY12" s="230">
        <v>2880250</v>
      </c>
      <c r="BZ12" s="230">
        <v>44750</v>
      </c>
      <c r="CA12" s="229">
        <v>1.55E-2</v>
      </c>
      <c r="CB12" s="230">
        <v>2759000</v>
      </c>
      <c r="CC12" s="230">
        <v>2721500</v>
      </c>
      <c r="CD12" s="230">
        <v>37500</v>
      </c>
      <c r="CE12" s="229">
        <v>1.38E-2</v>
      </c>
      <c r="CF12" s="230">
        <v>136000</v>
      </c>
      <c r="CG12" s="230">
        <v>128250</v>
      </c>
      <c r="CH12" s="230">
        <v>7750</v>
      </c>
      <c r="CI12" s="229">
        <v>6.0400000000000002E-2</v>
      </c>
      <c r="CJ12" s="230">
        <v>30000</v>
      </c>
      <c r="CK12" s="230">
        <v>30500</v>
      </c>
      <c r="CL12" s="228">
        <v>-500</v>
      </c>
      <c r="CM12" s="229">
        <v>-1.6400000000000001E-2</v>
      </c>
      <c r="CN12" s="230">
        <v>2413500</v>
      </c>
      <c r="CO12" s="230">
        <v>2521500</v>
      </c>
      <c r="CP12" s="230">
        <v>-108000</v>
      </c>
      <c r="CQ12" s="229">
        <v>-4.2799999999999998E-2</v>
      </c>
      <c r="CR12" s="230">
        <v>2180000</v>
      </c>
      <c r="CS12" s="230">
        <v>2213500</v>
      </c>
      <c r="CT12" s="230">
        <v>-33500</v>
      </c>
      <c r="CU12" s="229">
        <v>-1.5100000000000001E-2</v>
      </c>
      <c r="CV12" s="230">
        <v>7518500</v>
      </c>
      <c r="CW12" s="230">
        <v>7615250</v>
      </c>
      <c r="CX12" s="230">
        <v>-96750</v>
      </c>
      <c r="CY12" s="229">
        <v>-1.2699999999999999E-2</v>
      </c>
      <c r="CZ12" s="228">
        <v>41.1</v>
      </c>
      <c r="DA12" s="228">
        <v>41.24</v>
      </c>
      <c r="DB12" s="228">
        <v>-0.14000000000000001</v>
      </c>
      <c r="DC12" s="228">
        <v>-0.14000000000000001</v>
      </c>
      <c r="DD12" s="228">
        <v>54.51</v>
      </c>
      <c r="DE12" s="228">
        <v>54.64</v>
      </c>
      <c r="DF12" s="228">
        <v>-13.41</v>
      </c>
      <c r="DG12" s="228">
        <v>-0.13</v>
      </c>
      <c r="DH12" s="228">
        <v>39.35</v>
      </c>
      <c r="DI12" s="228">
        <v>40.01</v>
      </c>
      <c r="DJ12" s="228">
        <v>-0.66</v>
      </c>
      <c r="DK12" s="228">
        <v>-0.66</v>
      </c>
      <c r="DL12" s="228">
        <v>44.09</v>
      </c>
      <c r="DM12" s="228">
        <v>44.36</v>
      </c>
      <c r="DN12" s="228">
        <v>-0.27</v>
      </c>
      <c r="DO12" s="228">
        <v>-0.27</v>
      </c>
      <c r="DP12" s="228">
        <v>0.9</v>
      </c>
      <c r="DQ12" s="228">
        <v>0.88</v>
      </c>
      <c r="DR12" s="228">
        <v>0.02</v>
      </c>
      <c r="DS12" s="229">
        <v>2.2700000000000001E-2</v>
      </c>
      <c r="DT12" s="231">
        <v>2700</v>
      </c>
      <c r="DU12" s="231">
        <v>2600</v>
      </c>
      <c r="DV12" s="228">
        <v>0.57999999999999996</v>
      </c>
      <c r="DW12" s="228">
        <v>0.39</v>
      </c>
      <c r="DX12" s="228">
        <v>0.19</v>
      </c>
      <c r="DY12" s="229">
        <v>0.48720000000000002</v>
      </c>
      <c r="DZ12" s="229">
        <v>5.6800000000000003E-2</v>
      </c>
      <c r="EA12" s="230">
        <v>158750</v>
      </c>
      <c r="EB12" s="229">
        <v>-1.6000000000000001E-3</v>
      </c>
      <c r="EC12" s="229">
        <v>5.6800000000000003E-2</v>
      </c>
      <c r="ED12" s="228">
        <v>-7.12</v>
      </c>
      <c r="EE12" s="229">
        <v>-2.5000000000000001E-3</v>
      </c>
      <c r="EF12" s="230">
        <v>185194</v>
      </c>
      <c r="EG12" s="230">
        <v>277703</v>
      </c>
      <c r="EH12" s="229">
        <v>-0.33310000000000001</v>
      </c>
      <c r="EI12" s="229">
        <v>0.3619</v>
      </c>
      <c r="EJ12" s="231">
        <v>70735</v>
      </c>
      <c r="EK12" s="231">
        <v>37090.699999999997</v>
      </c>
      <c r="EL12" s="231">
        <v>22108.54</v>
      </c>
      <c r="EM12" s="231">
        <v>5298</v>
      </c>
      <c r="EN12" s="231">
        <v>129934.24</v>
      </c>
      <c r="EO12" s="231">
        <v>431129.38</v>
      </c>
      <c r="EP12" s="231">
        <v>-301195.14</v>
      </c>
      <c r="EQ12" s="229">
        <v>-0.6986</v>
      </c>
      <c r="ER12" s="231">
        <v>66679</v>
      </c>
      <c r="ES12" s="231">
        <v>53385</v>
      </c>
      <c r="ET12" s="231">
        <v>81626</v>
      </c>
      <c r="EU12" s="231">
        <v>9673308</v>
      </c>
      <c r="EV12" s="231">
        <v>201690</v>
      </c>
      <c r="EW12" s="231">
        <v>204123</v>
      </c>
      <c r="EX12" s="231">
        <v>-2433</v>
      </c>
      <c r="EY12" s="229">
        <v>-1.1900000000000001E-2</v>
      </c>
      <c r="EZ12" s="229">
        <v>0.7772</v>
      </c>
      <c r="FA12" s="227" t="s">
        <v>567</v>
      </c>
      <c r="FB12" s="161">
        <f t="shared" si="0"/>
        <v>166000</v>
      </c>
    </row>
    <row r="13" spans="1:158" ht="17.25" hidden="1" thickBot="1" x14ac:dyDescent="0.3">
      <c r="A13" s="226">
        <v>46064</v>
      </c>
      <c r="B13" s="227" t="s">
        <v>227</v>
      </c>
      <c r="C13" s="227" t="s">
        <v>598</v>
      </c>
      <c r="D13" s="228">
        <v>350</v>
      </c>
      <c r="E13" s="231">
        <v>2281.6999999999998</v>
      </c>
      <c r="F13" s="231">
        <v>2239.6999999999998</v>
      </c>
      <c r="G13" s="228">
        <v>42</v>
      </c>
      <c r="H13" s="229">
        <v>1.8800000000000001E-2</v>
      </c>
      <c r="I13" s="231">
        <v>2280.8000000000002</v>
      </c>
      <c r="J13" s="231">
        <v>2238.6999999999998</v>
      </c>
      <c r="K13" s="228">
        <v>42.1</v>
      </c>
      <c r="L13" s="229">
        <v>1.8800000000000001E-2</v>
      </c>
      <c r="M13" s="231">
        <v>2281.6999999999998</v>
      </c>
      <c r="N13" s="231">
        <v>2239.6999999999998</v>
      </c>
      <c r="O13" s="228">
        <v>42</v>
      </c>
      <c r="P13" s="229">
        <v>1.8800000000000001E-2</v>
      </c>
      <c r="Q13" s="231">
        <v>2293.1999999999998</v>
      </c>
      <c r="R13" s="231">
        <v>2251.4</v>
      </c>
      <c r="S13" s="228">
        <v>41.8</v>
      </c>
      <c r="T13" s="229">
        <v>1.8599999999999998E-2</v>
      </c>
      <c r="U13" s="231">
        <v>2297.4</v>
      </c>
      <c r="V13" s="231">
        <v>2259</v>
      </c>
      <c r="W13" s="228">
        <v>38.4</v>
      </c>
      <c r="X13" s="229">
        <v>1.7000000000000001E-2</v>
      </c>
      <c r="Y13" s="228">
        <v>0.9</v>
      </c>
      <c r="Z13" s="228">
        <v>1</v>
      </c>
      <c r="AA13" s="228">
        <v>-0.1</v>
      </c>
      <c r="AB13" s="229">
        <v>4.0000000000000002E-4</v>
      </c>
      <c r="AC13" s="228">
        <v>0.9</v>
      </c>
      <c r="AD13" s="228">
        <v>1</v>
      </c>
      <c r="AE13" s="228">
        <v>-0.1</v>
      </c>
      <c r="AF13" s="229">
        <v>4.0000000000000002E-4</v>
      </c>
      <c r="AG13" s="228">
        <v>12.4</v>
      </c>
      <c r="AH13" s="228">
        <v>12.7</v>
      </c>
      <c r="AI13" s="228">
        <v>-0.3</v>
      </c>
      <c r="AJ13" s="229">
        <v>5.4000000000000003E-3</v>
      </c>
      <c r="AK13" s="228">
        <v>16.600000000000001</v>
      </c>
      <c r="AL13" s="228">
        <v>20.3</v>
      </c>
      <c r="AM13" s="228">
        <v>-3.7</v>
      </c>
      <c r="AN13" s="229">
        <v>7.3000000000000001E-3</v>
      </c>
      <c r="AO13" s="231">
        <v>2263.4699999999998</v>
      </c>
      <c r="AP13" s="231">
        <v>2276.35</v>
      </c>
      <c r="AQ13" s="228">
        <v>0</v>
      </c>
      <c r="AR13" s="230">
        <v>837200</v>
      </c>
      <c r="AS13" s="230">
        <v>1030750</v>
      </c>
      <c r="AT13" s="230">
        <v>-193550</v>
      </c>
      <c r="AU13" s="229">
        <v>-0.18779999999999999</v>
      </c>
      <c r="AV13" s="230">
        <v>790650</v>
      </c>
      <c r="AW13" s="230">
        <v>941850</v>
      </c>
      <c r="AX13" s="230">
        <v>-151200</v>
      </c>
      <c r="AY13" s="229">
        <v>-0.1605</v>
      </c>
      <c r="AZ13" s="230">
        <v>39200</v>
      </c>
      <c r="BA13" s="230">
        <v>78400</v>
      </c>
      <c r="BB13" s="230">
        <v>-39200</v>
      </c>
      <c r="BC13" s="229">
        <v>-0.5</v>
      </c>
      <c r="BD13" s="230">
        <v>7350</v>
      </c>
      <c r="BE13" s="230">
        <v>10500</v>
      </c>
      <c r="BF13" s="230">
        <v>-3150</v>
      </c>
      <c r="BG13" s="229">
        <v>-0.3</v>
      </c>
      <c r="BH13" s="230">
        <v>2213400</v>
      </c>
      <c r="BI13" s="230">
        <v>1683150</v>
      </c>
      <c r="BJ13" s="230">
        <v>530250</v>
      </c>
      <c r="BK13" s="229">
        <v>0.315</v>
      </c>
      <c r="BL13" s="230">
        <v>1581650</v>
      </c>
      <c r="BM13" s="230">
        <v>1171100</v>
      </c>
      <c r="BN13" s="230">
        <v>410550</v>
      </c>
      <c r="BO13" s="229">
        <v>0.35060000000000002</v>
      </c>
      <c r="BP13" s="230">
        <v>4632250</v>
      </c>
      <c r="BQ13" s="230">
        <v>3885000</v>
      </c>
      <c r="BR13" s="230">
        <v>747250</v>
      </c>
      <c r="BS13" s="229">
        <v>0.1923</v>
      </c>
      <c r="BT13" s="230">
        <v>748776</v>
      </c>
      <c r="BU13" s="230">
        <v>971322</v>
      </c>
      <c r="BV13" s="230">
        <v>-222546</v>
      </c>
      <c r="BW13" s="229">
        <v>-0.2291</v>
      </c>
      <c r="BX13" s="230">
        <v>6750450</v>
      </c>
      <c r="BY13" s="230">
        <v>6999300</v>
      </c>
      <c r="BZ13" s="230">
        <v>-248850</v>
      </c>
      <c r="CA13" s="229">
        <v>-3.56E-2</v>
      </c>
      <c r="CB13" s="230">
        <v>6627950</v>
      </c>
      <c r="CC13" s="230">
        <v>6889400</v>
      </c>
      <c r="CD13" s="230">
        <v>-261450</v>
      </c>
      <c r="CE13" s="229">
        <v>-3.7900000000000003E-2</v>
      </c>
      <c r="CF13" s="230">
        <v>92050</v>
      </c>
      <c r="CG13" s="230">
        <v>83300</v>
      </c>
      <c r="CH13" s="230">
        <v>8750</v>
      </c>
      <c r="CI13" s="229">
        <v>0.105</v>
      </c>
      <c r="CJ13" s="230">
        <v>30450</v>
      </c>
      <c r="CK13" s="230">
        <v>26600</v>
      </c>
      <c r="CL13" s="230">
        <v>3850</v>
      </c>
      <c r="CM13" s="229">
        <v>0.1447</v>
      </c>
      <c r="CN13" s="230">
        <v>1720600</v>
      </c>
      <c r="CO13" s="230">
        <v>1678600</v>
      </c>
      <c r="CP13" s="230">
        <v>42000</v>
      </c>
      <c r="CQ13" s="229">
        <v>2.5000000000000001E-2</v>
      </c>
      <c r="CR13" s="230">
        <v>2685550</v>
      </c>
      <c r="CS13" s="230">
        <v>2473100</v>
      </c>
      <c r="CT13" s="230">
        <v>212450</v>
      </c>
      <c r="CU13" s="229">
        <v>8.5900000000000004E-2</v>
      </c>
      <c r="CV13" s="230">
        <v>11156600</v>
      </c>
      <c r="CW13" s="230">
        <v>11151000</v>
      </c>
      <c r="CX13" s="230">
        <v>5600</v>
      </c>
      <c r="CY13" s="229">
        <v>5.0000000000000001E-4</v>
      </c>
      <c r="CZ13" s="228">
        <v>27.36</v>
      </c>
      <c r="DA13" s="228">
        <v>26.62</v>
      </c>
      <c r="DB13" s="228">
        <v>0.74</v>
      </c>
      <c r="DC13" s="228">
        <v>0.74</v>
      </c>
      <c r="DD13" s="228">
        <v>32.17</v>
      </c>
      <c r="DE13" s="228">
        <v>32.15</v>
      </c>
      <c r="DF13" s="228">
        <v>-4.8099999999999996</v>
      </c>
      <c r="DG13" s="228">
        <v>0.02</v>
      </c>
      <c r="DH13" s="228">
        <v>24.41</v>
      </c>
      <c r="DI13" s="228">
        <v>24.41</v>
      </c>
      <c r="DJ13" s="228">
        <v>0</v>
      </c>
      <c r="DK13" s="228">
        <v>0</v>
      </c>
      <c r="DL13" s="228">
        <v>31.5</v>
      </c>
      <c r="DM13" s="228">
        <v>29.78</v>
      </c>
      <c r="DN13" s="228">
        <v>1.72</v>
      </c>
      <c r="DO13" s="228">
        <v>1.72</v>
      </c>
      <c r="DP13" s="228">
        <v>1.56</v>
      </c>
      <c r="DQ13" s="228">
        <v>1.47</v>
      </c>
      <c r="DR13" s="228">
        <v>0.09</v>
      </c>
      <c r="DS13" s="229">
        <v>6.1199999999999997E-2</v>
      </c>
      <c r="DT13" s="231">
        <v>2200</v>
      </c>
      <c r="DU13" s="231">
        <v>2100</v>
      </c>
      <c r="DV13" s="228">
        <v>0.71</v>
      </c>
      <c r="DW13" s="228">
        <v>0.7</v>
      </c>
      <c r="DX13" s="228">
        <v>0.01</v>
      </c>
      <c r="DY13" s="229">
        <v>1.43E-2</v>
      </c>
      <c r="DZ13" s="229">
        <v>1.8100000000000002E-2</v>
      </c>
      <c r="EA13" s="230">
        <v>109900</v>
      </c>
      <c r="EB13" s="229">
        <v>5.0000000000000001E-3</v>
      </c>
      <c r="EC13" s="229">
        <v>1.8100000000000002E-2</v>
      </c>
      <c r="ED13" s="228">
        <v>12.88</v>
      </c>
      <c r="EE13" s="229">
        <v>5.7000000000000002E-3</v>
      </c>
      <c r="EF13" s="230">
        <v>531527</v>
      </c>
      <c r="EG13" s="230">
        <v>699564</v>
      </c>
      <c r="EH13" s="229">
        <v>-0.2402</v>
      </c>
      <c r="EI13" s="229">
        <v>0.70989999999999998</v>
      </c>
      <c r="EJ13" s="231">
        <v>51733.24</v>
      </c>
      <c r="EK13" s="231">
        <v>34399.51</v>
      </c>
      <c r="EL13" s="231">
        <v>18956.22</v>
      </c>
      <c r="EM13" s="231">
        <v>3354</v>
      </c>
      <c r="EN13" s="231">
        <v>105088.97</v>
      </c>
      <c r="EO13" s="231">
        <v>87536.85</v>
      </c>
      <c r="EP13" s="231">
        <v>17552.12</v>
      </c>
      <c r="EQ13" s="229">
        <v>0.20050000000000001</v>
      </c>
      <c r="ER13" s="231">
        <v>38227</v>
      </c>
      <c r="ES13" s="231">
        <v>56335</v>
      </c>
      <c r="ET13" s="231">
        <v>154040</v>
      </c>
      <c r="EU13" s="231">
        <v>23068453</v>
      </c>
      <c r="EV13" s="231">
        <v>248602</v>
      </c>
      <c r="EW13" s="231">
        <v>245433</v>
      </c>
      <c r="EX13" s="231">
        <v>3169</v>
      </c>
      <c r="EY13" s="229">
        <v>1.29E-2</v>
      </c>
      <c r="EZ13" s="229">
        <v>0.48359999999999997</v>
      </c>
      <c r="FA13" s="227" t="s">
        <v>556</v>
      </c>
      <c r="FB13" s="161">
        <f t="shared" si="0"/>
        <v>122500</v>
      </c>
    </row>
    <row r="14" spans="1:158" ht="17.25" hidden="1" thickBot="1" x14ac:dyDescent="0.3">
      <c r="A14" s="226">
        <v>46064</v>
      </c>
      <c r="B14" s="227" t="s">
        <v>170</v>
      </c>
      <c r="C14" s="227" t="s">
        <v>165</v>
      </c>
      <c r="D14" s="228">
        <v>125</v>
      </c>
      <c r="E14" s="231">
        <v>7520.5</v>
      </c>
      <c r="F14" s="231">
        <v>7213.5</v>
      </c>
      <c r="G14" s="228">
        <v>307</v>
      </c>
      <c r="H14" s="229">
        <v>4.2599999999999999E-2</v>
      </c>
      <c r="I14" s="231">
        <v>7507</v>
      </c>
      <c r="J14" s="231">
        <v>7219</v>
      </c>
      <c r="K14" s="228">
        <v>288</v>
      </c>
      <c r="L14" s="229">
        <v>3.9899999999999998E-2</v>
      </c>
      <c r="M14" s="231">
        <v>7520.5</v>
      </c>
      <c r="N14" s="231">
        <v>7213.5</v>
      </c>
      <c r="O14" s="228">
        <v>307</v>
      </c>
      <c r="P14" s="229">
        <v>4.2599999999999999E-2</v>
      </c>
      <c r="Q14" s="231">
        <v>7566.5</v>
      </c>
      <c r="R14" s="231">
        <v>7259.5</v>
      </c>
      <c r="S14" s="228">
        <v>307</v>
      </c>
      <c r="T14" s="229">
        <v>4.2299999999999997E-2</v>
      </c>
      <c r="U14" s="231">
        <v>7606.5</v>
      </c>
      <c r="V14" s="231">
        <v>7292.5</v>
      </c>
      <c r="W14" s="228">
        <v>314</v>
      </c>
      <c r="X14" s="229">
        <v>4.3099999999999999E-2</v>
      </c>
      <c r="Y14" s="228">
        <v>13.5</v>
      </c>
      <c r="Z14" s="228">
        <v>-5.5</v>
      </c>
      <c r="AA14" s="228">
        <v>19</v>
      </c>
      <c r="AB14" s="229">
        <v>1.8E-3</v>
      </c>
      <c r="AC14" s="228">
        <v>13.5</v>
      </c>
      <c r="AD14" s="228">
        <v>-5.5</v>
      </c>
      <c r="AE14" s="228">
        <v>19</v>
      </c>
      <c r="AF14" s="229">
        <v>1.8E-3</v>
      </c>
      <c r="AG14" s="228">
        <v>59.5</v>
      </c>
      <c r="AH14" s="228">
        <v>40.5</v>
      </c>
      <c r="AI14" s="228">
        <v>19</v>
      </c>
      <c r="AJ14" s="229">
        <v>7.9000000000000008E-3</v>
      </c>
      <c r="AK14" s="228">
        <v>99.5</v>
      </c>
      <c r="AL14" s="228">
        <v>73.5</v>
      </c>
      <c r="AM14" s="228">
        <v>26</v>
      </c>
      <c r="AN14" s="229">
        <v>1.3299999999999999E-2</v>
      </c>
      <c r="AO14" s="231">
        <v>7555.76</v>
      </c>
      <c r="AP14" s="231">
        <v>7600.98</v>
      </c>
      <c r="AQ14" s="228">
        <v>0</v>
      </c>
      <c r="AR14" s="230">
        <v>1858625</v>
      </c>
      <c r="AS14" s="230">
        <v>660625</v>
      </c>
      <c r="AT14" s="230">
        <v>1198000</v>
      </c>
      <c r="AU14" s="229">
        <v>1.8133999999999999</v>
      </c>
      <c r="AV14" s="230">
        <v>1765750</v>
      </c>
      <c r="AW14" s="230">
        <v>637750</v>
      </c>
      <c r="AX14" s="230">
        <v>1128000</v>
      </c>
      <c r="AY14" s="229">
        <v>1.7686999999999999</v>
      </c>
      <c r="AZ14" s="230">
        <v>81250</v>
      </c>
      <c r="BA14" s="230">
        <v>18500</v>
      </c>
      <c r="BB14" s="230">
        <v>62750</v>
      </c>
      <c r="BC14" s="229">
        <v>3.3919000000000001</v>
      </c>
      <c r="BD14" s="230">
        <v>11625</v>
      </c>
      <c r="BE14" s="230">
        <v>4375</v>
      </c>
      <c r="BF14" s="230">
        <v>7250</v>
      </c>
      <c r="BG14" s="229">
        <v>1.6571</v>
      </c>
      <c r="BH14" s="230">
        <v>20546000</v>
      </c>
      <c r="BI14" s="230">
        <v>4262625</v>
      </c>
      <c r="BJ14" s="230">
        <v>16283375</v>
      </c>
      <c r="BK14" s="229">
        <v>3.82</v>
      </c>
      <c r="BL14" s="230">
        <v>8626250</v>
      </c>
      <c r="BM14" s="230">
        <v>1640625</v>
      </c>
      <c r="BN14" s="230">
        <v>6985625</v>
      </c>
      <c r="BO14" s="229">
        <v>4.2579000000000002</v>
      </c>
      <c r="BP14" s="230">
        <v>31030875</v>
      </c>
      <c r="BQ14" s="230">
        <v>6563875</v>
      </c>
      <c r="BR14" s="230">
        <v>24467000</v>
      </c>
      <c r="BS14" s="229">
        <v>3.7275</v>
      </c>
      <c r="BT14" s="230">
        <v>1587641</v>
      </c>
      <c r="BU14" s="230">
        <v>286805</v>
      </c>
      <c r="BV14" s="230">
        <v>1300836</v>
      </c>
      <c r="BW14" s="229">
        <v>4.5355999999999996</v>
      </c>
      <c r="BX14" s="230">
        <v>3595625</v>
      </c>
      <c r="BY14" s="230">
        <v>3533750</v>
      </c>
      <c r="BZ14" s="230">
        <v>61875</v>
      </c>
      <c r="CA14" s="229">
        <v>1.7500000000000002E-2</v>
      </c>
      <c r="CB14" s="230">
        <v>3516750</v>
      </c>
      <c r="CC14" s="230">
        <v>3465375</v>
      </c>
      <c r="CD14" s="230">
        <v>51375</v>
      </c>
      <c r="CE14" s="229">
        <v>1.4800000000000001E-2</v>
      </c>
      <c r="CF14" s="230">
        <v>70125</v>
      </c>
      <c r="CG14" s="230">
        <v>61625</v>
      </c>
      <c r="CH14" s="230">
        <v>8500</v>
      </c>
      <c r="CI14" s="229">
        <v>0.13789999999999999</v>
      </c>
      <c r="CJ14" s="230">
        <v>8750</v>
      </c>
      <c r="CK14" s="230">
        <v>6750</v>
      </c>
      <c r="CL14" s="230">
        <v>2000</v>
      </c>
      <c r="CM14" s="229">
        <v>0.29630000000000001</v>
      </c>
      <c r="CN14" s="230">
        <v>2346375</v>
      </c>
      <c r="CO14" s="230">
        <v>1936625</v>
      </c>
      <c r="CP14" s="230">
        <v>409750</v>
      </c>
      <c r="CQ14" s="229">
        <v>0.21160000000000001</v>
      </c>
      <c r="CR14" s="230">
        <v>1756500</v>
      </c>
      <c r="CS14" s="230">
        <v>1339250</v>
      </c>
      <c r="CT14" s="230">
        <v>417250</v>
      </c>
      <c r="CU14" s="229">
        <v>0.31159999999999999</v>
      </c>
      <c r="CV14" s="230">
        <v>7698500</v>
      </c>
      <c r="CW14" s="230">
        <v>6809625</v>
      </c>
      <c r="CX14" s="230">
        <v>888875</v>
      </c>
      <c r="CY14" s="229">
        <v>0.1305</v>
      </c>
      <c r="CZ14" s="228">
        <v>23.19</v>
      </c>
      <c r="DA14" s="228">
        <v>33.1</v>
      </c>
      <c r="DB14" s="228">
        <v>-9.91</v>
      </c>
      <c r="DC14" s="228">
        <v>-9.91</v>
      </c>
      <c r="DD14" s="228">
        <v>25.23</v>
      </c>
      <c r="DE14" s="228">
        <v>24.74</v>
      </c>
      <c r="DF14" s="228">
        <v>-2.04</v>
      </c>
      <c r="DG14" s="228">
        <v>0.49</v>
      </c>
      <c r="DH14" s="228">
        <v>23.26</v>
      </c>
      <c r="DI14" s="228">
        <v>33.340000000000003</v>
      </c>
      <c r="DJ14" s="228">
        <v>-10.08</v>
      </c>
      <c r="DK14" s="228">
        <v>-10.08</v>
      </c>
      <c r="DL14" s="228">
        <v>23.03</v>
      </c>
      <c r="DM14" s="228">
        <v>32.47</v>
      </c>
      <c r="DN14" s="228">
        <v>-9.44</v>
      </c>
      <c r="DO14" s="228">
        <v>-9.44</v>
      </c>
      <c r="DP14" s="228">
        <v>0.75</v>
      </c>
      <c r="DQ14" s="228">
        <v>0.69</v>
      </c>
      <c r="DR14" s="228">
        <v>0.06</v>
      </c>
      <c r="DS14" s="229">
        <v>8.6999999999999994E-2</v>
      </c>
      <c r="DT14" s="231">
        <v>7600</v>
      </c>
      <c r="DU14" s="231">
        <v>7200</v>
      </c>
      <c r="DV14" s="228">
        <v>0.42</v>
      </c>
      <c r="DW14" s="228">
        <v>0.38</v>
      </c>
      <c r="DX14" s="228">
        <v>0.04</v>
      </c>
      <c r="DY14" s="229">
        <v>0.1053</v>
      </c>
      <c r="DZ14" s="229">
        <v>2.1899999999999999E-2</v>
      </c>
      <c r="EA14" s="230">
        <v>68375</v>
      </c>
      <c r="EB14" s="229">
        <v>6.1000000000000004E-3</v>
      </c>
      <c r="EC14" s="229">
        <v>2.1899999999999999E-2</v>
      </c>
      <c r="ED14" s="228">
        <v>45.22</v>
      </c>
      <c r="EE14" s="229">
        <v>6.0000000000000001E-3</v>
      </c>
      <c r="EF14" s="230">
        <v>648247</v>
      </c>
      <c r="EG14" s="230">
        <v>135332</v>
      </c>
      <c r="EH14" s="229">
        <v>3.79</v>
      </c>
      <c r="EI14" s="229">
        <v>0.4083</v>
      </c>
      <c r="EJ14" s="231">
        <v>1601483.94</v>
      </c>
      <c r="EK14" s="231">
        <v>633429.61</v>
      </c>
      <c r="EL14" s="231">
        <v>140480.21</v>
      </c>
      <c r="EM14" s="231">
        <v>4156</v>
      </c>
      <c r="EN14" s="231">
        <v>2375393.7599999998</v>
      </c>
      <c r="EO14" s="231">
        <v>486606.6</v>
      </c>
      <c r="EP14" s="231">
        <v>1888787.16</v>
      </c>
      <c r="EQ14" s="229">
        <v>3.8815</v>
      </c>
      <c r="ER14" s="231">
        <v>177752</v>
      </c>
      <c r="ES14" s="231">
        <v>123437</v>
      </c>
      <c r="ET14" s="231">
        <v>270449</v>
      </c>
      <c r="EU14" s="231">
        <v>15524629</v>
      </c>
      <c r="EV14" s="231">
        <v>571638</v>
      </c>
      <c r="EW14" s="231">
        <v>489318</v>
      </c>
      <c r="EX14" s="231">
        <v>82320</v>
      </c>
      <c r="EY14" s="229">
        <v>0.16819999999999999</v>
      </c>
      <c r="EZ14" s="229">
        <v>0.49590000000000001</v>
      </c>
      <c r="FA14" s="227" t="s">
        <v>555</v>
      </c>
      <c r="FB14" s="161">
        <f t="shared" si="0"/>
        <v>78875</v>
      </c>
    </row>
    <row r="15" spans="1:158" ht="17.25" hidden="1" thickBot="1" x14ac:dyDescent="0.3">
      <c r="A15" s="226">
        <v>46064</v>
      </c>
      <c r="B15" s="227" t="s">
        <v>162</v>
      </c>
      <c r="C15" s="227" t="s">
        <v>167</v>
      </c>
      <c r="D15" s="228">
        <v>5000</v>
      </c>
      <c r="E15" s="228">
        <v>206.25</v>
      </c>
      <c r="F15" s="228">
        <v>208.47</v>
      </c>
      <c r="G15" s="228">
        <v>-2.2200000000000002</v>
      </c>
      <c r="H15" s="229">
        <v>-1.06E-2</v>
      </c>
      <c r="I15" s="228">
        <v>206.35</v>
      </c>
      <c r="J15" s="228">
        <v>209.73</v>
      </c>
      <c r="K15" s="228">
        <v>-3.38</v>
      </c>
      <c r="L15" s="229">
        <v>-1.61E-2</v>
      </c>
      <c r="M15" s="228">
        <v>206.25</v>
      </c>
      <c r="N15" s="228">
        <v>208.47</v>
      </c>
      <c r="O15" s="228">
        <v>-2.2200000000000002</v>
      </c>
      <c r="P15" s="229">
        <v>-1.06E-2</v>
      </c>
      <c r="Q15" s="228">
        <v>204.57</v>
      </c>
      <c r="R15" s="228">
        <v>206.58</v>
      </c>
      <c r="S15" s="228">
        <v>-2.0099999999999998</v>
      </c>
      <c r="T15" s="229">
        <v>-9.7000000000000003E-3</v>
      </c>
      <c r="U15" s="228">
        <v>202.98</v>
      </c>
      <c r="V15" s="228">
        <v>205.34</v>
      </c>
      <c r="W15" s="228">
        <v>-2.36</v>
      </c>
      <c r="X15" s="229">
        <v>-1.15E-2</v>
      </c>
      <c r="Y15" s="228">
        <v>-0.1</v>
      </c>
      <c r="Z15" s="228">
        <v>-1.26</v>
      </c>
      <c r="AA15" s="228">
        <v>1.1599999999999999</v>
      </c>
      <c r="AB15" s="229">
        <v>-5.0000000000000001E-4</v>
      </c>
      <c r="AC15" s="228">
        <v>-0.1</v>
      </c>
      <c r="AD15" s="228">
        <v>-1.26</v>
      </c>
      <c r="AE15" s="228">
        <v>1.1599999999999999</v>
      </c>
      <c r="AF15" s="229">
        <v>-5.0000000000000001E-4</v>
      </c>
      <c r="AG15" s="228">
        <v>-1.78</v>
      </c>
      <c r="AH15" s="228">
        <v>-3.15</v>
      </c>
      <c r="AI15" s="228">
        <v>1.37</v>
      </c>
      <c r="AJ15" s="229">
        <v>-8.6E-3</v>
      </c>
      <c r="AK15" s="228">
        <v>-3.37</v>
      </c>
      <c r="AL15" s="228">
        <v>-4.3899999999999997</v>
      </c>
      <c r="AM15" s="228">
        <v>1.02</v>
      </c>
      <c r="AN15" s="229">
        <v>-1.6299999999999999E-2</v>
      </c>
      <c r="AO15" s="228">
        <v>208.43</v>
      </c>
      <c r="AP15" s="228">
        <v>207.5</v>
      </c>
      <c r="AQ15" s="228">
        <v>0</v>
      </c>
      <c r="AR15" s="230">
        <v>126145000</v>
      </c>
      <c r="AS15" s="230">
        <v>33025000</v>
      </c>
      <c r="AT15" s="230">
        <v>93120000</v>
      </c>
      <c r="AU15" s="229">
        <v>2.8197000000000001</v>
      </c>
      <c r="AV15" s="230">
        <v>105655000</v>
      </c>
      <c r="AW15" s="230">
        <v>26515000</v>
      </c>
      <c r="AX15" s="230">
        <v>79140000</v>
      </c>
      <c r="AY15" s="229">
        <v>2.9847000000000001</v>
      </c>
      <c r="AZ15" s="230">
        <v>19415000</v>
      </c>
      <c r="BA15" s="230">
        <v>5965000</v>
      </c>
      <c r="BB15" s="230">
        <v>13450000</v>
      </c>
      <c r="BC15" s="229">
        <v>2.2547999999999999</v>
      </c>
      <c r="BD15" s="230">
        <v>1075000</v>
      </c>
      <c r="BE15" s="230">
        <v>545000</v>
      </c>
      <c r="BF15" s="230">
        <v>530000</v>
      </c>
      <c r="BG15" s="229">
        <v>0.97250000000000003</v>
      </c>
      <c r="BH15" s="230">
        <v>613160000</v>
      </c>
      <c r="BI15" s="230">
        <v>120110000</v>
      </c>
      <c r="BJ15" s="230">
        <v>493050000</v>
      </c>
      <c r="BK15" s="229">
        <v>4.1050000000000004</v>
      </c>
      <c r="BL15" s="230">
        <v>306320000</v>
      </c>
      <c r="BM15" s="230">
        <v>37925000</v>
      </c>
      <c r="BN15" s="230">
        <v>268395000</v>
      </c>
      <c r="BO15" s="229">
        <v>7.077</v>
      </c>
      <c r="BP15" s="230">
        <v>1045625000</v>
      </c>
      <c r="BQ15" s="230">
        <v>191060000</v>
      </c>
      <c r="BR15" s="230">
        <v>854565000</v>
      </c>
      <c r="BS15" s="229">
        <v>4.4728000000000003</v>
      </c>
      <c r="BT15" s="230">
        <v>56212842</v>
      </c>
      <c r="BU15" s="230">
        <v>12986028</v>
      </c>
      <c r="BV15" s="230">
        <v>43226814</v>
      </c>
      <c r="BW15" s="229">
        <v>3.3287</v>
      </c>
      <c r="BX15" s="230">
        <v>173925000</v>
      </c>
      <c r="BY15" s="230">
        <v>168075000</v>
      </c>
      <c r="BZ15" s="230">
        <v>5850000</v>
      </c>
      <c r="CA15" s="229">
        <v>3.4799999999999998E-2</v>
      </c>
      <c r="CB15" s="230">
        <v>158160000</v>
      </c>
      <c r="CC15" s="230">
        <v>155490000</v>
      </c>
      <c r="CD15" s="230">
        <v>2670000</v>
      </c>
      <c r="CE15" s="229">
        <v>1.72E-2</v>
      </c>
      <c r="CF15" s="230">
        <v>15070000</v>
      </c>
      <c r="CG15" s="230">
        <v>12085000</v>
      </c>
      <c r="CH15" s="230">
        <v>2985000</v>
      </c>
      <c r="CI15" s="229">
        <v>0.247</v>
      </c>
      <c r="CJ15" s="230">
        <v>695000</v>
      </c>
      <c r="CK15" s="230">
        <v>500000</v>
      </c>
      <c r="CL15" s="230">
        <v>195000</v>
      </c>
      <c r="CM15" s="229">
        <v>0.39</v>
      </c>
      <c r="CN15" s="230">
        <v>93105000</v>
      </c>
      <c r="CO15" s="230">
        <v>55985000</v>
      </c>
      <c r="CP15" s="230">
        <v>37120000</v>
      </c>
      <c r="CQ15" s="229">
        <v>0.66300000000000003</v>
      </c>
      <c r="CR15" s="230">
        <v>58680000</v>
      </c>
      <c r="CS15" s="230">
        <v>39645000</v>
      </c>
      <c r="CT15" s="230">
        <v>19035000</v>
      </c>
      <c r="CU15" s="229">
        <v>0.48010000000000003</v>
      </c>
      <c r="CV15" s="230">
        <v>325710000</v>
      </c>
      <c r="CW15" s="230">
        <v>263705000</v>
      </c>
      <c r="CX15" s="230">
        <v>62005000</v>
      </c>
      <c r="CY15" s="229">
        <v>0.2351</v>
      </c>
      <c r="CZ15" s="228">
        <v>38.35</v>
      </c>
      <c r="DA15" s="228">
        <v>39.42</v>
      </c>
      <c r="DB15" s="228">
        <v>-1.07</v>
      </c>
      <c r="DC15" s="228">
        <v>-1.07</v>
      </c>
      <c r="DD15" s="228">
        <v>35.29</v>
      </c>
      <c r="DE15" s="228">
        <v>35.31</v>
      </c>
      <c r="DF15" s="228">
        <v>3.06</v>
      </c>
      <c r="DG15" s="228">
        <v>-0.02</v>
      </c>
      <c r="DH15" s="228">
        <v>38.39</v>
      </c>
      <c r="DI15" s="228">
        <v>39.25</v>
      </c>
      <c r="DJ15" s="228">
        <v>-0.86</v>
      </c>
      <c r="DK15" s="228">
        <v>-0.86</v>
      </c>
      <c r="DL15" s="228">
        <v>38.28</v>
      </c>
      <c r="DM15" s="228">
        <v>39.96</v>
      </c>
      <c r="DN15" s="228">
        <v>-1.68</v>
      </c>
      <c r="DO15" s="228">
        <v>-1.68</v>
      </c>
      <c r="DP15" s="228">
        <v>0.63</v>
      </c>
      <c r="DQ15" s="228">
        <v>0.71</v>
      </c>
      <c r="DR15" s="228">
        <v>-0.08</v>
      </c>
      <c r="DS15" s="229">
        <v>-0.11269999999999999</v>
      </c>
      <c r="DT15" s="228">
        <v>220</v>
      </c>
      <c r="DU15" s="228">
        <v>200</v>
      </c>
      <c r="DV15" s="228">
        <v>0.5</v>
      </c>
      <c r="DW15" s="228">
        <v>0.32</v>
      </c>
      <c r="DX15" s="228">
        <v>0.18</v>
      </c>
      <c r="DY15" s="229">
        <v>0.5625</v>
      </c>
      <c r="DZ15" s="229">
        <v>9.06E-2</v>
      </c>
      <c r="EA15" s="230">
        <v>12585000</v>
      </c>
      <c r="EB15" s="229">
        <v>-8.0999999999999996E-3</v>
      </c>
      <c r="EC15" s="229">
        <v>9.06E-2</v>
      </c>
      <c r="ED15" s="228">
        <v>-0.93</v>
      </c>
      <c r="EE15" s="229">
        <v>-4.4999999999999997E-3</v>
      </c>
      <c r="EF15" s="230">
        <v>13988265</v>
      </c>
      <c r="EG15" s="230">
        <v>5880859</v>
      </c>
      <c r="EH15" s="229">
        <v>1.3786</v>
      </c>
      <c r="EI15" s="229">
        <v>0.24879999999999999</v>
      </c>
      <c r="EJ15" s="231">
        <v>1355215.61</v>
      </c>
      <c r="EK15" s="231">
        <v>625504.4</v>
      </c>
      <c r="EL15" s="231">
        <v>262703.63</v>
      </c>
      <c r="EM15" s="231">
        <v>4896</v>
      </c>
      <c r="EN15" s="231">
        <v>2243423.64</v>
      </c>
      <c r="EO15" s="231">
        <v>405416.73</v>
      </c>
      <c r="EP15" s="231">
        <v>1838006.91</v>
      </c>
      <c r="EQ15" s="229">
        <v>4.5335999999999999</v>
      </c>
      <c r="ER15" s="231">
        <v>199571</v>
      </c>
      <c r="ES15" s="231">
        <v>113060</v>
      </c>
      <c r="ET15" s="231">
        <v>358444</v>
      </c>
      <c r="EU15" s="231">
        <v>423719104</v>
      </c>
      <c r="EV15" s="231">
        <v>671076</v>
      </c>
      <c r="EW15" s="231">
        <v>541951</v>
      </c>
      <c r="EX15" s="231">
        <v>129125</v>
      </c>
      <c r="EY15" s="229">
        <v>0.23830000000000001</v>
      </c>
      <c r="EZ15" s="229">
        <v>0.76870000000000005</v>
      </c>
      <c r="FA15" s="227" t="s">
        <v>567</v>
      </c>
      <c r="FB15" s="161">
        <f t="shared" si="0"/>
        <v>15765000</v>
      </c>
    </row>
    <row r="16" spans="1:158" ht="17.25" hidden="1" thickBot="1" x14ac:dyDescent="0.3">
      <c r="A16" s="226">
        <v>46064</v>
      </c>
      <c r="B16" s="227" t="s">
        <v>168</v>
      </c>
      <c r="C16" s="227" t="s">
        <v>169</v>
      </c>
      <c r="D16" s="228">
        <v>250</v>
      </c>
      <c r="E16" s="231">
        <v>2401.5</v>
      </c>
      <c r="F16" s="231">
        <v>2401.8000000000002</v>
      </c>
      <c r="G16" s="228">
        <v>-0.3</v>
      </c>
      <c r="H16" s="229">
        <v>-1E-4</v>
      </c>
      <c r="I16" s="231">
        <v>2392.5</v>
      </c>
      <c r="J16" s="231">
        <v>2393.6</v>
      </c>
      <c r="K16" s="228">
        <v>-1.1000000000000001</v>
      </c>
      <c r="L16" s="229">
        <v>-5.0000000000000001E-4</v>
      </c>
      <c r="M16" s="231">
        <v>2401.5</v>
      </c>
      <c r="N16" s="231">
        <v>2401.8000000000002</v>
      </c>
      <c r="O16" s="228">
        <v>-0.3</v>
      </c>
      <c r="P16" s="229">
        <v>-1E-4</v>
      </c>
      <c r="Q16" s="231">
        <v>2414.9</v>
      </c>
      <c r="R16" s="231">
        <v>2415.6</v>
      </c>
      <c r="S16" s="228">
        <v>-0.7</v>
      </c>
      <c r="T16" s="229">
        <v>-2.9999999999999997E-4</v>
      </c>
      <c r="U16" s="231">
        <v>2431.6999999999998</v>
      </c>
      <c r="V16" s="231">
        <v>2429.6</v>
      </c>
      <c r="W16" s="228">
        <v>2.1</v>
      </c>
      <c r="X16" s="229">
        <v>8.9999999999999998E-4</v>
      </c>
      <c r="Y16" s="228">
        <v>9</v>
      </c>
      <c r="Z16" s="228">
        <v>8.1999999999999993</v>
      </c>
      <c r="AA16" s="228">
        <v>0.8</v>
      </c>
      <c r="AB16" s="229">
        <v>3.8E-3</v>
      </c>
      <c r="AC16" s="228">
        <v>9</v>
      </c>
      <c r="AD16" s="228">
        <v>8.1999999999999993</v>
      </c>
      <c r="AE16" s="228">
        <v>0.8</v>
      </c>
      <c r="AF16" s="229">
        <v>3.8E-3</v>
      </c>
      <c r="AG16" s="228">
        <v>22.4</v>
      </c>
      <c r="AH16" s="228">
        <v>22</v>
      </c>
      <c r="AI16" s="228">
        <v>0.4</v>
      </c>
      <c r="AJ16" s="229">
        <v>9.4000000000000004E-3</v>
      </c>
      <c r="AK16" s="228">
        <v>39.200000000000003</v>
      </c>
      <c r="AL16" s="228">
        <v>36</v>
      </c>
      <c r="AM16" s="228">
        <v>3.2</v>
      </c>
      <c r="AN16" s="229">
        <v>1.6400000000000001E-2</v>
      </c>
      <c r="AO16" s="231">
        <v>2396.41</v>
      </c>
      <c r="AP16" s="231">
        <v>2410.0500000000002</v>
      </c>
      <c r="AQ16" s="228">
        <v>0</v>
      </c>
      <c r="AR16" s="230">
        <v>2756250</v>
      </c>
      <c r="AS16" s="230">
        <v>1966250</v>
      </c>
      <c r="AT16" s="230">
        <v>790000</v>
      </c>
      <c r="AU16" s="229">
        <v>0.40179999999999999</v>
      </c>
      <c r="AV16" s="230">
        <v>2422750</v>
      </c>
      <c r="AW16" s="230">
        <v>1712750</v>
      </c>
      <c r="AX16" s="230">
        <v>710000</v>
      </c>
      <c r="AY16" s="229">
        <v>0.41449999999999998</v>
      </c>
      <c r="AZ16" s="230">
        <v>306500</v>
      </c>
      <c r="BA16" s="230">
        <v>232500</v>
      </c>
      <c r="BB16" s="230">
        <v>74000</v>
      </c>
      <c r="BC16" s="229">
        <v>0.31830000000000003</v>
      </c>
      <c r="BD16" s="230">
        <v>27000</v>
      </c>
      <c r="BE16" s="230">
        <v>21000</v>
      </c>
      <c r="BF16" s="230">
        <v>6000</v>
      </c>
      <c r="BG16" s="229">
        <v>0.28570000000000001</v>
      </c>
      <c r="BH16" s="230">
        <v>9162500</v>
      </c>
      <c r="BI16" s="230">
        <v>9013000</v>
      </c>
      <c r="BJ16" s="230">
        <v>149500</v>
      </c>
      <c r="BK16" s="229">
        <v>1.66E-2</v>
      </c>
      <c r="BL16" s="230">
        <v>3761000</v>
      </c>
      <c r="BM16" s="230">
        <v>3802500</v>
      </c>
      <c r="BN16" s="230">
        <v>-41500</v>
      </c>
      <c r="BO16" s="229">
        <v>-1.09E-2</v>
      </c>
      <c r="BP16" s="230">
        <v>15679750</v>
      </c>
      <c r="BQ16" s="230">
        <v>14781750</v>
      </c>
      <c r="BR16" s="230">
        <v>898000</v>
      </c>
      <c r="BS16" s="229">
        <v>6.08E-2</v>
      </c>
      <c r="BT16" s="230">
        <v>3238317</v>
      </c>
      <c r="BU16" s="230">
        <v>1817170</v>
      </c>
      <c r="BV16" s="230">
        <v>1421147</v>
      </c>
      <c r="BW16" s="229">
        <v>0.78210000000000002</v>
      </c>
      <c r="BX16" s="230">
        <v>14963500</v>
      </c>
      <c r="BY16" s="230">
        <v>14175000</v>
      </c>
      <c r="BZ16" s="230">
        <v>788500</v>
      </c>
      <c r="CA16" s="229">
        <v>5.5599999999999997E-2</v>
      </c>
      <c r="CB16" s="230">
        <v>14199250</v>
      </c>
      <c r="CC16" s="230">
        <v>13562750</v>
      </c>
      <c r="CD16" s="230">
        <v>636500</v>
      </c>
      <c r="CE16" s="229">
        <v>4.6899999999999997E-2</v>
      </c>
      <c r="CF16" s="230">
        <v>692000</v>
      </c>
      <c r="CG16" s="230">
        <v>550250</v>
      </c>
      <c r="CH16" s="230">
        <v>141750</v>
      </c>
      <c r="CI16" s="229">
        <v>0.2576</v>
      </c>
      <c r="CJ16" s="230">
        <v>72250</v>
      </c>
      <c r="CK16" s="230">
        <v>62000</v>
      </c>
      <c r="CL16" s="230">
        <v>10250</v>
      </c>
      <c r="CM16" s="229">
        <v>0.1653</v>
      </c>
      <c r="CN16" s="230">
        <v>9862500</v>
      </c>
      <c r="CO16" s="230">
        <v>9594500</v>
      </c>
      <c r="CP16" s="230">
        <v>268000</v>
      </c>
      <c r="CQ16" s="229">
        <v>2.7900000000000001E-2</v>
      </c>
      <c r="CR16" s="230">
        <v>4793750</v>
      </c>
      <c r="CS16" s="230">
        <v>4695000</v>
      </c>
      <c r="CT16" s="230">
        <v>98750</v>
      </c>
      <c r="CU16" s="229">
        <v>2.1000000000000001E-2</v>
      </c>
      <c r="CV16" s="230">
        <v>29619750</v>
      </c>
      <c r="CW16" s="230">
        <v>28464500</v>
      </c>
      <c r="CX16" s="230">
        <v>1155250</v>
      </c>
      <c r="CY16" s="229">
        <v>4.0599999999999997E-2</v>
      </c>
      <c r="CZ16" s="228">
        <v>23.83</v>
      </c>
      <c r="DA16" s="228">
        <v>24.49</v>
      </c>
      <c r="DB16" s="228">
        <v>-0.66</v>
      </c>
      <c r="DC16" s="228">
        <v>-0.66</v>
      </c>
      <c r="DD16" s="228">
        <v>26.54</v>
      </c>
      <c r="DE16" s="228">
        <v>26.6</v>
      </c>
      <c r="DF16" s="228">
        <v>-2.71</v>
      </c>
      <c r="DG16" s="228">
        <v>-0.06</v>
      </c>
      <c r="DH16" s="228">
        <v>24.24</v>
      </c>
      <c r="DI16" s="228">
        <v>25.18</v>
      </c>
      <c r="DJ16" s="228">
        <v>-0.94</v>
      </c>
      <c r="DK16" s="228">
        <v>-0.94</v>
      </c>
      <c r="DL16" s="228">
        <v>22.82</v>
      </c>
      <c r="DM16" s="228">
        <v>22.86</v>
      </c>
      <c r="DN16" s="228">
        <v>-0.04</v>
      </c>
      <c r="DO16" s="228">
        <v>-0.04</v>
      </c>
      <c r="DP16" s="228">
        <v>0.49</v>
      </c>
      <c r="DQ16" s="228">
        <v>0.49</v>
      </c>
      <c r="DR16" s="228">
        <v>0</v>
      </c>
      <c r="DS16" s="229">
        <v>0</v>
      </c>
      <c r="DT16" s="231">
        <v>2400</v>
      </c>
      <c r="DU16" s="231">
        <v>2400</v>
      </c>
      <c r="DV16" s="228">
        <v>0.41</v>
      </c>
      <c r="DW16" s="228">
        <v>0.42</v>
      </c>
      <c r="DX16" s="228">
        <v>-0.01</v>
      </c>
      <c r="DY16" s="229">
        <v>-2.3800000000000002E-2</v>
      </c>
      <c r="DZ16" s="229">
        <v>5.11E-2</v>
      </c>
      <c r="EA16" s="230">
        <v>612250</v>
      </c>
      <c r="EB16" s="229">
        <v>5.5999999999999999E-3</v>
      </c>
      <c r="EC16" s="229">
        <v>5.11E-2</v>
      </c>
      <c r="ED16" s="228">
        <v>13.64</v>
      </c>
      <c r="EE16" s="229">
        <v>5.7000000000000002E-3</v>
      </c>
      <c r="EF16" s="230">
        <v>2454897</v>
      </c>
      <c r="EG16" s="230">
        <v>1297277</v>
      </c>
      <c r="EH16" s="229">
        <v>0.89229999999999998</v>
      </c>
      <c r="EI16" s="229">
        <v>0.7581</v>
      </c>
      <c r="EJ16" s="231">
        <v>229788.21</v>
      </c>
      <c r="EK16" s="231">
        <v>89773.39</v>
      </c>
      <c r="EL16" s="231">
        <v>66101.039999999994</v>
      </c>
      <c r="EM16" s="231">
        <v>5289</v>
      </c>
      <c r="EN16" s="231">
        <v>385662.64</v>
      </c>
      <c r="EO16" s="231">
        <v>367261.45</v>
      </c>
      <c r="EP16" s="231">
        <v>18401.189999999999</v>
      </c>
      <c r="EQ16" s="229">
        <v>5.0099999999999999E-2</v>
      </c>
      <c r="ER16" s="231">
        <v>258146</v>
      </c>
      <c r="ES16" s="231">
        <v>115300</v>
      </c>
      <c r="ET16" s="231">
        <v>359463</v>
      </c>
      <c r="EU16" s="231">
        <v>49389162</v>
      </c>
      <c r="EV16" s="231">
        <v>732909</v>
      </c>
      <c r="EW16" s="231">
        <v>705347</v>
      </c>
      <c r="EX16" s="231">
        <v>27562</v>
      </c>
      <c r="EY16" s="229">
        <v>3.9100000000000003E-2</v>
      </c>
      <c r="EZ16" s="229">
        <v>0.59970000000000001</v>
      </c>
      <c r="FA16" s="227" t="s">
        <v>567</v>
      </c>
      <c r="FB16" s="161">
        <f t="shared" si="0"/>
        <v>764250</v>
      </c>
    </row>
    <row r="17" spans="1:158" ht="17.25" hidden="1" thickBot="1" x14ac:dyDescent="0.3">
      <c r="A17" s="226">
        <v>46064</v>
      </c>
      <c r="B17" s="227" t="s">
        <v>184</v>
      </c>
      <c r="C17" s="227" t="s">
        <v>503</v>
      </c>
      <c r="D17" s="228">
        <v>425</v>
      </c>
      <c r="E17" s="231">
        <v>1591.2</v>
      </c>
      <c r="F17" s="231">
        <v>1537</v>
      </c>
      <c r="G17" s="228">
        <v>54.2</v>
      </c>
      <c r="H17" s="229">
        <v>3.5299999999999998E-2</v>
      </c>
      <c r="I17" s="231">
        <v>1592.1</v>
      </c>
      <c r="J17" s="231">
        <v>1532.2</v>
      </c>
      <c r="K17" s="228">
        <v>59.9</v>
      </c>
      <c r="L17" s="229">
        <v>3.9100000000000003E-2</v>
      </c>
      <c r="M17" s="231">
        <v>1591.2</v>
      </c>
      <c r="N17" s="231">
        <v>1537</v>
      </c>
      <c r="O17" s="228">
        <v>54.2</v>
      </c>
      <c r="P17" s="229">
        <v>3.5299999999999998E-2</v>
      </c>
      <c r="Q17" s="231">
        <v>1578.5</v>
      </c>
      <c r="R17" s="231">
        <v>1526</v>
      </c>
      <c r="S17" s="228">
        <v>52.5</v>
      </c>
      <c r="T17" s="229">
        <v>3.44E-2</v>
      </c>
      <c r="U17" s="231">
        <v>1573.7</v>
      </c>
      <c r="V17" s="231">
        <v>1522.5</v>
      </c>
      <c r="W17" s="228">
        <v>51.2</v>
      </c>
      <c r="X17" s="229">
        <v>3.3599999999999998E-2</v>
      </c>
      <c r="Y17" s="228">
        <v>-0.9</v>
      </c>
      <c r="Z17" s="228">
        <v>4.8</v>
      </c>
      <c r="AA17" s="228">
        <v>-5.7</v>
      </c>
      <c r="AB17" s="229">
        <v>-5.9999999999999995E-4</v>
      </c>
      <c r="AC17" s="228">
        <v>-0.9</v>
      </c>
      <c r="AD17" s="228">
        <v>4.8</v>
      </c>
      <c r="AE17" s="228">
        <v>-5.7</v>
      </c>
      <c r="AF17" s="229">
        <v>-5.9999999999999995E-4</v>
      </c>
      <c r="AG17" s="228">
        <v>-13.6</v>
      </c>
      <c r="AH17" s="228">
        <v>-6.2</v>
      </c>
      <c r="AI17" s="228">
        <v>-7.4</v>
      </c>
      <c r="AJ17" s="229">
        <v>-8.5000000000000006E-3</v>
      </c>
      <c r="AK17" s="228">
        <v>-18.399999999999999</v>
      </c>
      <c r="AL17" s="228">
        <v>-9.6999999999999993</v>
      </c>
      <c r="AM17" s="228">
        <v>-8.6999999999999993</v>
      </c>
      <c r="AN17" s="229">
        <v>-1.1599999999999999E-2</v>
      </c>
      <c r="AO17" s="231">
        <v>1567.69</v>
      </c>
      <c r="AP17" s="231">
        <v>1555.24</v>
      </c>
      <c r="AQ17" s="228">
        <v>0</v>
      </c>
      <c r="AR17" s="230">
        <v>3805875</v>
      </c>
      <c r="AS17" s="230">
        <v>3524950</v>
      </c>
      <c r="AT17" s="230">
        <v>280925</v>
      </c>
      <c r="AU17" s="229">
        <v>7.9699999999999993E-2</v>
      </c>
      <c r="AV17" s="230">
        <v>3312025</v>
      </c>
      <c r="AW17" s="230">
        <v>3200250</v>
      </c>
      <c r="AX17" s="230">
        <v>111775</v>
      </c>
      <c r="AY17" s="229">
        <v>3.49E-2</v>
      </c>
      <c r="AZ17" s="230">
        <v>449650</v>
      </c>
      <c r="BA17" s="230">
        <v>304300</v>
      </c>
      <c r="BB17" s="230">
        <v>145350</v>
      </c>
      <c r="BC17" s="229">
        <v>0.47770000000000001</v>
      </c>
      <c r="BD17" s="230">
        <v>44200</v>
      </c>
      <c r="BE17" s="230">
        <v>20400</v>
      </c>
      <c r="BF17" s="230">
        <v>23800</v>
      </c>
      <c r="BG17" s="229">
        <v>1.1667000000000001</v>
      </c>
      <c r="BH17" s="230">
        <v>17953275</v>
      </c>
      <c r="BI17" s="230">
        <v>12335200</v>
      </c>
      <c r="BJ17" s="230">
        <v>5618075</v>
      </c>
      <c r="BK17" s="229">
        <v>0.45550000000000002</v>
      </c>
      <c r="BL17" s="230">
        <v>5054100</v>
      </c>
      <c r="BM17" s="230">
        <v>3416150</v>
      </c>
      <c r="BN17" s="230">
        <v>1637950</v>
      </c>
      <c r="BO17" s="229">
        <v>0.47949999999999998</v>
      </c>
      <c r="BP17" s="230">
        <v>26813250</v>
      </c>
      <c r="BQ17" s="230">
        <v>19276300</v>
      </c>
      <c r="BR17" s="230">
        <v>7536950</v>
      </c>
      <c r="BS17" s="229">
        <v>0.39100000000000001</v>
      </c>
      <c r="BT17" s="230">
        <v>1623499</v>
      </c>
      <c r="BU17" s="230">
        <v>899849</v>
      </c>
      <c r="BV17" s="230">
        <v>723650</v>
      </c>
      <c r="BW17" s="229">
        <v>0.80420000000000003</v>
      </c>
      <c r="BX17" s="230">
        <v>8906725</v>
      </c>
      <c r="BY17" s="230">
        <v>8647475</v>
      </c>
      <c r="BZ17" s="230">
        <v>259250</v>
      </c>
      <c r="CA17" s="229">
        <v>0.03</v>
      </c>
      <c r="CB17" s="230">
        <v>8202075</v>
      </c>
      <c r="CC17" s="230">
        <v>8049500</v>
      </c>
      <c r="CD17" s="230">
        <v>152575</v>
      </c>
      <c r="CE17" s="229">
        <v>1.9E-2</v>
      </c>
      <c r="CF17" s="230">
        <v>651525</v>
      </c>
      <c r="CG17" s="230">
        <v>560575</v>
      </c>
      <c r="CH17" s="230">
        <v>90950</v>
      </c>
      <c r="CI17" s="229">
        <v>0.16220000000000001</v>
      </c>
      <c r="CJ17" s="230">
        <v>53125</v>
      </c>
      <c r="CK17" s="230">
        <v>37400</v>
      </c>
      <c r="CL17" s="230">
        <v>15725</v>
      </c>
      <c r="CM17" s="229">
        <v>0.42049999999999998</v>
      </c>
      <c r="CN17" s="230">
        <v>3579350</v>
      </c>
      <c r="CO17" s="230">
        <v>3436125</v>
      </c>
      <c r="CP17" s="230">
        <v>143225</v>
      </c>
      <c r="CQ17" s="229">
        <v>4.1700000000000001E-2</v>
      </c>
      <c r="CR17" s="230">
        <v>2033200</v>
      </c>
      <c r="CS17" s="230">
        <v>1774800</v>
      </c>
      <c r="CT17" s="230">
        <v>258400</v>
      </c>
      <c r="CU17" s="229">
        <v>0.14560000000000001</v>
      </c>
      <c r="CV17" s="230">
        <v>14519275</v>
      </c>
      <c r="CW17" s="230">
        <v>13858400</v>
      </c>
      <c r="CX17" s="230">
        <v>660875</v>
      </c>
      <c r="CY17" s="229">
        <v>4.7699999999999999E-2</v>
      </c>
      <c r="CZ17" s="228">
        <v>33.81</v>
      </c>
      <c r="DA17" s="228">
        <v>32.369999999999997</v>
      </c>
      <c r="DB17" s="228">
        <v>1.44</v>
      </c>
      <c r="DC17" s="228">
        <v>1.44</v>
      </c>
      <c r="DD17" s="228">
        <v>34.909999999999997</v>
      </c>
      <c r="DE17" s="228">
        <v>34.68</v>
      </c>
      <c r="DF17" s="228">
        <v>-1.1000000000000001</v>
      </c>
      <c r="DG17" s="228">
        <v>0.23</v>
      </c>
      <c r="DH17" s="228">
        <v>33.21</v>
      </c>
      <c r="DI17" s="228">
        <v>31.94</v>
      </c>
      <c r="DJ17" s="228">
        <v>1.27</v>
      </c>
      <c r="DK17" s="228">
        <v>1.27</v>
      </c>
      <c r="DL17" s="228">
        <v>35.94</v>
      </c>
      <c r="DM17" s="228">
        <v>33.92</v>
      </c>
      <c r="DN17" s="228">
        <v>2.02</v>
      </c>
      <c r="DO17" s="228">
        <v>2.02</v>
      </c>
      <c r="DP17" s="228">
        <v>0.56999999999999995</v>
      </c>
      <c r="DQ17" s="228">
        <v>0.52</v>
      </c>
      <c r="DR17" s="228">
        <v>0.05</v>
      </c>
      <c r="DS17" s="229">
        <v>9.6199999999999994E-2</v>
      </c>
      <c r="DT17" s="231">
        <v>1600</v>
      </c>
      <c r="DU17" s="231">
        <v>1580</v>
      </c>
      <c r="DV17" s="228">
        <v>0.28000000000000003</v>
      </c>
      <c r="DW17" s="228">
        <v>0.28000000000000003</v>
      </c>
      <c r="DX17" s="228">
        <v>0</v>
      </c>
      <c r="DY17" s="229">
        <v>0</v>
      </c>
      <c r="DZ17" s="229">
        <v>7.9100000000000004E-2</v>
      </c>
      <c r="EA17" s="230">
        <v>597975</v>
      </c>
      <c r="EB17" s="229">
        <v>-8.0000000000000002E-3</v>
      </c>
      <c r="EC17" s="229">
        <v>7.9100000000000004E-2</v>
      </c>
      <c r="ED17" s="228">
        <v>-12.45</v>
      </c>
      <c r="EE17" s="229">
        <v>-7.9000000000000008E-3</v>
      </c>
      <c r="EF17" s="230">
        <v>629540</v>
      </c>
      <c r="EG17" s="230">
        <v>339140</v>
      </c>
      <c r="EH17" s="229">
        <v>0.85629999999999995</v>
      </c>
      <c r="EI17" s="229">
        <v>0.38779999999999998</v>
      </c>
      <c r="EJ17" s="231">
        <v>292252.40999999997</v>
      </c>
      <c r="EK17" s="231">
        <v>76226.039999999994</v>
      </c>
      <c r="EL17" s="231">
        <v>59601.71</v>
      </c>
      <c r="EM17" s="231">
        <v>5572</v>
      </c>
      <c r="EN17" s="231">
        <v>428080.16</v>
      </c>
      <c r="EO17" s="231">
        <v>299400.46999999997</v>
      </c>
      <c r="EP17" s="231">
        <v>128679.69</v>
      </c>
      <c r="EQ17" s="229">
        <v>0.42980000000000002</v>
      </c>
      <c r="ER17" s="231">
        <v>56852</v>
      </c>
      <c r="ES17" s="231">
        <v>29415</v>
      </c>
      <c r="ET17" s="231">
        <v>141632</v>
      </c>
      <c r="EU17" s="231">
        <v>18450534</v>
      </c>
      <c r="EV17" s="231">
        <v>227899</v>
      </c>
      <c r="EW17" s="231">
        <v>211509</v>
      </c>
      <c r="EX17" s="231">
        <v>16390</v>
      </c>
      <c r="EY17" s="229">
        <v>7.7499999999999999E-2</v>
      </c>
      <c r="EZ17" s="229">
        <v>0.78690000000000004</v>
      </c>
      <c r="FA17" s="227" t="s">
        <v>555</v>
      </c>
      <c r="FB17" s="161">
        <f t="shared" si="0"/>
        <v>704650</v>
      </c>
    </row>
    <row r="18" spans="1:158" ht="17.25" hidden="1" thickBot="1" x14ac:dyDescent="0.3">
      <c r="A18" s="226">
        <v>46064</v>
      </c>
      <c r="B18" s="227" t="s">
        <v>172</v>
      </c>
      <c r="C18" s="227" t="s">
        <v>495</v>
      </c>
      <c r="D18" s="228">
        <v>1000</v>
      </c>
      <c r="E18" s="228">
        <v>990.95</v>
      </c>
      <c r="F18" s="231">
        <v>1001.9</v>
      </c>
      <c r="G18" s="228">
        <v>-10.95</v>
      </c>
      <c r="H18" s="229">
        <v>-1.09E-2</v>
      </c>
      <c r="I18" s="228">
        <v>990.25</v>
      </c>
      <c r="J18" s="231">
        <v>1001.15</v>
      </c>
      <c r="K18" s="228">
        <v>-10.9</v>
      </c>
      <c r="L18" s="229">
        <v>-1.09E-2</v>
      </c>
      <c r="M18" s="228">
        <v>990.95</v>
      </c>
      <c r="N18" s="231">
        <v>1001.9</v>
      </c>
      <c r="O18" s="228">
        <v>-10.95</v>
      </c>
      <c r="P18" s="229">
        <v>-1.09E-2</v>
      </c>
      <c r="Q18" s="228">
        <v>994.1</v>
      </c>
      <c r="R18" s="231">
        <v>1004.95</v>
      </c>
      <c r="S18" s="228">
        <v>-10.85</v>
      </c>
      <c r="T18" s="229">
        <v>-1.0800000000000001E-2</v>
      </c>
      <c r="U18" s="228">
        <v>998.2</v>
      </c>
      <c r="V18" s="231">
        <v>1009</v>
      </c>
      <c r="W18" s="228">
        <v>-10.8</v>
      </c>
      <c r="X18" s="229">
        <v>-1.0699999999999999E-2</v>
      </c>
      <c r="Y18" s="228">
        <v>0.7</v>
      </c>
      <c r="Z18" s="228">
        <v>0.75</v>
      </c>
      <c r="AA18" s="228">
        <v>-0.05</v>
      </c>
      <c r="AB18" s="229">
        <v>6.9999999999999999E-4</v>
      </c>
      <c r="AC18" s="228">
        <v>0.7</v>
      </c>
      <c r="AD18" s="228">
        <v>0.75</v>
      </c>
      <c r="AE18" s="228">
        <v>-0.05</v>
      </c>
      <c r="AF18" s="229">
        <v>6.9999999999999999E-4</v>
      </c>
      <c r="AG18" s="228">
        <v>3.85</v>
      </c>
      <c r="AH18" s="228">
        <v>3.8</v>
      </c>
      <c r="AI18" s="228">
        <v>0.05</v>
      </c>
      <c r="AJ18" s="229">
        <v>3.8999999999999998E-3</v>
      </c>
      <c r="AK18" s="228">
        <v>7.95</v>
      </c>
      <c r="AL18" s="228">
        <v>7.85</v>
      </c>
      <c r="AM18" s="228">
        <v>0.1</v>
      </c>
      <c r="AN18" s="229">
        <v>8.0000000000000002E-3</v>
      </c>
      <c r="AO18" s="228">
        <v>998.89</v>
      </c>
      <c r="AP18" s="231">
        <v>1003.13</v>
      </c>
      <c r="AQ18" s="228">
        <v>0</v>
      </c>
      <c r="AR18" s="230">
        <v>3801000</v>
      </c>
      <c r="AS18" s="230">
        <v>3121000</v>
      </c>
      <c r="AT18" s="230">
        <v>680000</v>
      </c>
      <c r="AU18" s="229">
        <v>0.21790000000000001</v>
      </c>
      <c r="AV18" s="230">
        <v>3363000</v>
      </c>
      <c r="AW18" s="230">
        <v>2767000</v>
      </c>
      <c r="AX18" s="230">
        <v>596000</v>
      </c>
      <c r="AY18" s="229">
        <v>0.21540000000000001</v>
      </c>
      <c r="AZ18" s="230">
        <v>416000</v>
      </c>
      <c r="BA18" s="230">
        <v>343000</v>
      </c>
      <c r="BB18" s="230">
        <v>73000</v>
      </c>
      <c r="BC18" s="229">
        <v>0.21279999999999999</v>
      </c>
      <c r="BD18" s="230">
        <v>22000</v>
      </c>
      <c r="BE18" s="230">
        <v>11000</v>
      </c>
      <c r="BF18" s="230">
        <v>11000</v>
      </c>
      <c r="BG18" s="229">
        <v>1</v>
      </c>
      <c r="BH18" s="230">
        <v>6585000</v>
      </c>
      <c r="BI18" s="230">
        <v>6778000</v>
      </c>
      <c r="BJ18" s="230">
        <v>-193000</v>
      </c>
      <c r="BK18" s="229">
        <v>-2.8500000000000001E-2</v>
      </c>
      <c r="BL18" s="230">
        <v>3356000</v>
      </c>
      <c r="BM18" s="230">
        <v>3842000</v>
      </c>
      <c r="BN18" s="230">
        <v>-486000</v>
      </c>
      <c r="BO18" s="229">
        <v>-0.1265</v>
      </c>
      <c r="BP18" s="230">
        <v>13742000</v>
      </c>
      <c r="BQ18" s="230">
        <v>13741000</v>
      </c>
      <c r="BR18" s="230">
        <v>1000</v>
      </c>
      <c r="BS18" s="229">
        <v>1E-4</v>
      </c>
      <c r="BT18" s="230">
        <v>1612730</v>
      </c>
      <c r="BU18" s="230">
        <v>1929204</v>
      </c>
      <c r="BV18" s="230">
        <v>-316474</v>
      </c>
      <c r="BW18" s="229">
        <v>-0.16400000000000001</v>
      </c>
      <c r="BX18" s="230">
        <v>19322000</v>
      </c>
      <c r="BY18" s="230">
        <v>19468000</v>
      </c>
      <c r="BZ18" s="230">
        <v>-146000</v>
      </c>
      <c r="CA18" s="229">
        <v>-7.4999999999999997E-3</v>
      </c>
      <c r="CB18" s="230">
        <v>18629000</v>
      </c>
      <c r="CC18" s="230">
        <v>18860000</v>
      </c>
      <c r="CD18" s="230">
        <v>-231000</v>
      </c>
      <c r="CE18" s="229">
        <v>-1.2200000000000001E-2</v>
      </c>
      <c r="CF18" s="230">
        <v>660000</v>
      </c>
      <c r="CG18" s="230">
        <v>578000</v>
      </c>
      <c r="CH18" s="230">
        <v>82000</v>
      </c>
      <c r="CI18" s="229">
        <v>0.1419</v>
      </c>
      <c r="CJ18" s="230">
        <v>33000</v>
      </c>
      <c r="CK18" s="230">
        <v>30000</v>
      </c>
      <c r="CL18" s="230">
        <v>3000</v>
      </c>
      <c r="CM18" s="229">
        <v>0.1</v>
      </c>
      <c r="CN18" s="230">
        <v>6618000</v>
      </c>
      <c r="CO18" s="230">
        <v>6166000</v>
      </c>
      <c r="CP18" s="230">
        <v>452000</v>
      </c>
      <c r="CQ18" s="229">
        <v>7.3300000000000004E-2</v>
      </c>
      <c r="CR18" s="230">
        <v>4934000</v>
      </c>
      <c r="CS18" s="230">
        <v>4926000</v>
      </c>
      <c r="CT18" s="230">
        <v>8000</v>
      </c>
      <c r="CU18" s="229">
        <v>1.6000000000000001E-3</v>
      </c>
      <c r="CV18" s="230">
        <v>30874000</v>
      </c>
      <c r="CW18" s="230">
        <v>30560000</v>
      </c>
      <c r="CX18" s="230">
        <v>314000</v>
      </c>
      <c r="CY18" s="229">
        <v>1.03E-2</v>
      </c>
      <c r="CZ18" s="228">
        <v>27.03</v>
      </c>
      <c r="DA18" s="228">
        <v>26.65</v>
      </c>
      <c r="DB18" s="228">
        <v>0.38</v>
      </c>
      <c r="DC18" s="228">
        <v>0.38</v>
      </c>
      <c r="DD18" s="228">
        <v>34.47</v>
      </c>
      <c r="DE18" s="228">
        <v>34.520000000000003</v>
      </c>
      <c r="DF18" s="228">
        <v>-7.44</v>
      </c>
      <c r="DG18" s="228">
        <v>-0.05</v>
      </c>
      <c r="DH18" s="228">
        <v>26.87</v>
      </c>
      <c r="DI18" s="228">
        <v>26.39</v>
      </c>
      <c r="DJ18" s="228">
        <v>0.48</v>
      </c>
      <c r="DK18" s="228">
        <v>0.48</v>
      </c>
      <c r="DL18" s="228">
        <v>27.32</v>
      </c>
      <c r="DM18" s="228">
        <v>27.11</v>
      </c>
      <c r="DN18" s="228">
        <v>0.21</v>
      </c>
      <c r="DO18" s="228">
        <v>0.21</v>
      </c>
      <c r="DP18" s="228">
        <v>0.75</v>
      </c>
      <c r="DQ18" s="228">
        <v>0.8</v>
      </c>
      <c r="DR18" s="228">
        <v>-0.05</v>
      </c>
      <c r="DS18" s="229">
        <v>-6.25E-2</v>
      </c>
      <c r="DT18" s="231">
        <v>1000</v>
      </c>
      <c r="DU18" s="228">
        <v>950</v>
      </c>
      <c r="DV18" s="228">
        <v>0.51</v>
      </c>
      <c r="DW18" s="228">
        <v>0.56999999999999995</v>
      </c>
      <c r="DX18" s="228">
        <v>-0.06</v>
      </c>
      <c r="DY18" s="229">
        <v>-0.1053</v>
      </c>
      <c r="DZ18" s="229">
        <v>3.5900000000000001E-2</v>
      </c>
      <c r="EA18" s="230">
        <v>608000</v>
      </c>
      <c r="EB18" s="229">
        <v>3.2000000000000002E-3</v>
      </c>
      <c r="EC18" s="229">
        <v>3.5900000000000001E-2</v>
      </c>
      <c r="ED18" s="228">
        <v>4.24</v>
      </c>
      <c r="EE18" s="229">
        <v>4.1999999999999997E-3</v>
      </c>
      <c r="EF18" s="230">
        <v>985951</v>
      </c>
      <c r="EG18" s="230">
        <v>1268498</v>
      </c>
      <c r="EH18" s="229">
        <v>-0.22270000000000001</v>
      </c>
      <c r="EI18" s="229">
        <v>0.61140000000000005</v>
      </c>
      <c r="EJ18" s="231">
        <v>68069.75</v>
      </c>
      <c r="EK18" s="231">
        <v>32970.82</v>
      </c>
      <c r="EL18" s="231">
        <v>37986.379999999997</v>
      </c>
      <c r="EM18" s="231">
        <v>3003</v>
      </c>
      <c r="EN18" s="231">
        <v>139026.95000000001</v>
      </c>
      <c r="EO18" s="231">
        <v>139412.15</v>
      </c>
      <c r="EP18" s="228">
        <v>-385.2</v>
      </c>
      <c r="EQ18" s="229">
        <v>-2.8E-3</v>
      </c>
      <c r="ER18" s="231">
        <v>68347</v>
      </c>
      <c r="ES18" s="231">
        <v>47046</v>
      </c>
      <c r="ET18" s="231">
        <v>191495</v>
      </c>
      <c r="EU18" s="231">
        <v>86371921</v>
      </c>
      <c r="EV18" s="231">
        <v>306888</v>
      </c>
      <c r="EW18" s="231">
        <v>305735</v>
      </c>
      <c r="EX18" s="231">
        <v>1153</v>
      </c>
      <c r="EY18" s="229">
        <v>3.8E-3</v>
      </c>
      <c r="EZ18" s="229">
        <v>0.35749999999999998</v>
      </c>
      <c r="FA18" s="227" t="s">
        <v>568</v>
      </c>
      <c r="FB18" s="161">
        <f t="shared" si="0"/>
        <v>693000</v>
      </c>
    </row>
    <row r="19" spans="1:158" ht="17.25" hidden="1" thickBot="1" x14ac:dyDescent="0.3">
      <c r="A19" s="226">
        <v>46064</v>
      </c>
      <c r="B19" s="227" t="s">
        <v>170</v>
      </c>
      <c r="C19" s="227" t="s">
        <v>171</v>
      </c>
      <c r="D19" s="228">
        <v>550</v>
      </c>
      <c r="E19" s="231">
        <v>1149.7</v>
      </c>
      <c r="F19" s="231">
        <v>1126.5999999999999</v>
      </c>
      <c r="G19" s="228">
        <v>23.1</v>
      </c>
      <c r="H19" s="229">
        <v>2.0500000000000001E-2</v>
      </c>
      <c r="I19" s="231">
        <v>1146.5999999999999</v>
      </c>
      <c r="J19" s="231">
        <v>1124.0999999999999</v>
      </c>
      <c r="K19" s="228">
        <v>22.5</v>
      </c>
      <c r="L19" s="229">
        <v>0.02</v>
      </c>
      <c r="M19" s="231">
        <v>1149.7</v>
      </c>
      <c r="N19" s="231">
        <v>1126.5999999999999</v>
      </c>
      <c r="O19" s="228">
        <v>23.1</v>
      </c>
      <c r="P19" s="229">
        <v>2.0500000000000001E-2</v>
      </c>
      <c r="Q19" s="231">
        <v>1156.4000000000001</v>
      </c>
      <c r="R19" s="231">
        <v>1131</v>
      </c>
      <c r="S19" s="228">
        <v>25.4</v>
      </c>
      <c r="T19" s="229">
        <v>2.2499999999999999E-2</v>
      </c>
      <c r="U19" s="231">
        <v>1160.7</v>
      </c>
      <c r="V19" s="231">
        <v>1145</v>
      </c>
      <c r="W19" s="228">
        <v>15.7</v>
      </c>
      <c r="X19" s="229">
        <v>1.37E-2</v>
      </c>
      <c r="Y19" s="228">
        <v>3.1</v>
      </c>
      <c r="Z19" s="228">
        <v>2.5</v>
      </c>
      <c r="AA19" s="228">
        <v>0.6</v>
      </c>
      <c r="AB19" s="229">
        <v>2.7000000000000001E-3</v>
      </c>
      <c r="AC19" s="228">
        <v>3.1</v>
      </c>
      <c r="AD19" s="228">
        <v>2.5</v>
      </c>
      <c r="AE19" s="228">
        <v>0.6</v>
      </c>
      <c r="AF19" s="229">
        <v>2.7000000000000001E-3</v>
      </c>
      <c r="AG19" s="228">
        <v>9.8000000000000007</v>
      </c>
      <c r="AH19" s="228">
        <v>6.9</v>
      </c>
      <c r="AI19" s="228">
        <v>2.9</v>
      </c>
      <c r="AJ19" s="229">
        <v>8.5000000000000006E-3</v>
      </c>
      <c r="AK19" s="228">
        <v>14.1</v>
      </c>
      <c r="AL19" s="228">
        <v>20.9</v>
      </c>
      <c r="AM19" s="228">
        <v>-6.8</v>
      </c>
      <c r="AN19" s="229">
        <v>1.23E-2</v>
      </c>
      <c r="AO19" s="231">
        <v>1149.27</v>
      </c>
      <c r="AP19" s="231">
        <v>1156.79</v>
      </c>
      <c r="AQ19" s="228">
        <v>0</v>
      </c>
      <c r="AR19" s="230">
        <v>7311150</v>
      </c>
      <c r="AS19" s="230">
        <v>14727350</v>
      </c>
      <c r="AT19" s="230">
        <v>-7416200</v>
      </c>
      <c r="AU19" s="229">
        <v>-0.50360000000000005</v>
      </c>
      <c r="AV19" s="230">
        <v>6733650</v>
      </c>
      <c r="AW19" s="230">
        <v>13582250</v>
      </c>
      <c r="AX19" s="230">
        <v>-6848600</v>
      </c>
      <c r="AY19" s="229">
        <v>-0.50419999999999998</v>
      </c>
      <c r="AZ19" s="230">
        <v>553850</v>
      </c>
      <c r="BA19" s="230">
        <v>1103300</v>
      </c>
      <c r="BB19" s="230">
        <v>-549450</v>
      </c>
      <c r="BC19" s="229">
        <v>-0.498</v>
      </c>
      <c r="BD19" s="230">
        <v>23650</v>
      </c>
      <c r="BE19" s="230">
        <v>41800</v>
      </c>
      <c r="BF19" s="230">
        <v>-18150</v>
      </c>
      <c r="BG19" s="229">
        <v>-0.43419999999999997</v>
      </c>
      <c r="BH19" s="230">
        <v>37467100</v>
      </c>
      <c r="BI19" s="230">
        <v>57510200</v>
      </c>
      <c r="BJ19" s="230">
        <v>-20043100</v>
      </c>
      <c r="BK19" s="229">
        <v>-0.34849999999999998</v>
      </c>
      <c r="BL19" s="230">
        <v>18350750</v>
      </c>
      <c r="BM19" s="230">
        <v>43242100</v>
      </c>
      <c r="BN19" s="230">
        <v>-24891350</v>
      </c>
      <c r="BO19" s="229">
        <v>-0.5756</v>
      </c>
      <c r="BP19" s="230">
        <v>63129000</v>
      </c>
      <c r="BQ19" s="230">
        <v>115479650</v>
      </c>
      <c r="BR19" s="230">
        <v>-52350650</v>
      </c>
      <c r="BS19" s="229">
        <v>-0.45329999999999998</v>
      </c>
      <c r="BT19" s="230">
        <v>4221581</v>
      </c>
      <c r="BU19" s="230">
        <v>8855038</v>
      </c>
      <c r="BV19" s="230">
        <v>-4633457</v>
      </c>
      <c r="BW19" s="229">
        <v>-0.52329999999999999</v>
      </c>
      <c r="BX19" s="230">
        <v>21616650</v>
      </c>
      <c r="BY19" s="230">
        <v>21409850</v>
      </c>
      <c r="BZ19" s="230">
        <v>206800</v>
      </c>
      <c r="CA19" s="229">
        <v>9.7000000000000003E-3</v>
      </c>
      <c r="CB19" s="230">
        <v>20706400</v>
      </c>
      <c r="CC19" s="230">
        <v>20512250</v>
      </c>
      <c r="CD19" s="230">
        <v>194150</v>
      </c>
      <c r="CE19" s="229">
        <v>9.4999999999999998E-3</v>
      </c>
      <c r="CF19" s="230">
        <v>876700</v>
      </c>
      <c r="CG19" s="230">
        <v>861850</v>
      </c>
      <c r="CH19" s="230">
        <v>14850</v>
      </c>
      <c r="CI19" s="229">
        <v>1.72E-2</v>
      </c>
      <c r="CJ19" s="230">
        <v>33550</v>
      </c>
      <c r="CK19" s="230">
        <v>35750</v>
      </c>
      <c r="CL19" s="230">
        <v>-2200</v>
      </c>
      <c r="CM19" s="229">
        <v>-6.1499999999999999E-2</v>
      </c>
      <c r="CN19" s="230">
        <v>10623250</v>
      </c>
      <c r="CO19" s="230">
        <v>11547800</v>
      </c>
      <c r="CP19" s="230">
        <v>-924550</v>
      </c>
      <c r="CQ19" s="229">
        <v>-8.0100000000000005E-2</v>
      </c>
      <c r="CR19" s="230">
        <v>6754000</v>
      </c>
      <c r="CS19" s="230">
        <v>6339300</v>
      </c>
      <c r="CT19" s="230">
        <v>414700</v>
      </c>
      <c r="CU19" s="229">
        <v>6.54E-2</v>
      </c>
      <c r="CV19" s="230">
        <v>38993900</v>
      </c>
      <c r="CW19" s="230">
        <v>39296950</v>
      </c>
      <c r="CX19" s="230">
        <v>-303050</v>
      </c>
      <c r="CY19" s="229">
        <v>-7.7000000000000002E-3</v>
      </c>
      <c r="CZ19" s="228">
        <v>35.49</v>
      </c>
      <c r="DA19" s="228">
        <v>41.2</v>
      </c>
      <c r="DB19" s="228">
        <v>-5.71</v>
      </c>
      <c r="DC19" s="228">
        <v>-5.71</v>
      </c>
      <c r="DD19" s="228">
        <v>34.119999999999997</v>
      </c>
      <c r="DE19" s="228">
        <v>34.090000000000003</v>
      </c>
      <c r="DF19" s="228">
        <v>1.37</v>
      </c>
      <c r="DG19" s="228">
        <v>0.03</v>
      </c>
      <c r="DH19" s="228">
        <v>34.799999999999997</v>
      </c>
      <c r="DI19" s="228">
        <v>41.36</v>
      </c>
      <c r="DJ19" s="228">
        <v>-6.56</v>
      </c>
      <c r="DK19" s="228">
        <v>-6.56</v>
      </c>
      <c r="DL19" s="228">
        <v>36.89</v>
      </c>
      <c r="DM19" s="228">
        <v>40.98</v>
      </c>
      <c r="DN19" s="228">
        <v>-4.09</v>
      </c>
      <c r="DO19" s="228">
        <v>-4.09</v>
      </c>
      <c r="DP19" s="228">
        <v>0.64</v>
      </c>
      <c r="DQ19" s="228">
        <v>0.55000000000000004</v>
      </c>
      <c r="DR19" s="228">
        <v>0.09</v>
      </c>
      <c r="DS19" s="229">
        <v>0.1636</v>
      </c>
      <c r="DT19" s="231">
        <v>1200</v>
      </c>
      <c r="DU19" s="231">
        <v>1100</v>
      </c>
      <c r="DV19" s="228">
        <v>0.49</v>
      </c>
      <c r="DW19" s="228">
        <v>0.75</v>
      </c>
      <c r="DX19" s="228">
        <v>-0.26</v>
      </c>
      <c r="DY19" s="229">
        <v>-0.34670000000000001</v>
      </c>
      <c r="DZ19" s="229">
        <v>4.2099999999999999E-2</v>
      </c>
      <c r="EA19" s="230">
        <v>897600</v>
      </c>
      <c r="EB19" s="229">
        <v>5.7999999999999996E-3</v>
      </c>
      <c r="EC19" s="229">
        <v>4.2099999999999999E-2</v>
      </c>
      <c r="ED19" s="228">
        <v>7.52</v>
      </c>
      <c r="EE19" s="229">
        <v>6.4999999999999997E-3</v>
      </c>
      <c r="EF19" s="230">
        <v>1616155</v>
      </c>
      <c r="EG19" s="230">
        <v>3505880</v>
      </c>
      <c r="EH19" s="229">
        <v>-0.53900000000000003</v>
      </c>
      <c r="EI19" s="229">
        <v>0.38279999999999997</v>
      </c>
      <c r="EJ19" s="231">
        <v>452255.93</v>
      </c>
      <c r="EK19" s="231">
        <v>207228.84</v>
      </c>
      <c r="EL19" s="231">
        <v>84069.63</v>
      </c>
      <c r="EM19" s="231">
        <v>10928</v>
      </c>
      <c r="EN19" s="231">
        <v>743554.4</v>
      </c>
      <c r="EO19" s="231">
        <v>1371386.43</v>
      </c>
      <c r="EP19" s="231">
        <v>-627832.03</v>
      </c>
      <c r="EQ19" s="229">
        <v>-0.45779999999999998</v>
      </c>
      <c r="ER19" s="231">
        <v>129522</v>
      </c>
      <c r="ES19" s="231">
        <v>75068</v>
      </c>
      <c r="ET19" s="231">
        <v>248589</v>
      </c>
      <c r="EU19" s="231">
        <v>41977935</v>
      </c>
      <c r="EV19" s="231">
        <v>453178</v>
      </c>
      <c r="EW19" s="231">
        <v>452795</v>
      </c>
      <c r="EX19" s="228">
        <v>383</v>
      </c>
      <c r="EY19" s="229">
        <v>8.0000000000000004E-4</v>
      </c>
      <c r="EZ19" s="229">
        <v>0.92889999999999995</v>
      </c>
      <c r="FA19" s="227" t="s">
        <v>555</v>
      </c>
      <c r="FB19" s="161">
        <f t="shared" si="0"/>
        <v>910250</v>
      </c>
    </row>
    <row r="20" spans="1:158" ht="17.25" hidden="1" thickBot="1" x14ac:dyDescent="0.3">
      <c r="A20" s="226">
        <v>46064</v>
      </c>
      <c r="B20" s="227" t="s">
        <v>172</v>
      </c>
      <c r="C20" s="227" t="s">
        <v>173</v>
      </c>
      <c r="D20" s="228">
        <v>625</v>
      </c>
      <c r="E20" s="231">
        <v>1348</v>
      </c>
      <c r="F20" s="231">
        <v>1357.2</v>
      </c>
      <c r="G20" s="228">
        <v>-9.1999999999999993</v>
      </c>
      <c r="H20" s="229">
        <v>-6.7999999999999996E-3</v>
      </c>
      <c r="I20" s="231">
        <v>1347.3</v>
      </c>
      <c r="J20" s="231">
        <v>1356.7</v>
      </c>
      <c r="K20" s="228">
        <v>-9.4</v>
      </c>
      <c r="L20" s="229">
        <v>-6.8999999999999999E-3</v>
      </c>
      <c r="M20" s="231">
        <v>1348</v>
      </c>
      <c r="N20" s="231">
        <v>1357.2</v>
      </c>
      <c r="O20" s="228">
        <v>-9.1999999999999993</v>
      </c>
      <c r="P20" s="229">
        <v>-6.7999999999999996E-3</v>
      </c>
      <c r="Q20" s="231">
        <v>1357.4</v>
      </c>
      <c r="R20" s="231">
        <v>1365.2</v>
      </c>
      <c r="S20" s="228">
        <v>-7.8</v>
      </c>
      <c r="T20" s="229">
        <v>-5.7000000000000002E-3</v>
      </c>
      <c r="U20" s="231">
        <v>1365.9</v>
      </c>
      <c r="V20" s="231">
        <v>1373</v>
      </c>
      <c r="W20" s="228">
        <v>-7.1</v>
      </c>
      <c r="X20" s="229">
        <v>-5.1999999999999998E-3</v>
      </c>
      <c r="Y20" s="228">
        <v>0.7</v>
      </c>
      <c r="Z20" s="228">
        <v>0.5</v>
      </c>
      <c r="AA20" s="228">
        <v>0.2</v>
      </c>
      <c r="AB20" s="229">
        <v>5.0000000000000001E-4</v>
      </c>
      <c r="AC20" s="228">
        <v>0.7</v>
      </c>
      <c r="AD20" s="228">
        <v>0.5</v>
      </c>
      <c r="AE20" s="228">
        <v>0.2</v>
      </c>
      <c r="AF20" s="229">
        <v>5.0000000000000001E-4</v>
      </c>
      <c r="AG20" s="228">
        <v>10.1</v>
      </c>
      <c r="AH20" s="228">
        <v>8.5</v>
      </c>
      <c r="AI20" s="228">
        <v>1.6</v>
      </c>
      <c r="AJ20" s="229">
        <v>7.4999999999999997E-3</v>
      </c>
      <c r="AK20" s="228">
        <v>18.600000000000001</v>
      </c>
      <c r="AL20" s="228">
        <v>16.3</v>
      </c>
      <c r="AM20" s="228">
        <v>2.2999999999999998</v>
      </c>
      <c r="AN20" s="229">
        <v>1.38E-2</v>
      </c>
      <c r="AO20" s="231">
        <v>1350.88</v>
      </c>
      <c r="AP20" s="231">
        <v>1359.77</v>
      </c>
      <c r="AQ20" s="228">
        <v>0</v>
      </c>
      <c r="AR20" s="230">
        <v>3553125</v>
      </c>
      <c r="AS20" s="230">
        <v>5187500</v>
      </c>
      <c r="AT20" s="230">
        <v>-1634375</v>
      </c>
      <c r="AU20" s="229">
        <v>-0.31509999999999999</v>
      </c>
      <c r="AV20" s="230">
        <v>3341875</v>
      </c>
      <c r="AW20" s="230">
        <v>4901250</v>
      </c>
      <c r="AX20" s="230">
        <v>-1559375</v>
      </c>
      <c r="AY20" s="229">
        <v>-0.31819999999999998</v>
      </c>
      <c r="AZ20" s="230">
        <v>204375</v>
      </c>
      <c r="BA20" s="230">
        <v>265625</v>
      </c>
      <c r="BB20" s="230">
        <v>-61250</v>
      </c>
      <c r="BC20" s="229">
        <v>-0.2306</v>
      </c>
      <c r="BD20" s="230">
        <v>6875</v>
      </c>
      <c r="BE20" s="230">
        <v>20625</v>
      </c>
      <c r="BF20" s="230">
        <v>-13750</v>
      </c>
      <c r="BG20" s="229">
        <v>-0.66669999999999996</v>
      </c>
      <c r="BH20" s="230">
        <v>18301250</v>
      </c>
      <c r="BI20" s="230">
        <v>35135625</v>
      </c>
      <c r="BJ20" s="230">
        <v>-16834375</v>
      </c>
      <c r="BK20" s="229">
        <v>-0.47910000000000003</v>
      </c>
      <c r="BL20" s="230">
        <v>13429375</v>
      </c>
      <c r="BM20" s="230">
        <v>18550000</v>
      </c>
      <c r="BN20" s="230">
        <v>-5120625</v>
      </c>
      <c r="BO20" s="229">
        <v>-0.27600000000000002</v>
      </c>
      <c r="BP20" s="230">
        <v>35283750</v>
      </c>
      <c r="BQ20" s="230">
        <v>58873125</v>
      </c>
      <c r="BR20" s="230">
        <v>-23589375</v>
      </c>
      <c r="BS20" s="229">
        <v>-0.4007</v>
      </c>
      <c r="BT20" s="230">
        <v>3961979</v>
      </c>
      <c r="BU20" s="230">
        <v>5547012</v>
      </c>
      <c r="BV20" s="230">
        <v>-1585033</v>
      </c>
      <c r="BW20" s="229">
        <v>-0.28570000000000001</v>
      </c>
      <c r="BX20" s="230">
        <v>67861875</v>
      </c>
      <c r="BY20" s="230">
        <v>68516875</v>
      </c>
      <c r="BZ20" s="230">
        <v>-655000</v>
      </c>
      <c r="CA20" s="229">
        <v>-9.5999999999999992E-3</v>
      </c>
      <c r="CB20" s="230">
        <v>63886875</v>
      </c>
      <c r="CC20" s="230">
        <v>64560625</v>
      </c>
      <c r="CD20" s="230">
        <v>-673750</v>
      </c>
      <c r="CE20" s="229">
        <v>-1.04E-2</v>
      </c>
      <c r="CF20" s="230">
        <v>3681250</v>
      </c>
      <c r="CG20" s="230">
        <v>3663750</v>
      </c>
      <c r="CH20" s="230">
        <v>17500</v>
      </c>
      <c r="CI20" s="229">
        <v>4.7999999999999996E-3</v>
      </c>
      <c r="CJ20" s="230">
        <v>293750</v>
      </c>
      <c r="CK20" s="230">
        <v>292500</v>
      </c>
      <c r="CL20" s="230">
        <v>1250</v>
      </c>
      <c r="CM20" s="229">
        <v>4.3E-3</v>
      </c>
      <c r="CN20" s="230">
        <v>28076875</v>
      </c>
      <c r="CO20" s="230">
        <v>27226250</v>
      </c>
      <c r="CP20" s="230">
        <v>850625</v>
      </c>
      <c r="CQ20" s="229">
        <v>3.1199999999999999E-2</v>
      </c>
      <c r="CR20" s="230">
        <v>14171250</v>
      </c>
      <c r="CS20" s="230">
        <v>14481250</v>
      </c>
      <c r="CT20" s="230">
        <v>-310000</v>
      </c>
      <c r="CU20" s="229">
        <v>-2.1399999999999999E-2</v>
      </c>
      <c r="CV20" s="230">
        <v>110110000</v>
      </c>
      <c r="CW20" s="230">
        <v>110224375</v>
      </c>
      <c r="CX20" s="230">
        <v>-114375</v>
      </c>
      <c r="CY20" s="229">
        <v>-1E-3</v>
      </c>
      <c r="CZ20" s="228">
        <v>21.6</v>
      </c>
      <c r="DA20" s="228">
        <v>19.98</v>
      </c>
      <c r="DB20" s="228">
        <v>1.62</v>
      </c>
      <c r="DC20" s="228">
        <v>1.62</v>
      </c>
      <c r="DD20" s="228">
        <v>26.78</v>
      </c>
      <c r="DE20" s="228">
        <v>26.84</v>
      </c>
      <c r="DF20" s="228">
        <v>-5.18</v>
      </c>
      <c r="DG20" s="228">
        <v>-0.06</v>
      </c>
      <c r="DH20" s="228">
        <v>19.45</v>
      </c>
      <c r="DI20" s="228">
        <v>18.36</v>
      </c>
      <c r="DJ20" s="228">
        <v>1.0900000000000001</v>
      </c>
      <c r="DK20" s="228">
        <v>1.0900000000000001</v>
      </c>
      <c r="DL20" s="228">
        <v>24.53</v>
      </c>
      <c r="DM20" s="228">
        <v>23.07</v>
      </c>
      <c r="DN20" s="228">
        <v>1.46</v>
      </c>
      <c r="DO20" s="228">
        <v>1.46</v>
      </c>
      <c r="DP20" s="228">
        <v>0.5</v>
      </c>
      <c r="DQ20" s="228">
        <v>0.53</v>
      </c>
      <c r="DR20" s="228">
        <v>-0.03</v>
      </c>
      <c r="DS20" s="229">
        <v>-5.6599999999999998E-2</v>
      </c>
      <c r="DT20" s="231">
        <v>1380</v>
      </c>
      <c r="DU20" s="231">
        <v>1320</v>
      </c>
      <c r="DV20" s="228">
        <v>0.73</v>
      </c>
      <c r="DW20" s="228">
        <v>0.53</v>
      </c>
      <c r="DX20" s="228">
        <v>0.2</v>
      </c>
      <c r="DY20" s="229">
        <v>0.37740000000000001</v>
      </c>
      <c r="DZ20" s="229">
        <v>5.8599999999999999E-2</v>
      </c>
      <c r="EA20" s="230">
        <v>3956250</v>
      </c>
      <c r="EB20" s="229">
        <v>7.0000000000000001E-3</v>
      </c>
      <c r="EC20" s="229">
        <v>5.8599999999999999E-2</v>
      </c>
      <c r="ED20" s="228">
        <v>8.89</v>
      </c>
      <c r="EE20" s="229">
        <v>6.6E-3</v>
      </c>
      <c r="EF20" s="230">
        <v>2558486</v>
      </c>
      <c r="EG20" s="230">
        <v>3593215</v>
      </c>
      <c r="EH20" s="229">
        <v>-0.28799999999999998</v>
      </c>
      <c r="EI20" s="229">
        <v>0.64580000000000004</v>
      </c>
      <c r="EJ20" s="231">
        <v>256224.12</v>
      </c>
      <c r="EK20" s="231">
        <v>173732.48000000001</v>
      </c>
      <c r="EL20" s="231">
        <v>48017.75</v>
      </c>
      <c r="EM20" s="231">
        <v>11796</v>
      </c>
      <c r="EN20" s="231">
        <v>477974.35</v>
      </c>
      <c r="EO20" s="231">
        <v>802817.5</v>
      </c>
      <c r="EP20" s="231">
        <v>-324843.15000000002</v>
      </c>
      <c r="EQ20" s="229">
        <v>-0.40460000000000002</v>
      </c>
      <c r="ER20" s="231">
        <v>388368</v>
      </c>
      <c r="ES20" s="231">
        <v>182877</v>
      </c>
      <c r="ET20" s="231">
        <v>915177</v>
      </c>
      <c r="EU20" s="231">
        <v>296371456</v>
      </c>
      <c r="EV20" s="231">
        <v>1486422</v>
      </c>
      <c r="EW20" s="231">
        <v>1493759</v>
      </c>
      <c r="EX20" s="231">
        <v>-7337</v>
      </c>
      <c r="EY20" s="229">
        <v>-4.8999999999999998E-3</v>
      </c>
      <c r="EZ20" s="229">
        <v>0.3715</v>
      </c>
      <c r="FA20" s="227" t="s">
        <v>568</v>
      </c>
      <c r="FB20" s="161">
        <f t="shared" si="0"/>
        <v>3975000</v>
      </c>
    </row>
    <row r="21" spans="1:158" ht="17.25" hidden="1" thickBot="1" x14ac:dyDescent="0.3">
      <c r="A21" s="226">
        <v>46064</v>
      </c>
      <c r="B21" s="227" t="s">
        <v>162</v>
      </c>
      <c r="C21" s="227" t="s">
        <v>174</v>
      </c>
      <c r="D21" s="228">
        <v>75</v>
      </c>
      <c r="E21" s="231">
        <v>9869.5</v>
      </c>
      <c r="F21" s="231">
        <v>9805</v>
      </c>
      <c r="G21" s="228">
        <v>64.5</v>
      </c>
      <c r="H21" s="229">
        <v>6.6E-3</v>
      </c>
      <c r="I21" s="231">
        <v>9869.5</v>
      </c>
      <c r="J21" s="231">
        <v>9774</v>
      </c>
      <c r="K21" s="228">
        <v>95.5</v>
      </c>
      <c r="L21" s="229">
        <v>9.7999999999999997E-3</v>
      </c>
      <c r="M21" s="231">
        <v>9869.5</v>
      </c>
      <c r="N21" s="231">
        <v>9805</v>
      </c>
      <c r="O21" s="228">
        <v>64.5</v>
      </c>
      <c r="P21" s="229">
        <v>6.6E-3</v>
      </c>
      <c r="Q21" s="231">
        <v>9900</v>
      </c>
      <c r="R21" s="231">
        <v>9835.5</v>
      </c>
      <c r="S21" s="228">
        <v>64.5</v>
      </c>
      <c r="T21" s="229">
        <v>6.6E-3</v>
      </c>
      <c r="U21" s="231">
        <v>9936</v>
      </c>
      <c r="V21" s="231">
        <v>9869</v>
      </c>
      <c r="W21" s="228">
        <v>67</v>
      </c>
      <c r="X21" s="229">
        <v>6.7999999999999996E-3</v>
      </c>
      <c r="Y21" s="228">
        <v>0</v>
      </c>
      <c r="Z21" s="228">
        <v>31</v>
      </c>
      <c r="AA21" s="228">
        <v>-31</v>
      </c>
      <c r="AB21" s="229">
        <v>0</v>
      </c>
      <c r="AC21" s="228">
        <v>0</v>
      </c>
      <c r="AD21" s="228">
        <v>31</v>
      </c>
      <c r="AE21" s="228">
        <v>-31</v>
      </c>
      <c r="AF21" s="229">
        <v>0</v>
      </c>
      <c r="AG21" s="228">
        <v>30.5</v>
      </c>
      <c r="AH21" s="228">
        <v>61.5</v>
      </c>
      <c r="AI21" s="228">
        <v>-31</v>
      </c>
      <c r="AJ21" s="229">
        <v>3.0999999999999999E-3</v>
      </c>
      <c r="AK21" s="228">
        <v>66.5</v>
      </c>
      <c r="AL21" s="228">
        <v>95</v>
      </c>
      <c r="AM21" s="228">
        <v>-28.5</v>
      </c>
      <c r="AN21" s="229">
        <v>6.7000000000000002E-3</v>
      </c>
      <c r="AO21" s="231">
        <v>9869.32</v>
      </c>
      <c r="AP21" s="231">
        <v>9895.93</v>
      </c>
      <c r="AQ21" s="228">
        <v>0</v>
      </c>
      <c r="AR21" s="230">
        <v>398925</v>
      </c>
      <c r="AS21" s="230">
        <v>592425</v>
      </c>
      <c r="AT21" s="230">
        <v>-193500</v>
      </c>
      <c r="AU21" s="229">
        <v>-0.3266</v>
      </c>
      <c r="AV21" s="230">
        <v>349500</v>
      </c>
      <c r="AW21" s="230">
        <v>542475</v>
      </c>
      <c r="AX21" s="230">
        <v>-192975</v>
      </c>
      <c r="AY21" s="229">
        <v>-0.35570000000000002</v>
      </c>
      <c r="AZ21" s="230">
        <v>46650</v>
      </c>
      <c r="BA21" s="230">
        <v>47850</v>
      </c>
      <c r="BB21" s="230">
        <v>-1200</v>
      </c>
      <c r="BC21" s="229">
        <v>-2.5100000000000001E-2</v>
      </c>
      <c r="BD21" s="230">
        <v>2775</v>
      </c>
      <c r="BE21" s="230">
        <v>2100</v>
      </c>
      <c r="BF21" s="228">
        <v>675</v>
      </c>
      <c r="BG21" s="229">
        <v>0.32140000000000002</v>
      </c>
      <c r="BH21" s="230">
        <v>3411450</v>
      </c>
      <c r="BI21" s="230">
        <v>6169500</v>
      </c>
      <c r="BJ21" s="230">
        <v>-2758050</v>
      </c>
      <c r="BK21" s="229">
        <v>-0.44700000000000001</v>
      </c>
      <c r="BL21" s="230">
        <v>1374525</v>
      </c>
      <c r="BM21" s="230">
        <v>2138775</v>
      </c>
      <c r="BN21" s="230">
        <v>-764250</v>
      </c>
      <c r="BO21" s="229">
        <v>-0.35730000000000001</v>
      </c>
      <c r="BP21" s="230">
        <v>5184900</v>
      </c>
      <c r="BQ21" s="230">
        <v>8900700</v>
      </c>
      <c r="BR21" s="230">
        <v>-3715800</v>
      </c>
      <c r="BS21" s="229">
        <v>-0.41749999999999998</v>
      </c>
      <c r="BT21" s="230">
        <v>332727</v>
      </c>
      <c r="BU21" s="230">
        <v>353874</v>
      </c>
      <c r="BV21" s="230">
        <v>-21147</v>
      </c>
      <c r="BW21" s="229">
        <v>-5.9799999999999999E-2</v>
      </c>
      <c r="BX21" s="230">
        <v>3081675</v>
      </c>
      <c r="BY21" s="230">
        <v>3076650</v>
      </c>
      <c r="BZ21" s="230">
        <v>5025</v>
      </c>
      <c r="CA21" s="229">
        <v>1.6000000000000001E-3</v>
      </c>
      <c r="CB21" s="230">
        <v>2961450</v>
      </c>
      <c r="CC21" s="230">
        <v>2977875</v>
      </c>
      <c r="CD21" s="230">
        <v>-16425</v>
      </c>
      <c r="CE21" s="229">
        <v>-5.4999999999999997E-3</v>
      </c>
      <c r="CF21" s="230">
        <v>114525</v>
      </c>
      <c r="CG21" s="230">
        <v>93900</v>
      </c>
      <c r="CH21" s="230">
        <v>20625</v>
      </c>
      <c r="CI21" s="229">
        <v>0.21959999999999999</v>
      </c>
      <c r="CJ21" s="230">
        <v>5700</v>
      </c>
      <c r="CK21" s="230">
        <v>4875</v>
      </c>
      <c r="CL21" s="228">
        <v>825</v>
      </c>
      <c r="CM21" s="229">
        <v>0.16919999999999999</v>
      </c>
      <c r="CN21" s="230">
        <v>1435650</v>
      </c>
      <c r="CO21" s="230">
        <v>1369725</v>
      </c>
      <c r="CP21" s="230">
        <v>65925</v>
      </c>
      <c r="CQ21" s="229">
        <v>4.8099999999999997E-2</v>
      </c>
      <c r="CR21" s="230">
        <v>1001850</v>
      </c>
      <c r="CS21" s="230">
        <v>934275</v>
      </c>
      <c r="CT21" s="230">
        <v>67575</v>
      </c>
      <c r="CU21" s="229">
        <v>7.2300000000000003E-2</v>
      </c>
      <c r="CV21" s="230">
        <v>5519175</v>
      </c>
      <c r="CW21" s="230">
        <v>5380650</v>
      </c>
      <c r="CX21" s="230">
        <v>138525</v>
      </c>
      <c r="CY21" s="229">
        <v>2.5700000000000001E-2</v>
      </c>
      <c r="CZ21" s="228">
        <v>22.99</v>
      </c>
      <c r="DA21" s="228">
        <v>23.2</v>
      </c>
      <c r="DB21" s="228">
        <v>-0.21</v>
      </c>
      <c r="DC21" s="228">
        <v>-0.21</v>
      </c>
      <c r="DD21" s="228">
        <v>27.4</v>
      </c>
      <c r="DE21" s="228">
        <v>27.43</v>
      </c>
      <c r="DF21" s="228">
        <v>-4.41</v>
      </c>
      <c r="DG21" s="228">
        <v>-0.03</v>
      </c>
      <c r="DH21" s="228">
        <v>22.15</v>
      </c>
      <c r="DI21" s="228">
        <v>22.63</v>
      </c>
      <c r="DJ21" s="228">
        <v>-0.48</v>
      </c>
      <c r="DK21" s="228">
        <v>-0.48</v>
      </c>
      <c r="DL21" s="228">
        <v>25.07</v>
      </c>
      <c r="DM21" s="228">
        <v>24.87</v>
      </c>
      <c r="DN21" s="228">
        <v>0.2</v>
      </c>
      <c r="DO21" s="228">
        <v>0.2</v>
      </c>
      <c r="DP21" s="228">
        <v>0.7</v>
      </c>
      <c r="DQ21" s="228">
        <v>0.68</v>
      </c>
      <c r="DR21" s="228">
        <v>0.02</v>
      </c>
      <c r="DS21" s="229">
        <v>2.9399999999999999E-2</v>
      </c>
      <c r="DT21" s="231">
        <v>9800</v>
      </c>
      <c r="DU21" s="231">
        <v>9700</v>
      </c>
      <c r="DV21" s="228">
        <v>0.4</v>
      </c>
      <c r="DW21" s="228">
        <v>0.35</v>
      </c>
      <c r="DX21" s="228">
        <v>0.05</v>
      </c>
      <c r="DY21" s="229">
        <v>0.1429</v>
      </c>
      <c r="DZ21" s="229">
        <v>3.9E-2</v>
      </c>
      <c r="EA21" s="230">
        <v>98775</v>
      </c>
      <c r="EB21" s="229">
        <v>3.0999999999999999E-3</v>
      </c>
      <c r="EC21" s="229">
        <v>3.9E-2</v>
      </c>
      <c r="ED21" s="228">
        <v>26.61</v>
      </c>
      <c r="EE21" s="229">
        <v>2.7000000000000001E-3</v>
      </c>
      <c r="EF21" s="230">
        <v>152062</v>
      </c>
      <c r="EG21" s="230">
        <v>146459</v>
      </c>
      <c r="EH21" s="229">
        <v>3.8300000000000001E-2</v>
      </c>
      <c r="EI21" s="229">
        <v>0.45700000000000002</v>
      </c>
      <c r="EJ21" s="231">
        <v>346694</v>
      </c>
      <c r="EK21" s="231">
        <v>132194.87</v>
      </c>
      <c r="EL21" s="231">
        <v>39385.67</v>
      </c>
      <c r="EM21" s="231">
        <v>5195</v>
      </c>
      <c r="EN21" s="231">
        <v>518274.54</v>
      </c>
      <c r="EO21" s="231">
        <v>887515.47</v>
      </c>
      <c r="EP21" s="231">
        <v>-369240.93</v>
      </c>
      <c r="EQ21" s="229">
        <v>-0.41599999999999998</v>
      </c>
      <c r="ER21" s="231">
        <v>144886</v>
      </c>
      <c r="ES21" s="231">
        <v>92483</v>
      </c>
      <c r="ET21" s="231">
        <v>304185</v>
      </c>
      <c r="EU21" s="231">
        <v>15906526</v>
      </c>
      <c r="EV21" s="231">
        <v>541553</v>
      </c>
      <c r="EW21" s="231">
        <v>525285</v>
      </c>
      <c r="EX21" s="231">
        <v>16268</v>
      </c>
      <c r="EY21" s="229">
        <v>3.1E-2</v>
      </c>
      <c r="EZ21" s="229">
        <v>0.34699999999999998</v>
      </c>
      <c r="FA21" s="227" t="s">
        <v>555</v>
      </c>
      <c r="FB21" s="161">
        <f t="shared" si="0"/>
        <v>120225</v>
      </c>
    </row>
    <row r="22" spans="1:158" ht="17.25" hidden="1" thickBot="1" x14ac:dyDescent="0.3">
      <c r="A22" s="226">
        <v>46064</v>
      </c>
      <c r="B22" s="227" t="s">
        <v>175</v>
      </c>
      <c r="C22" s="227" t="s">
        <v>176</v>
      </c>
      <c r="D22" s="228">
        <v>250</v>
      </c>
      <c r="E22" s="231">
        <v>2028.5</v>
      </c>
      <c r="F22" s="231">
        <v>2029.4</v>
      </c>
      <c r="G22" s="228">
        <v>-0.9</v>
      </c>
      <c r="H22" s="229">
        <v>-4.0000000000000002E-4</v>
      </c>
      <c r="I22" s="231">
        <v>2027</v>
      </c>
      <c r="J22" s="231">
        <v>2027.9</v>
      </c>
      <c r="K22" s="228">
        <v>-0.9</v>
      </c>
      <c r="L22" s="229">
        <v>-4.0000000000000002E-4</v>
      </c>
      <c r="M22" s="231">
        <v>2028.5</v>
      </c>
      <c r="N22" s="231">
        <v>2029.4</v>
      </c>
      <c r="O22" s="228">
        <v>-0.9</v>
      </c>
      <c r="P22" s="229">
        <v>-4.0000000000000002E-4</v>
      </c>
      <c r="Q22" s="231">
        <v>2041.4</v>
      </c>
      <c r="R22" s="231">
        <v>2041.6</v>
      </c>
      <c r="S22" s="228">
        <v>-0.2</v>
      </c>
      <c r="T22" s="229">
        <v>-1E-4</v>
      </c>
      <c r="U22" s="231">
        <v>2055</v>
      </c>
      <c r="V22" s="231">
        <v>2056.1</v>
      </c>
      <c r="W22" s="228">
        <v>-1.1000000000000001</v>
      </c>
      <c r="X22" s="229">
        <v>-5.0000000000000001E-4</v>
      </c>
      <c r="Y22" s="228">
        <v>1.5</v>
      </c>
      <c r="Z22" s="228">
        <v>1.5</v>
      </c>
      <c r="AA22" s="228">
        <v>0</v>
      </c>
      <c r="AB22" s="229">
        <v>6.9999999999999999E-4</v>
      </c>
      <c r="AC22" s="228">
        <v>1.5</v>
      </c>
      <c r="AD22" s="228">
        <v>1.5</v>
      </c>
      <c r="AE22" s="228">
        <v>0</v>
      </c>
      <c r="AF22" s="229">
        <v>6.9999999999999999E-4</v>
      </c>
      <c r="AG22" s="228">
        <v>14.4</v>
      </c>
      <c r="AH22" s="228">
        <v>13.7</v>
      </c>
      <c r="AI22" s="228">
        <v>0.7</v>
      </c>
      <c r="AJ22" s="229">
        <v>7.1000000000000004E-3</v>
      </c>
      <c r="AK22" s="228">
        <v>28</v>
      </c>
      <c r="AL22" s="228">
        <v>28.2</v>
      </c>
      <c r="AM22" s="228">
        <v>-0.2</v>
      </c>
      <c r="AN22" s="229">
        <v>1.38E-2</v>
      </c>
      <c r="AO22" s="231">
        <v>2035.95</v>
      </c>
      <c r="AP22" s="231">
        <v>2049.13</v>
      </c>
      <c r="AQ22" s="228">
        <v>0</v>
      </c>
      <c r="AR22" s="230">
        <v>747250</v>
      </c>
      <c r="AS22" s="230">
        <v>930500</v>
      </c>
      <c r="AT22" s="230">
        <v>-183250</v>
      </c>
      <c r="AU22" s="229">
        <v>-0.19689999999999999</v>
      </c>
      <c r="AV22" s="230">
        <v>683500</v>
      </c>
      <c r="AW22" s="230">
        <v>896000</v>
      </c>
      <c r="AX22" s="230">
        <v>-212500</v>
      </c>
      <c r="AY22" s="229">
        <v>-0.23719999999999999</v>
      </c>
      <c r="AZ22" s="230">
        <v>59250</v>
      </c>
      <c r="BA22" s="230">
        <v>32250</v>
      </c>
      <c r="BB22" s="230">
        <v>27000</v>
      </c>
      <c r="BC22" s="229">
        <v>0.83720000000000006</v>
      </c>
      <c r="BD22" s="230">
        <v>4500</v>
      </c>
      <c r="BE22" s="230">
        <v>2250</v>
      </c>
      <c r="BF22" s="230">
        <v>2250</v>
      </c>
      <c r="BG22" s="229">
        <v>1</v>
      </c>
      <c r="BH22" s="230">
        <v>7528250</v>
      </c>
      <c r="BI22" s="230">
        <v>3871750</v>
      </c>
      <c r="BJ22" s="230">
        <v>3656500</v>
      </c>
      <c r="BK22" s="229">
        <v>0.94440000000000002</v>
      </c>
      <c r="BL22" s="230">
        <v>2882750</v>
      </c>
      <c r="BM22" s="230">
        <v>2332000</v>
      </c>
      <c r="BN22" s="230">
        <v>550750</v>
      </c>
      <c r="BO22" s="229">
        <v>0.23619999999999999</v>
      </c>
      <c r="BP22" s="230">
        <v>11158250</v>
      </c>
      <c r="BQ22" s="230">
        <v>7134250</v>
      </c>
      <c r="BR22" s="230">
        <v>4024000</v>
      </c>
      <c r="BS22" s="229">
        <v>0.56399999999999995</v>
      </c>
      <c r="BT22" s="230">
        <v>554419</v>
      </c>
      <c r="BU22" s="230">
        <v>748492</v>
      </c>
      <c r="BV22" s="230">
        <v>-194073</v>
      </c>
      <c r="BW22" s="229">
        <v>-0.25929999999999997</v>
      </c>
      <c r="BX22" s="230">
        <v>12790500</v>
      </c>
      <c r="BY22" s="230">
        <v>12867000</v>
      </c>
      <c r="BZ22" s="230">
        <v>-76500</v>
      </c>
      <c r="CA22" s="229">
        <v>-5.8999999999999999E-3</v>
      </c>
      <c r="CB22" s="230">
        <v>12423750</v>
      </c>
      <c r="CC22" s="230">
        <v>12520250</v>
      </c>
      <c r="CD22" s="230">
        <v>-96500</v>
      </c>
      <c r="CE22" s="229">
        <v>-7.7000000000000002E-3</v>
      </c>
      <c r="CF22" s="230">
        <v>338750</v>
      </c>
      <c r="CG22" s="230">
        <v>320750</v>
      </c>
      <c r="CH22" s="230">
        <v>18000</v>
      </c>
      <c r="CI22" s="229">
        <v>5.6099999999999997E-2</v>
      </c>
      <c r="CJ22" s="230">
        <v>28000</v>
      </c>
      <c r="CK22" s="230">
        <v>26000</v>
      </c>
      <c r="CL22" s="230">
        <v>2000</v>
      </c>
      <c r="CM22" s="229">
        <v>7.6899999999999996E-2</v>
      </c>
      <c r="CN22" s="230">
        <v>5875500</v>
      </c>
      <c r="CO22" s="230">
        <v>5816250</v>
      </c>
      <c r="CP22" s="230">
        <v>59250</v>
      </c>
      <c r="CQ22" s="229">
        <v>1.0200000000000001E-2</v>
      </c>
      <c r="CR22" s="230">
        <v>3882250</v>
      </c>
      <c r="CS22" s="230">
        <v>3908500</v>
      </c>
      <c r="CT22" s="230">
        <v>-26250</v>
      </c>
      <c r="CU22" s="229">
        <v>-6.7000000000000002E-3</v>
      </c>
      <c r="CV22" s="230">
        <v>22548250</v>
      </c>
      <c r="CW22" s="230">
        <v>22591750</v>
      </c>
      <c r="CX22" s="230">
        <v>-43500</v>
      </c>
      <c r="CY22" s="229">
        <v>-1.9E-3</v>
      </c>
      <c r="CZ22" s="228">
        <v>19.989999999999998</v>
      </c>
      <c r="DA22" s="228">
        <v>20.02</v>
      </c>
      <c r="DB22" s="228">
        <v>-0.03</v>
      </c>
      <c r="DC22" s="228">
        <v>-0.03</v>
      </c>
      <c r="DD22" s="228">
        <v>27.97</v>
      </c>
      <c r="DE22" s="228">
        <v>28.04</v>
      </c>
      <c r="DF22" s="228">
        <v>-7.98</v>
      </c>
      <c r="DG22" s="228">
        <v>-7.0000000000000007E-2</v>
      </c>
      <c r="DH22" s="228">
        <v>19.72</v>
      </c>
      <c r="DI22" s="228">
        <v>19.36</v>
      </c>
      <c r="DJ22" s="228">
        <v>0.36</v>
      </c>
      <c r="DK22" s="228">
        <v>0.36</v>
      </c>
      <c r="DL22" s="228">
        <v>20.68</v>
      </c>
      <c r="DM22" s="228">
        <v>21.11</v>
      </c>
      <c r="DN22" s="228">
        <v>-0.43</v>
      </c>
      <c r="DO22" s="228">
        <v>-0.43</v>
      </c>
      <c r="DP22" s="228">
        <v>0.66</v>
      </c>
      <c r="DQ22" s="228">
        <v>0.67</v>
      </c>
      <c r="DR22" s="228">
        <v>-0.01</v>
      </c>
      <c r="DS22" s="229">
        <v>-1.49E-2</v>
      </c>
      <c r="DT22" s="231">
        <v>2040</v>
      </c>
      <c r="DU22" s="231">
        <v>1680</v>
      </c>
      <c r="DV22" s="228">
        <v>0.38</v>
      </c>
      <c r="DW22" s="228">
        <v>0.6</v>
      </c>
      <c r="DX22" s="228">
        <v>-0.22</v>
      </c>
      <c r="DY22" s="229">
        <v>-0.36670000000000003</v>
      </c>
      <c r="DZ22" s="229">
        <v>2.87E-2</v>
      </c>
      <c r="EA22" s="230">
        <v>346750</v>
      </c>
      <c r="EB22" s="229">
        <v>6.4000000000000003E-3</v>
      </c>
      <c r="EC22" s="229">
        <v>2.87E-2</v>
      </c>
      <c r="ED22" s="228">
        <v>13.18</v>
      </c>
      <c r="EE22" s="229">
        <v>6.4999999999999997E-3</v>
      </c>
      <c r="EF22" s="230">
        <v>263282</v>
      </c>
      <c r="EG22" s="230">
        <v>476429</v>
      </c>
      <c r="EH22" s="229">
        <v>-0.44740000000000002</v>
      </c>
      <c r="EI22" s="229">
        <v>0.47489999999999999</v>
      </c>
      <c r="EJ22" s="231">
        <v>156820.39000000001</v>
      </c>
      <c r="EK22" s="231">
        <v>57783.65</v>
      </c>
      <c r="EL22" s="231">
        <v>15222.84</v>
      </c>
      <c r="EM22" s="231">
        <v>5238</v>
      </c>
      <c r="EN22" s="231">
        <v>229826.88</v>
      </c>
      <c r="EO22" s="231">
        <v>145881.69</v>
      </c>
      <c r="EP22" s="231">
        <v>83945.19</v>
      </c>
      <c r="EQ22" s="229">
        <v>0.57540000000000002</v>
      </c>
      <c r="ER22" s="231">
        <v>122351</v>
      </c>
      <c r="ES22" s="231">
        <v>72845</v>
      </c>
      <c r="ET22" s="231">
        <v>259506</v>
      </c>
      <c r="EU22" s="231">
        <v>65701623</v>
      </c>
      <c r="EV22" s="231">
        <v>454702</v>
      </c>
      <c r="EW22" s="231">
        <v>455588</v>
      </c>
      <c r="EX22" s="228">
        <v>-886</v>
      </c>
      <c r="EY22" s="229">
        <v>-1.9E-3</v>
      </c>
      <c r="EZ22" s="229">
        <v>0.34320000000000001</v>
      </c>
      <c r="FA22" s="227" t="s">
        <v>568</v>
      </c>
      <c r="FB22" s="161">
        <f t="shared" si="0"/>
        <v>366750</v>
      </c>
    </row>
    <row r="23" spans="1:158" ht="17.25" hidden="1" thickBot="1" x14ac:dyDescent="0.3">
      <c r="A23" s="226">
        <v>46064</v>
      </c>
      <c r="B23" s="227" t="s">
        <v>175</v>
      </c>
      <c r="C23" s="227" t="s">
        <v>690</v>
      </c>
      <c r="D23" s="228">
        <v>50</v>
      </c>
      <c r="E23" s="231">
        <v>11120</v>
      </c>
      <c r="F23" s="231">
        <v>11118</v>
      </c>
      <c r="G23" s="228">
        <v>2</v>
      </c>
      <c r="H23" s="229">
        <v>2.0000000000000001E-4</v>
      </c>
      <c r="I23" s="231">
        <v>11111</v>
      </c>
      <c r="J23" s="231">
        <v>11081</v>
      </c>
      <c r="K23" s="228">
        <v>30</v>
      </c>
      <c r="L23" s="229">
        <v>2.7000000000000001E-3</v>
      </c>
      <c r="M23" s="231">
        <v>11120</v>
      </c>
      <c r="N23" s="231">
        <v>11118</v>
      </c>
      <c r="O23" s="228">
        <v>2</v>
      </c>
      <c r="P23" s="229">
        <v>2.0000000000000001E-4</v>
      </c>
      <c r="Q23" s="231">
        <v>11186</v>
      </c>
      <c r="R23" s="231">
        <v>11175</v>
      </c>
      <c r="S23" s="228">
        <v>11</v>
      </c>
      <c r="T23" s="229">
        <v>1E-3</v>
      </c>
      <c r="U23" s="231">
        <v>11261</v>
      </c>
      <c r="V23" s="231">
        <v>11200</v>
      </c>
      <c r="W23" s="228">
        <v>61</v>
      </c>
      <c r="X23" s="229">
        <v>5.4000000000000003E-3</v>
      </c>
      <c r="Y23" s="228">
        <v>9</v>
      </c>
      <c r="Z23" s="228">
        <v>37</v>
      </c>
      <c r="AA23" s="228">
        <v>-28</v>
      </c>
      <c r="AB23" s="229">
        <v>8.0000000000000004E-4</v>
      </c>
      <c r="AC23" s="228">
        <v>9</v>
      </c>
      <c r="AD23" s="228">
        <v>37</v>
      </c>
      <c r="AE23" s="228">
        <v>-28</v>
      </c>
      <c r="AF23" s="229">
        <v>8.0000000000000004E-4</v>
      </c>
      <c r="AG23" s="228">
        <v>75</v>
      </c>
      <c r="AH23" s="228">
        <v>94</v>
      </c>
      <c r="AI23" s="228">
        <v>-19</v>
      </c>
      <c r="AJ23" s="229">
        <v>6.7999999999999996E-3</v>
      </c>
      <c r="AK23" s="228">
        <v>150</v>
      </c>
      <c r="AL23" s="228">
        <v>119</v>
      </c>
      <c r="AM23" s="228">
        <v>31</v>
      </c>
      <c r="AN23" s="229">
        <v>1.35E-2</v>
      </c>
      <c r="AO23" s="231">
        <v>11141.23</v>
      </c>
      <c r="AP23" s="231">
        <v>11223.13</v>
      </c>
      <c r="AQ23" s="228">
        <v>0</v>
      </c>
      <c r="AR23" s="230">
        <v>26350</v>
      </c>
      <c r="AS23" s="230">
        <v>30100</v>
      </c>
      <c r="AT23" s="230">
        <v>-3750</v>
      </c>
      <c r="AU23" s="229">
        <v>-0.1246</v>
      </c>
      <c r="AV23" s="230">
        <v>24400</v>
      </c>
      <c r="AW23" s="230">
        <v>23350</v>
      </c>
      <c r="AX23" s="230">
        <v>1050</v>
      </c>
      <c r="AY23" s="229">
        <v>4.4999999999999998E-2</v>
      </c>
      <c r="AZ23" s="230">
        <v>1600</v>
      </c>
      <c r="BA23" s="230">
        <v>6550</v>
      </c>
      <c r="BB23" s="230">
        <v>-4950</v>
      </c>
      <c r="BC23" s="229">
        <v>-0.75570000000000004</v>
      </c>
      <c r="BD23" s="228">
        <v>350</v>
      </c>
      <c r="BE23" s="228">
        <v>200</v>
      </c>
      <c r="BF23" s="228">
        <v>150</v>
      </c>
      <c r="BG23" s="229">
        <v>0.75</v>
      </c>
      <c r="BH23" s="230">
        <v>120700</v>
      </c>
      <c r="BI23" s="230">
        <v>122900</v>
      </c>
      <c r="BJ23" s="230">
        <v>-2200</v>
      </c>
      <c r="BK23" s="229">
        <v>-1.7899999999999999E-2</v>
      </c>
      <c r="BL23" s="230">
        <v>8600</v>
      </c>
      <c r="BM23" s="230">
        <v>10650</v>
      </c>
      <c r="BN23" s="230">
        <v>-2050</v>
      </c>
      <c r="BO23" s="229">
        <v>-0.1925</v>
      </c>
      <c r="BP23" s="230">
        <v>155650</v>
      </c>
      <c r="BQ23" s="230">
        <v>163650</v>
      </c>
      <c r="BR23" s="230">
        <v>-8000</v>
      </c>
      <c r="BS23" s="229">
        <v>-4.8899999999999999E-2</v>
      </c>
      <c r="BT23" s="230">
        <v>29731</v>
      </c>
      <c r="BU23" s="230">
        <v>34390</v>
      </c>
      <c r="BV23" s="230">
        <v>-4659</v>
      </c>
      <c r="BW23" s="229">
        <v>-0.13550000000000001</v>
      </c>
      <c r="BX23" s="230">
        <v>212950</v>
      </c>
      <c r="BY23" s="230">
        <v>213400</v>
      </c>
      <c r="BZ23" s="228">
        <v>-450</v>
      </c>
      <c r="CA23" s="229">
        <v>-2.0999999999999999E-3</v>
      </c>
      <c r="CB23" s="230">
        <v>204100</v>
      </c>
      <c r="CC23" s="230">
        <v>205000</v>
      </c>
      <c r="CD23" s="228">
        <v>-900</v>
      </c>
      <c r="CE23" s="229">
        <v>-4.4000000000000003E-3</v>
      </c>
      <c r="CF23" s="230">
        <v>7950</v>
      </c>
      <c r="CG23" s="230">
        <v>7850</v>
      </c>
      <c r="CH23" s="228">
        <v>100</v>
      </c>
      <c r="CI23" s="229">
        <v>1.2699999999999999E-2</v>
      </c>
      <c r="CJ23" s="228">
        <v>900</v>
      </c>
      <c r="CK23" s="228">
        <v>550</v>
      </c>
      <c r="CL23" s="228">
        <v>350</v>
      </c>
      <c r="CM23" s="229">
        <v>0.63639999999999997</v>
      </c>
      <c r="CN23" s="230">
        <v>161800</v>
      </c>
      <c r="CO23" s="230">
        <v>161600</v>
      </c>
      <c r="CP23" s="228">
        <v>200</v>
      </c>
      <c r="CQ23" s="229">
        <v>1.1999999999999999E-3</v>
      </c>
      <c r="CR23" s="230">
        <v>63500</v>
      </c>
      <c r="CS23" s="230">
        <v>63650</v>
      </c>
      <c r="CT23" s="228">
        <v>-150</v>
      </c>
      <c r="CU23" s="229">
        <v>-2.3999999999999998E-3</v>
      </c>
      <c r="CV23" s="230">
        <v>438250</v>
      </c>
      <c r="CW23" s="230">
        <v>438650</v>
      </c>
      <c r="CX23" s="228">
        <v>-400</v>
      </c>
      <c r="CY23" s="229">
        <v>-8.9999999999999998E-4</v>
      </c>
      <c r="CZ23" s="228">
        <v>29.3</v>
      </c>
      <c r="DA23" s="228">
        <v>29.09</v>
      </c>
      <c r="DB23" s="228">
        <v>0.21</v>
      </c>
      <c r="DC23" s="228">
        <v>0.21</v>
      </c>
      <c r="DD23" s="228">
        <v>37.520000000000003</v>
      </c>
      <c r="DE23" s="228">
        <v>37.61</v>
      </c>
      <c r="DF23" s="228">
        <v>-8.2200000000000006</v>
      </c>
      <c r="DG23" s="228">
        <v>-0.09</v>
      </c>
      <c r="DH23" s="228">
        <v>29.32</v>
      </c>
      <c r="DI23" s="228">
        <v>28.89</v>
      </c>
      <c r="DJ23" s="228">
        <v>0.43</v>
      </c>
      <c r="DK23" s="228">
        <v>0.43</v>
      </c>
      <c r="DL23" s="228">
        <v>29.09</v>
      </c>
      <c r="DM23" s="228">
        <v>31.34</v>
      </c>
      <c r="DN23" s="228">
        <v>-2.25</v>
      </c>
      <c r="DO23" s="228">
        <v>-2.25</v>
      </c>
      <c r="DP23" s="228">
        <v>0.39</v>
      </c>
      <c r="DQ23" s="228">
        <v>0.39</v>
      </c>
      <c r="DR23" s="228">
        <v>0</v>
      </c>
      <c r="DS23" s="229">
        <v>0</v>
      </c>
      <c r="DT23" s="231">
        <v>12000</v>
      </c>
      <c r="DU23" s="231">
        <v>10500</v>
      </c>
      <c r="DV23" s="228">
        <v>7.0000000000000007E-2</v>
      </c>
      <c r="DW23" s="228">
        <v>0.09</v>
      </c>
      <c r="DX23" s="228">
        <v>-0.02</v>
      </c>
      <c r="DY23" s="229">
        <v>-0.22220000000000001</v>
      </c>
      <c r="DZ23" s="229">
        <v>4.1599999999999998E-2</v>
      </c>
      <c r="EA23" s="230">
        <v>8400</v>
      </c>
      <c r="EB23" s="229">
        <v>5.8999999999999999E-3</v>
      </c>
      <c r="EC23" s="229">
        <v>4.1599999999999998E-2</v>
      </c>
      <c r="ED23" s="228">
        <v>81.900000000000006</v>
      </c>
      <c r="EE23" s="229">
        <v>7.4000000000000003E-3</v>
      </c>
      <c r="EF23" s="230">
        <v>15123</v>
      </c>
      <c r="EG23" s="230">
        <v>17859</v>
      </c>
      <c r="EH23" s="229">
        <v>-0.1532</v>
      </c>
      <c r="EI23" s="229">
        <v>0.50870000000000004</v>
      </c>
      <c r="EJ23" s="231">
        <v>14152.76</v>
      </c>
      <c r="EK23" s="228">
        <v>928.31</v>
      </c>
      <c r="EL23" s="231">
        <v>2937.49</v>
      </c>
      <c r="EM23" s="231">
        <v>1037</v>
      </c>
      <c r="EN23" s="231">
        <v>18018.560000000001</v>
      </c>
      <c r="EO23" s="231">
        <v>18965.36</v>
      </c>
      <c r="EP23" s="228">
        <v>-946.8</v>
      </c>
      <c r="EQ23" s="229">
        <v>-4.99E-2</v>
      </c>
      <c r="ER23" s="231">
        <v>18575</v>
      </c>
      <c r="ES23" s="231">
        <v>6720</v>
      </c>
      <c r="ET23" s="231">
        <v>23687</v>
      </c>
      <c r="EU23" s="231">
        <v>5401993</v>
      </c>
      <c r="EV23" s="231">
        <v>48982</v>
      </c>
      <c r="EW23" s="231">
        <v>49011</v>
      </c>
      <c r="EX23" s="228">
        <v>-29</v>
      </c>
      <c r="EY23" s="229">
        <v>-5.9999999999999995E-4</v>
      </c>
      <c r="EZ23" s="229">
        <v>8.1100000000000005E-2</v>
      </c>
      <c r="FA23" s="227" t="s">
        <v>556</v>
      </c>
      <c r="FB23" s="161">
        <f t="shared" si="0"/>
        <v>8850</v>
      </c>
    </row>
    <row r="24" spans="1:158" ht="17.25" hidden="1" thickBot="1" x14ac:dyDescent="0.3">
      <c r="A24" s="226">
        <v>46064</v>
      </c>
      <c r="B24" s="227" t="s">
        <v>175</v>
      </c>
      <c r="C24" s="227" t="s">
        <v>177</v>
      </c>
      <c r="D24" s="228">
        <v>750</v>
      </c>
      <c r="E24" s="228">
        <v>969.35</v>
      </c>
      <c r="F24" s="228">
        <v>968.5</v>
      </c>
      <c r="G24" s="228">
        <v>0.85</v>
      </c>
      <c r="H24" s="229">
        <v>8.9999999999999998E-4</v>
      </c>
      <c r="I24" s="228">
        <v>968.95</v>
      </c>
      <c r="J24" s="228">
        <v>965.6</v>
      </c>
      <c r="K24" s="228">
        <v>3.35</v>
      </c>
      <c r="L24" s="229">
        <v>3.5000000000000001E-3</v>
      </c>
      <c r="M24" s="228">
        <v>969.35</v>
      </c>
      <c r="N24" s="228">
        <v>968.5</v>
      </c>
      <c r="O24" s="228">
        <v>0.85</v>
      </c>
      <c r="P24" s="229">
        <v>8.9999999999999998E-4</v>
      </c>
      <c r="Q24" s="228">
        <v>975.8</v>
      </c>
      <c r="R24" s="228">
        <v>974.4</v>
      </c>
      <c r="S24" s="228">
        <v>1.4</v>
      </c>
      <c r="T24" s="229">
        <v>1.4E-3</v>
      </c>
      <c r="U24" s="228">
        <v>981.25</v>
      </c>
      <c r="V24" s="228">
        <v>980.3</v>
      </c>
      <c r="W24" s="228">
        <v>0.95</v>
      </c>
      <c r="X24" s="229">
        <v>1E-3</v>
      </c>
      <c r="Y24" s="228">
        <v>0.4</v>
      </c>
      <c r="Z24" s="228">
        <v>2.9</v>
      </c>
      <c r="AA24" s="228">
        <v>-2.5</v>
      </c>
      <c r="AB24" s="229">
        <v>4.0000000000000002E-4</v>
      </c>
      <c r="AC24" s="228">
        <v>0.4</v>
      </c>
      <c r="AD24" s="228">
        <v>2.9</v>
      </c>
      <c r="AE24" s="228">
        <v>-2.5</v>
      </c>
      <c r="AF24" s="229">
        <v>4.0000000000000002E-4</v>
      </c>
      <c r="AG24" s="228">
        <v>6.85</v>
      </c>
      <c r="AH24" s="228">
        <v>8.8000000000000007</v>
      </c>
      <c r="AI24" s="228">
        <v>-1.95</v>
      </c>
      <c r="AJ24" s="229">
        <v>7.1000000000000004E-3</v>
      </c>
      <c r="AK24" s="228">
        <v>12.3</v>
      </c>
      <c r="AL24" s="228">
        <v>14.7</v>
      </c>
      <c r="AM24" s="228">
        <v>-2.4</v>
      </c>
      <c r="AN24" s="229">
        <v>1.2699999999999999E-2</v>
      </c>
      <c r="AO24" s="228">
        <v>969.67</v>
      </c>
      <c r="AP24" s="228">
        <v>975.96</v>
      </c>
      <c r="AQ24" s="228">
        <v>0</v>
      </c>
      <c r="AR24" s="230">
        <v>5289750</v>
      </c>
      <c r="AS24" s="230">
        <v>6370500</v>
      </c>
      <c r="AT24" s="230">
        <v>-1080750</v>
      </c>
      <c r="AU24" s="229">
        <v>-0.1696</v>
      </c>
      <c r="AV24" s="230">
        <v>4701750</v>
      </c>
      <c r="AW24" s="230">
        <v>5432250</v>
      </c>
      <c r="AX24" s="230">
        <v>-730500</v>
      </c>
      <c r="AY24" s="229">
        <v>-0.13450000000000001</v>
      </c>
      <c r="AZ24" s="230">
        <v>543750</v>
      </c>
      <c r="BA24" s="230">
        <v>798750</v>
      </c>
      <c r="BB24" s="230">
        <v>-255000</v>
      </c>
      <c r="BC24" s="229">
        <v>-0.31919999999999998</v>
      </c>
      <c r="BD24" s="230">
        <v>44250</v>
      </c>
      <c r="BE24" s="230">
        <v>139500</v>
      </c>
      <c r="BF24" s="230">
        <v>-95250</v>
      </c>
      <c r="BG24" s="229">
        <v>-0.68279999999999996</v>
      </c>
      <c r="BH24" s="230">
        <v>20010000</v>
      </c>
      <c r="BI24" s="230">
        <v>22266000</v>
      </c>
      <c r="BJ24" s="230">
        <v>-2256000</v>
      </c>
      <c r="BK24" s="229">
        <v>-0.1013</v>
      </c>
      <c r="BL24" s="230">
        <v>11787750</v>
      </c>
      <c r="BM24" s="230">
        <v>15349500</v>
      </c>
      <c r="BN24" s="230">
        <v>-3561750</v>
      </c>
      <c r="BO24" s="229">
        <v>-0.23200000000000001</v>
      </c>
      <c r="BP24" s="230">
        <v>37087500</v>
      </c>
      <c r="BQ24" s="230">
        <v>43986000</v>
      </c>
      <c r="BR24" s="230">
        <v>-6898500</v>
      </c>
      <c r="BS24" s="229">
        <v>-0.15679999999999999</v>
      </c>
      <c r="BT24" s="230">
        <v>3722456</v>
      </c>
      <c r="BU24" s="230">
        <v>6470494</v>
      </c>
      <c r="BV24" s="230">
        <v>-2748038</v>
      </c>
      <c r="BW24" s="229">
        <v>-0.42470000000000002</v>
      </c>
      <c r="BX24" s="230">
        <v>87073500</v>
      </c>
      <c r="BY24" s="230">
        <v>87285750</v>
      </c>
      <c r="BZ24" s="230">
        <v>-212250</v>
      </c>
      <c r="CA24" s="229">
        <v>-2.3999999999999998E-3</v>
      </c>
      <c r="CB24" s="230">
        <v>81879000</v>
      </c>
      <c r="CC24" s="230">
        <v>82256250</v>
      </c>
      <c r="CD24" s="230">
        <v>-377250</v>
      </c>
      <c r="CE24" s="229">
        <v>-4.5999999999999999E-3</v>
      </c>
      <c r="CF24" s="230">
        <v>4848750</v>
      </c>
      <c r="CG24" s="230">
        <v>4697250</v>
      </c>
      <c r="CH24" s="230">
        <v>151500</v>
      </c>
      <c r="CI24" s="229">
        <v>3.2300000000000002E-2</v>
      </c>
      <c r="CJ24" s="230">
        <v>345750</v>
      </c>
      <c r="CK24" s="230">
        <v>332250</v>
      </c>
      <c r="CL24" s="230">
        <v>13500</v>
      </c>
      <c r="CM24" s="229">
        <v>4.0599999999999997E-2</v>
      </c>
      <c r="CN24" s="230">
        <v>18806250</v>
      </c>
      <c r="CO24" s="230">
        <v>19230000</v>
      </c>
      <c r="CP24" s="230">
        <v>-423750</v>
      </c>
      <c r="CQ24" s="229">
        <v>-2.1999999999999999E-2</v>
      </c>
      <c r="CR24" s="230">
        <v>17886750</v>
      </c>
      <c r="CS24" s="230">
        <v>18599250</v>
      </c>
      <c r="CT24" s="230">
        <v>-712500</v>
      </c>
      <c r="CU24" s="229">
        <v>-3.8300000000000001E-2</v>
      </c>
      <c r="CV24" s="230">
        <v>123766500</v>
      </c>
      <c r="CW24" s="230">
        <v>125115000</v>
      </c>
      <c r="CX24" s="230">
        <v>-1348500</v>
      </c>
      <c r="CY24" s="229">
        <v>-1.0800000000000001E-2</v>
      </c>
      <c r="CZ24" s="228">
        <v>25.19</v>
      </c>
      <c r="DA24" s="228">
        <v>25.18</v>
      </c>
      <c r="DB24" s="228">
        <v>0.01</v>
      </c>
      <c r="DC24" s="228">
        <v>0.01</v>
      </c>
      <c r="DD24" s="228">
        <v>31.59</v>
      </c>
      <c r="DE24" s="228">
        <v>31.66</v>
      </c>
      <c r="DF24" s="228">
        <v>-6.4</v>
      </c>
      <c r="DG24" s="228">
        <v>-7.0000000000000007E-2</v>
      </c>
      <c r="DH24" s="228">
        <v>24.81</v>
      </c>
      <c r="DI24" s="228">
        <v>24.71</v>
      </c>
      <c r="DJ24" s="228">
        <v>0.1</v>
      </c>
      <c r="DK24" s="228">
        <v>0.1</v>
      </c>
      <c r="DL24" s="228">
        <v>25.83</v>
      </c>
      <c r="DM24" s="228">
        <v>25.87</v>
      </c>
      <c r="DN24" s="228">
        <v>-0.04</v>
      </c>
      <c r="DO24" s="228">
        <v>-0.04</v>
      </c>
      <c r="DP24" s="228">
        <v>0.95</v>
      </c>
      <c r="DQ24" s="228">
        <v>0.97</v>
      </c>
      <c r="DR24" s="228">
        <v>-0.02</v>
      </c>
      <c r="DS24" s="229">
        <v>-2.06E-2</v>
      </c>
      <c r="DT24" s="231">
        <v>1000</v>
      </c>
      <c r="DU24" s="228">
        <v>950</v>
      </c>
      <c r="DV24" s="228">
        <v>0.59</v>
      </c>
      <c r="DW24" s="228">
        <v>0.69</v>
      </c>
      <c r="DX24" s="228">
        <v>-0.1</v>
      </c>
      <c r="DY24" s="229">
        <v>-0.1449</v>
      </c>
      <c r="DZ24" s="229">
        <v>5.9700000000000003E-2</v>
      </c>
      <c r="EA24" s="230">
        <v>5029500</v>
      </c>
      <c r="EB24" s="229">
        <v>6.7000000000000002E-3</v>
      </c>
      <c r="EC24" s="229">
        <v>5.9700000000000003E-2</v>
      </c>
      <c r="ED24" s="228">
        <v>6.29</v>
      </c>
      <c r="EE24" s="229">
        <v>6.4999999999999997E-3</v>
      </c>
      <c r="EF24" s="230">
        <v>2050181</v>
      </c>
      <c r="EG24" s="230">
        <v>3988080</v>
      </c>
      <c r="EH24" s="229">
        <v>-0.4859</v>
      </c>
      <c r="EI24" s="229">
        <v>0.55079999999999996</v>
      </c>
      <c r="EJ24" s="231">
        <v>202447.9</v>
      </c>
      <c r="EK24" s="231">
        <v>112132.92</v>
      </c>
      <c r="EL24" s="231">
        <v>51332.98</v>
      </c>
      <c r="EM24" s="231">
        <v>13975</v>
      </c>
      <c r="EN24" s="231">
        <v>365913.8</v>
      </c>
      <c r="EO24" s="231">
        <v>434263.83</v>
      </c>
      <c r="EP24" s="231">
        <v>-68350.03</v>
      </c>
      <c r="EQ24" s="229">
        <v>-0.15740000000000001</v>
      </c>
      <c r="ER24" s="231">
        <v>188374</v>
      </c>
      <c r="ES24" s="231">
        <v>166240</v>
      </c>
      <c r="ET24" s="231">
        <v>844401</v>
      </c>
      <c r="EU24" s="231">
        <v>317526833</v>
      </c>
      <c r="EV24" s="231">
        <v>1199015</v>
      </c>
      <c r="EW24" s="231">
        <v>1211161</v>
      </c>
      <c r="EX24" s="231">
        <v>-12146</v>
      </c>
      <c r="EY24" s="229">
        <v>-0.01</v>
      </c>
      <c r="EZ24" s="229">
        <v>0.38979999999999998</v>
      </c>
      <c r="FA24" s="227" t="s">
        <v>556</v>
      </c>
      <c r="FB24" s="161">
        <f t="shared" si="0"/>
        <v>5194500</v>
      </c>
    </row>
    <row r="25" spans="1:158" ht="17.25" hidden="1" thickBot="1" x14ac:dyDescent="0.3">
      <c r="A25" s="226">
        <v>46064</v>
      </c>
      <c r="B25" s="227" t="s">
        <v>172</v>
      </c>
      <c r="C25" s="227" t="s">
        <v>179</v>
      </c>
      <c r="D25" s="228">
        <v>3600</v>
      </c>
      <c r="E25" s="228">
        <v>168.28</v>
      </c>
      <c r="F25" s="228">
        <v>166.67</v>
      </c>
      <c r="G25" s="228">
        <v>1.61</v>
      </c>
      <c r="H25" s="229">
        <v>9.7000000000000003E-3</v>
      </c>
      <c r="I25" s="228">
        <v>168.26</v>
      </c>
      <c r="J25" s="228">
        <v>166.69</v>
      </c>
      <c r="K25" s="228">
        <v>1.57</v>
      </c>
      <c r="L25" s="229">
        <v>9.4000000000000004E-3</v>
      </c>
      <c r="M25" s="228">
        <v>168.28</v>
      </c>
      <c r="N25" s="228">
        <v>166.67</v>
      </c>
      <c r="O25" s="228">
        <v>1.61</v>
      </c>
      <c r="P25" s="229">
        <v>9.7000000000000003E-3</v>
      </c>
      <c r="Q25" s="228">
        <v>169.05</v>
      </c>
      <c r="R25" s="228">
        <v>167.57</v>
      </c>
      <c r="S25" s="228">
        <v>1.48</v>
      </c>
      <c r="T25" s="229">
        <v>8.8000000000000005E-3</v>
      </c>
      <c r="U25" s="228">
        <v>170.18</v>
      </c>
      <c r="V25" s="228">
        <v>168.46</v>
      </c>
      <c r="W25" s="228">
        <v>1.72</v>
      </c>
      <c r="X25" s="229">
        <v>1.0200000000000001E-2</v>
      </c>
      <c r="Y25" s="228">
        <v>0.02</v>
      </c>
      <c r="Z25" s="228">
        <v>-0.02</v>
      </c>
      <c r="AA25" s="228">
        <v>0.04</v>
      </c>
      <c r="AB25" s="229">
        <v>1E-4</v>
      </c>
      <c r="AC25" s="228">
        <v>0.02</v>
      </c>
      <c r="AD25" s="228">
        <v>-0.02</v>
      </c>
      <c r="AE25" s="228">
        <v>0.04</v>
      </c>
      <c r="AF25" s="229">
        <v>1E-4</v>
      </c>
      <c r="AG25" s="228">
        <v>0.79</v>
      </c>
      <c r="AH25" s="228">
        <v>0.88</v>
      </c>
      <c r="AI25" s="228">
        <v>-0.09</v>
      </c>
      <c r="AJ25" s="229">
        <v>4.7000000000000002E-3</v>
      </c>
      <c r="AK25" s="228">
        <v>1.92</v>
      </c>
      <c r="AL25" s="228">
        <v>1.77</v>
      </c>
      <c r="AM25" s="228">
        <v>0.15</v>
      </c>
      <c r="AN25" s="229">
        <v>1.14E-2</v>
      </c>
      <c r="AO25" s="228">
        <v>168.26</v>
      </c>
      <c r="AP25" s="228">
        <v>168.67</v>
      </c>
      <c r="AQ25" s="228">
        <v>0</v>
      </c>
      <c r="AR25" s="230">
        <v>19468800</v>
      </c>
      <c r="AS25" s="230">
        <v>21978000</v>
      </c>
      <c r="AT25" s="230">
        <v>-2509200</v>
      </c>
      <c r="AU25" s="229">
        <v>-0.1142</v>
      </c>
      <c r="AV25" s="230">
        <v>17370000</v>
      </c>
      <c r="AW25" s="230">
        <v>19746000</v>
      </c>
      <c r="AX25" s="230">
        <v>-2376000</v>
      </c>
      <c r="AY25" s="229">
        <v>-0.1203</v>
      </c>
      <c r="AZ25" s="230">
        <v>1926000</v>
      </c>
      <c r="BA25" s="230">
        <v>1792800</v>
      </c>
      <c r="BB25" s="230">
        <v>133200</v>
      </c>
      <c r="BC25" s="229">
        <v>7.4300000000000005E-2</v>
      </c>
      <c r="BD25" s="230">
        <v>172800</v>
      </c>
      <c r="BE25" s="230">
        <v>439200</v>
      </c>
      <c r="BF25" s="230">
        <v>-266400</v>
      </c>
      <c r="BG25" s="229">
        <v>-0.60660000000000003</v>
      </c>
      <c r="BH25" s="230">
        <v>32382000</v>
      </c>
      <c r="BI25" s="230">
        <v>55544400</v>
      </c>
      <c r="BJ25" s="230">
        <v>-23162400</v>
      </c>
      <c r="BK25" s="229">
        <v>-0.41699999999999998</v>
      </c>
      <c r="BL25" s="230">
        <v>20322000</v>
      </c>
      <c r="BM25" s="230">
        <v>22701600</v>
      </c>
      <c r="BN25" s="230">
        <v>-2379600</v>
      </c>
      <c r="BO25" s="229">
        <v>-0.1048</v>
      </c>
      <c r="BP25" s="230">
        <v>72172800</v>
      </c>
      <c r="BQ25" s="230">
        <v>100224000</v>
      </c>
      <c r="BR25" s="230">
        <v>-28051200</v>
      </c>
      <c r="BS25" s="229">
        <v>-0.27989999999999998</v>
      </c>
      <c r="BT25" s="230">
        <v>20924138</v>
      </c>
      <c r="BU25" s="230">
        <v>21859132</v>
      </c>
      <c r="BV25" s="230">
        <v>-934994</v>
      </c>
      <c r="BW25" s="229">
        <v>-4.2799999999999998E-2</v>
      </c>
      <c r="BX25" s="230">
        <v>98636400</v>
      </c>
      <c r="BY25" s="230">
        <v>101772000</v>
      </c>
      <c r="BZ25" s="230">
        <v>-3135600</v>
      </c>
      <c r="CA25" s="229">
        <v>-3.0800000000000001E-2</v>
      </c>
      <c r="CB25" s="230">
        <v>92235600</v>
      </c>
      <c r="CC25" s="230">
        <v>95860800</v>
      </c>
      <c r="CD25" s="230">
        <v>-3625200</v>
      </c>
      <c r="CE25" s="229">
        <v>-3.78E-2</v>
      </c>
      <c r="CF25" s="230">
        <v>5598000</v>
      </c>
      <c r="CG25" s="230">
        <v>5162400</v>
      </c>
      <c r="CH25" s="230">
        <v>435600</v>
      </c>
      <c r="CI25" s="229">
        <v>8.4400000000000003E-2</v>
      </c>
      <c r="CJ25" s="230">
        <v>802800</v>
      </c>
      <c r="CK25" s="230">
        <v>748800</v>
      </c>
      <c r="CL25" s="230">
        <v>54000</v>
      </c>
      <c r="CM25" s="229">
        <v>7.2099999999999997E-2</v>
      </c>
      <c r="CN25" s="230">
        <v>25790400</v>
      </c>
      <c r="CO25" s="230">
        <v>25628400</v>
      </c>
      <c r="CP25" s="230">
        <v>162000</v>
      </c>
      <c r="CQ25" s="229">
        <v>6.3E-3</v>
      </c>
      <c r="CR25" s="230">
        <v>23090400</v>
      </c>
      <c r="CS25" s="230">
        <v>22071600</v>
      </c>
      <c r="CT25" s="230">
        <v>1018800</v>
      </c>
      <c r="CU25" s="229">
        <v>4.6199999999999998E-2</v>
      </c>
      <c r="CV25" s="230">
        <v>147517200</v>
      </c>
      <c r="CW25" s="230">
        <v>149472000</v>
      </c>
      <c r="CX25" s="230">
        <v>-1954800</v>
      </c>
      <c r="CY25" s="229">
        <v>-1.3100000000000001E-2</v>
      </c>
      <c r="CZ25" s="228">
        <v>34.64</v>
      </c>
      <c r="DA25" s="228">
        <v>34.32</v>
      </c>
      <c r="DB25" s="228">
        <v>0.32</v>
      </c>
      <c r="DC25" s="228">
        <v>0.32</v>
      </c>
      <c r="DD25" s="228">
        <v>41.22</v>
      </c>
      <c r="DE25" s="228">
        <v>41.31</v>
      </c>
      <c r="DF25" s="228">
        <v>-6.58</v>
      </c>
      <c r="DG25" s="228">
        <v>-0.09</v>
      </c>
      <c r="DH25" s="228">
        <v>33.97</v>
      </c>
      <c r="DI25" s="228">
        <v>34.03</v>
      </c>
      <c r="DJ25" s="228">
        <v>-0.06</v>
      </c>
      <c r="DK25" s="228">
        <v>-0.06</v>
      </c>
      <c r="DL25" s="228">
        <v>35.700000000000003</v>
      </c>
      <c r="DM25" s="228">
        <v>35.03</v>
      </c>
      <c r="DN25" s="228">
        <v>0.67</v>
      </c>
      <c r="DO25" s="228">
        <v>0.67</v>
      </c>
      <c r="DP25" s="228">
        <v>0.9</v>
      </c>
      <c r="DQ25" s="228">
        <v>0.86</v>
      </c>
      <c r="DR25" s="228">
        <v>0.04</v>
      </c>
      <c r="DS25" s="229">
        <v>4.65E-2</v>
      </c>
      <c r="DT25" s="228">
        <v>170</v>
      </c>
      <c r="DU25" s="228">
        <v>150</v>
      </c>
      <c r="DV25" s="228">
        <v>0.63</v>
      </c>
      <c r="DW25" s="228">
        <v>0.41</v>
      </c>
      <c r="DX25" s="228">
        <v>0.22</v>
      </c>
      <c r="DY25" s="229">
        <v>0.53659999999999997</v>
      </c>
      <c r="DZ25" s="229">
        <v>6.4899999999999999E-2</v>
      </c>
      <c r="EA25" s="230">
        <v>5911200</v>
      </c>
      <c r="EB25" s="229">
        <v>4.5999999999999999E-3</v>
      </c>
      <c r="EC25" s="229">
        <v>6.4899999999999999E-2</v>
      </c>
      <c r="ED25" s="228">
        <v>0.41</v>
      </c>
      <c r="EE25" s="229">
        <v>2.3999999999999998E-3</v>
      </c>
      <c r="EF25" s="230">
        <v>13040109</v>
      </c>
      <c r="EG25" s="230">
        <v>14074257</v>
      </c>
      <c r="EH25" s="229">
        <v>-7.3499999999999996E-2</v>
      </c>
      <c r="EI25" s="229">
        <v>0.62319999999999998</v>
      </c>
      <c r="EJ25" s="231">
        <v>56590.25</v>
      </c>
      <c r="EK25" s="231">
        <v>33619.24</v>
      </c>
      <c r="EL25" s="231">
        <v>32769.07</v>
      </c>
      <c r="EM25" s="231">
        <v>3946</v>
      </c>
      <c r="EN25" s="231">
        <v>122978.56</v>
      </c>
      <c r="EO25" s="231">
        <v>169085.16</v>
      </c>
      <c r="EP25" s="231">
        <v>-46106.6</v>
      </c>
      <c r="EQ25" s="229">
        <v>-0.2727</v>
      </c>
      <c r="ER25" s="231">
        <v>42590</v>
      </c>
      <c r="ES25" s="231">
        <v>35623</v>
      </c>
      <c r="ET25" s="231">
        <v>166044</v>
      </c>
      <c r="EU25" s="231">
        <v>144289555</v>
      </c>
      <c r="EV25" s="231">
        <v>244257</v>
      </c>
      <c r="EW25" s="231">
        <v>245458</v>
      </c>
      <c r="EX25" s="231">
        <v>-1201</v>
      </c>
      <c r="EY25" s="229">
        <v>-4.8999999999999998E-3</v>
      </c>
      <c r="EZ25" s="229">
        <v>1.0224</v>
      </c>
      <c r="FA25" s="227" t="s">
        <v>556</v>
      </c>
      <c r="FB25" s="161">
        <f t="shared" si="0"/>
        <v>6400800</v>
      </c>
    </row>
    <row r="26" spans="1:158" ht="17.25" hidden="1" thickBot="1" x14ac:dyDescent="0.3">
      <c r="A26" s="226">
        <v>46064</v>
      </c>
      <c r="B26" s="227" t="s">
        <v>172</v>
      </c>
      <c r="C26" s="227" t="s">
        <v>180</v>
      </c>
      <c r="D26" s="228">
        <v>2925</v>
      </c>
      <c r="E26" s="228">
        <v>291.39999999999998</v>
      </c>
      <c r="F26" s="228">
        <v>291.3</v>
      </c>
      <c r="G26" s="228">
        <v>0.1</v>
      </c>
      <c r="H26" s="229">
        <v>2.9999999999999997E-4</v>
      </c>
      <c r="I26" s="228">
        <v>291.2</v>
      </c>
      <c r="J26" s="228">
        <v>290.35000000000002</v>
      </c>
      <c r="K26" s="228">
        <v>0.85</v>
      </c>
      <c r="L26" s="229">
        <v>2.8999999999999998E-3</v>
      </c>
      <c r="M26" s="228">
        <v>291.39999999999998</v>
      </c>
      <c r="N26" s="228">
        <v>291.3</v>
      </c>
      <c r="O26" s="228">
        <v>0.1</v>
      </c>
      <c r="P26" s="229">
        <v>2.9999999999999997E-4</v>
      </c>
      <c r="Q26" s="228">
        <v>293.35000000000002</v>
      </c>
      <c r="R26" s="228">
        <v>293.10000000000002</v>
      </c>
      <c r="S26" s="228">
        <v>0.25</v>
      </c>
      <c r="T26" s="229">
        <v>8.9999999999999998E-4</v>
      </c>
      <c r="U26" s="228">
        <v>295.14999999999998</v>
      </c>
      <c r="V26" s="228">
        <v>295.35000000000002</v>
      </c>
      <c r="W26" s="228">
        <v>-0.2</v>
      </c>
      <c r="X26" s="229">
        <v>-6.9999999999999999E-4</v>
      </c>
      <c r="Y26" s="228">
        <v>0.2</v>
      </c>
      <c r="Z26" s="228">
        <v>0.95</v>
      </c>
      <c r="AA26" s="228">
        <v>-0.75</v>
      </c>
      <c r="AB26" s="229">
        <v>6.9999999999999999E-4</v>
      </c>
      <c r="AC26" s="228">
        <v>0.2</v>
      </c>
      <c r="AD26" s="228">
        <v>0.95</v>
      </c>
      <c r="AE26" s="228">
        <v>-0.75</v>
      </c>
      <c r="AF26" s="229">
        <v>6.9999999999999999E-4</v>
      </c>
      <c r="AG26" s="228">
        <v>2.15</v>
      </c>
      <c r="AH26" s="228">
        <v>2.75</v>
      </c>
      <c r="AI26" s="228">
        <v>-0.6</v>
      </c>
      <c r="AJ26" s="229">
        <v>7.4000000000000003E-3</v>
      </c>
      <c r="AK26" s="228">
        <v>3.95</v>
      </c>
      <c r="AL26" s="228">
        <v>5</v>
      </c>
      <c r="AM26" s="228">
        <v>-1.05</v>
      </c>
      <c r="AN26" s="229">
        <v>1.3599999999999999E-2</v>
      </c>
      <c r="AO26" s="228">
        <v>290.37</v>
      </c>
      <c r="AP26" s="228">
        <v>291.98</v>
      </c>
      <c r="AQ26" s="228">
        <v>0</v>
      </c>
      <c r="AR26" s="230">
        <v>16315650</v>
      </c>
      <c r="AS26" s="230">
        <v>11691225</v>
      </c>
      <c r="AT26" s="230">
        <v>4624425</v>
      </c>
      <c r="AU26" s="229">
        <v>0.39550000000000002</v>
      </c>
      <c r="AV26" s="230">
        <v>14964300</v>
      </c>
      <c r="AW26" s="230">
        <v>10597275</v>
      </c>
      <c r="AX26" s="230">
        <v>4367025</v>
      </c>
      <c r="AY26" s="229">
        <v>0.41210000000000002</v>
      </c>
      <c r="AZ26" s="230">
        <v>1210950</v>
      </c>
      <c r="BA26" s="230">
        <v>1055925</v>
      </c>
      <c r="BB26" s="230">
        <v>155025</v>
      </c>
      <c r="BC26" s="229">
        <v>0.14680000000000001</v>
      </c>
      <c r="BD26" s="230">
        <v>140400</v>
      </c>
      <c r="BE26" s="230">
        <v>38025</v>
      </c>
      <c r="BF26" s="230">
        <v>102375</v>
      </c>
      <c r="BG26" s="229">
        <v>2.6922999999999999</v>
      </c>
      <c r="BH26" s="230">
        <v>61784775</v>
      </c>
      <c r="BI26" s="230">
        <v>25350975</v>
      </c>
      <c r="BJ26" s="230">
        <v>36433800</v>
      </c>
      <c r="BK26" s="229">
        <v>1.4372</v>
      </c>
      <c r="BL26" s="230">
        <v>22902750</v>
      </c>
      <c r="BM26" s="230">
        <v>12355200</v>
      </c>
      <c r="BN26" s="230">
        <v>10547550</v>
      </c>
      <c r="BO26" s="229">
        <v>0.85370000000000001</v>
      </c>
      <c r="BP26" s="230">
        <v>101003175</v>
      </c>
      <c r="BQ26" s="230">
        <v>49397400</v>
      </c>
      <c r="BR26" s="230">
        <v>51605775</v>
      </c>
      <c r="BS26" s="229">
        <v>1.0447</v>
      </c>
      <c r="BT26" s="230">
        <v>7455658</v>
      </c>
      <c r="BU26" s="230">
        <v>7684122</v>
      </c>
      <c r="BV26" s="230">
        <v>-228464</v>
      </c>
      <c r="BW26" s="229">
        <v>-2.9700000000000001E-2</v>
      </c>
      <c r="BX26" s="230">
        <v>90830025</v>
      </c>
      <c r="BY26" s="230">
        <v>89981775</v>
      </c>
      <c r="BZ26" s="230">
        <v>848250</v>
      </c>
      <c r="CA26" s="229">
        <v>9.4000000000000004E-3</v>
      </c>
      <c r="CB26" s="230">
        <v>86427900</v>
      </c>
      <c r="CC26" s="230">
        <v>85731750</v>
      </c>
      <c r="CD26" s="230">
        <v>696150</v>
      </c>
      <c r="CE26" s="229">
        <v>8.0999999999999996E-3</v>
      </c>
      <c r="CF26" s="230">
        <v>3653325</v>
      </c>
      <c r="CG26" s="230">
        <v>3504150</v>
      </c>
      <c r="CH26" s="230">
        <v>149175</v>
      </c>
      <c r="CI26" s="229">
        <v>4.2599999999999999E-2</v>
      </c>
      <c r="CJ26" s="230">
        <v>748800</v>
      </c>
      <c r="CK26" s="230">
        <v>745875</v>
      </c>
      <c r="CL26" s="230">
        <v>2925</v>
      </c>
      <c r="CM26" s="229">
        <v>3.8999999999999998E-3</v>
      </c>
      <c r="CN26" s="230">
        <v>57230550</v>
      </c>
      <c r="CO26" s="230">
        <v>55680300</v>
      </c>
      <c r="CP26" s="230">
        <v>1550250</v>
      </c>
      <c r="CQ26" s="229">
        <v>2.7799999999999998E-2</v>
      </c>
      <c r="CR26" s="230">
        <v>36120825</v>
      </c>
      <c r="CS26" s="230">
        <v>35813700</v>
      </c>
      <c r="CT26" s="230">
        <v>307125</v>
      </c>
      <c r="CU26" s="229">
        <v>8.6E-3</v>
      </c>
      <c r="CV26" s="230">
        <v>184181400</v>
      </c>
      <c r="CW26" s="230">
        <v>181475775</v>
      </c>
      <c r="CX26" s="230">
        <v>2705625</v>
      </c>
      <c r="CY26" s="229">
        <v>1.49E-2</v>
      </c>
      <c r="CZ26" s="228">
        <v>30.38</v>
      </c>
      <c r="DA26" s="228">
        <v>29.44</v>
      </c>
      <c r="DB26" s="228">
        <v>0.94</v>
      </c>
      <c r="DC26" s="228">
        <v>0.94</v>
      </c>
      <c r="DD26" s="228">
        <v>34</v>
      </c>
      <c r="DE26" s="228">
        <v>34.08</v>
      </c>
      <c r="DF26" s="228">
        <v>-3.62</v>
      </c>
      <c r="DG26" s="228">
        <v>-0.08</v>
      </c>
      <c r="DH26" s="228">
        <v>30.69</v>
      </c>
      <c r="DI26" s="228">
        <v>29.88</v>
      </c>
      <c r="DJ26" s="228">
        <v>0.81</v>
      </c>
      <c r="DK26" s="228">
        <v>0.81</v>
      </c>
      <c r="DL26" s="228">
        <v>29.54</v>
      </c>
      <c r="DM26" s="228">
        <v>28.52</v>
      </c>
      <c r="DN26" s="228">
        <v>1.02</v>
      </c>
      <c r="DO26" s="228">
        <v>1.02</v>
      </c>
      <c r="DP26" s="228">
        <v>0.63</v>
      </c>
      <c r="DQ26" s="228">
        <v>0.64</v>
      </c>
      <c r="DR26" s="228">
        <v>-0.01</v>
      </c>
      <c r="DS26" s="229">
        <v>-1.5599999999999999E-2</v>
      </c>
      <c r="DT26" s="228">
        <v>310</v>
      </c>
      <c r="DU26" s="228">
        <v>290</v>
      </c>
      <c r="DV26" s="228">
        <v>0.37</v>
      </c>
      <c r="DW26" s="228">
        <v>0.49</v>
      </c>
      <c r="DX26" s="228">
        <v>-0.12</v>
      </c>
      <c r="DY26" s="229">
        <v>-0.24490000000000001</v>
      </c>
      <c r="DZ26" s="229">
        <v>4.8500000000000001E-2</v>
      </c>
      <c r="EA26" s="230">
        <v>4250025</v>
      </c>
      <c r="EB26" s="229">
        <v>6.7000000000000002E-3</v>
      </c>
      <c r="EC26" s="229">
        <v>4.8500000000000001E-2</v>
      </c>
      <c r="ED26" s="228">
        <v>1.61</v>
      </c>
      <c r="EE26" s="229">
        <v>5.4999999999999997E-3</v>
      </c>
      <c r="EF26" s="230">
        <v>3452381</v>
      </c>
      <c r="EG26" s="230">
        <v>4548011</v>
      </c>
      <c r="EH26" s="229">
        <v>-0.2409</v>
      </c>
      <c r="EI26" s="229">
        <v>0.46310000000000001</v>
      </c>
      <c r="EJ26" s="231">
        <v>189028.06</v>
      </c>
      <c r="EK26" s="231">
        <v>65295.69</v>
      </c>
      <c r="EL26" s="231">
        <v>47400.53</v>
      </c>
      <c r="EM26" s="231">
        <v>5753</v>
      </c>
      <c r="EN26" s="231">
        <v>301724.28000000003</v>
      </c>
      <c r="EO26" s="231">
        <v>147224</v>
      </c>
      <c r="EP26" s="231">
        <v>154500.28</v>
      </c>
      <c r="EQ26" s="229">
        <v>1.0494000000000001</v>
      </c>
      <c r="ER26" s="231">
        <v>175160</v>
      </c>
      <c r="ES26" s="231">
        <v>103057</v>
      </c>
      <c r="ET26" s="231">
        <v>264778</v>
      </c>
      <c r="EU26" s="231">
        <v>279476623</v>
      </c>
      <c r="EV26" s="231">
        <v>542995</v>
      </c>
      <c r="EW26" s="231">
        <v>534543</v>
      </c>
      <c r="EX26" s="231">
        <v>8452</v>
      </c>
      <c r="EY26" s="229">
        <v>1.5800000000000002E-2</v>
      </c>
      <c r="EZ26" s="229">
        <v>0.65900000000000003</v>
      </c>
      <c r="FA26" s="227" t="s">
        <v>555</v>
      </c>
      <c r="FB26" s="161">
        <f t="shared" si="0"/>
        <v>4402125</v>
      </c>
    </row>
    <row r="27" spans="1:158" ht="17.25" hidden="1" thickBot="1" x14ac:dyDescent="0.3">
      <c r="A27" s="226">
        <v>46064</v>
      </c>
      <c r="B27" s="227" t="s">
        <v>172</v>
      </c>
      <c r="C27" s="227" t="s">
        <v>602</v>
      </c>
      <c r="D27" s="228">
        <v>5200</v>
      </c>
      <c r="E27" s="228">
        <v>167.57</v>
      </c>
      <c r="F27" s="228">
        <v>167.72</v>
      </c>
      <c r="G27" s="228">
        <v>-0.15</v>
      </c>
      <c r="H27" s="229">
        <v>-8.9999999999999998E-4</v>
      </c>
      <c r="I27" s="228">
        <v>167.13</v>
      </c>
      <c r="J27" s="228">
        <v>167.57</v>
      </c>
      <c r="K27" s="228">
        <v>-0.44</v>
      </c>
      <c r="L27" s="229">
        <v>-2.5999999999999999E-3</v>
      </c>
      <c r="M27" s="228">
        <v>167.57</v>
      </c>
      <c r="N27" s="228">
        <v>167.72</v>
      </c>
      <c r="O27" s="228">
        <v>-0.15</v>
      </c>
      <c r="P27" s="229">
        <v>-8.9999999999999998E-4</v>
      </c>
      <c r="Q27" s="228">
        <v>168.52</v>
      </c>
      <c r="R27" s="228">
        <v>168.79</v>
      </c>
      <c r="S27" s="228">
        <v>-0.27</v>
      </c>
      <c r="T27" s="229">
        <v>-1.6000000000000001E-3</v>
      </c>
      <c r="U27" s="228">
        <v>169.46</v>
      </c>
      <c r="V27" s="228">
        <v>169.39</v>
      </c>
      <c r="W27" s="228">
        <v>7.0000000000000007E-2</v>
      </c>
      <c r="X27" s="229">
        <v>4.0000000000000002E-4</v>
      </c>
      <c r="Y27" s="228">
        <v>0.44</v>
      </c>
      <c r="Z27" s="228">
        <v>0.15</v>
      </c>
      <c r="AA27" s="228">
        <v>0.28999999999999998</v>
      </c>
      <c r="AB27" s="229">
        <v>2.5999999999999999E-3</v>
      </c>
      <c r="AC27" s="228">
        <v>0.44</v>
      </c>
      <c r="AD27" s="228">
        <v>0.15</v>
      </c>
      <c r="AE27" s="228">
        <v>0.28999999999999998</v>
      </c>
      <c r="AF27" s="229">
        <v>2.5999999999999999E-3</v>
      </c>
      <c r="AG27" s="228">
        <v>1.39</v>
      </c>
      <c r="AH27" s="228">
        <v>1.22</v>
      </c>
      <c r="AI27" s="228">
        <v>0.17</v>
      </c>
      <c r="AJ27" s="229">
        <v>8.3000000000000001E-3</v>
      </c>
      <c r="AK27" s="228">
        <v>2.33</v>
      </c>
      <c r="AL27" s="228">
        <v>1.82</v>
      </c>
      <c r="AM27" s="228">
        <v>0.51</v>
      </c>
      <c r="AN27" s="229">
        <v>1.3899999999999999E-2</v>
      </c>
      <c r="AO27" s="228">
        <v>166.08</v>
      </c>
      <c r="AP27" s="228">
        <v>166.94</v>
      </c>
      <c r="AQ27" s="228">
        <v>0</v>
      </c>
      <c r="AR27" s="230">
        <v>14045200</v>
      </c>
      <c r="AS27" s="230">
        <v>10680800</v>
      </c>
      <c r="AT27" s="230">
        <v>3364400</v>
      </c>
      <c r="AU27" s="229">
        <v>0.315</v>
      </c>
      <c r="AV27" s="230">
        <v>12469600</v>
      </c>
      <c r="AW27" s="230">
        <v>9594000</v>
      </c>
      <c r="AX27" s="230">
        <v>2875600</v>
      </c>
      <c r="AY27" s="229">
        <v>0.29970000000000002</v>
      </c>
      <c r="AZ27" s="230">
        <v>1263600</v>
      </c>
      <c r="BA27" s="230">
        <v>936000</v>
      </c>
      <c r="BB27" s="230">
        <v>327600</v>
      </c>
      <c r="BC27" s="229">
        <v>0.35</v>
      </c>
      <c r="BD27" s="230">
        <v>312000</v>
      </c>
      <c r="BE27" s="230">
        <v>150800</v>
      </c>
      <c r="BF27" s="230">
        <v>161200</v>
      </c>
      <c r="BG27" s="229">
        <v>1.069</v>
      </c>
      <c r="BH27" s="230">
        <v>24252800</v>
      </c>
      <c r="BI27" s="230">
        <v>15106000</v>
      </c>
      <c r="BJ27" s="230">
        <v>9146800</v>
      </c>
      <c r="BK27" s="229">
        <v>0.60550000000000004</v>
      </c>
      <c r="BL27" s="230">
        <v>13145600</v>
      </c>
      <c r="BM27" s="230">
        <v>8918000</v>
      </c>
      <c r="BN27" s="230">
        <v>4227600</v>
      </c>
      <c r="BO27" s="229">
        <v>0.47410000000000002</v>
      </c>
      <c r="BP27" s="230">
        <v>51443600</v>
      </c>
      <c r="BQ27" s="230">
        <v>34704800</v>
      </c>
      <c r="BR27" s="230">
        <v>16738800</v>
      </c>
      <c r="BS27" s="229">
        <v>0.48230000000000001</v>
      </c>
      <c r="BT27" s="230">
        <v>8636886</v>
      </c>
      <c r="BU27" s="230">
        <v>6746365</v>
      </c>
      <c r="BV27" s="230">
        <v>1890521</v>
      </c>
      <c r="BW27" s="229">
        <v>0.2802</v>
      </c>
      <c r="BX27" s="230">
        <v>50544000</v>
      </c>
      <c r="BY27" s="230">
        <v>51459200</v>
      </c>
      <c r="BZ27" s="230">
        <v>-915200</v>
      </c>
      <c r="CA27" s="229">
        <v>-1.78E-2</v>
      </c>
      <c r="CB27" s="230">
        <v>48240400</v>
      </c>
      <c r="CC27" s="230">
        <v>49228400</v>
      </c>
      <c r="CD27" s="230">
        <v>-988000</v>
      </c>
      <c r="CE27" s="229">
        <v>-2.01E-2</v>
      </c>
      <c r="CF27" s="230">
        <v>1924000</v>
      </c>
      <c r="CG27" s="230">
        <v>1768000</v>
      </c>
      <c r="CH27" s="230">
        <v>156000</v>
      </c>
      <c r="CI27" s="229">
        <v>8.8200000000000001E-2</v>
      </c>
      <c r="CJ27" s="230">
        <v>379600</v>
      </c>
      <c r="CK27" s="230">
        <v>462800</v>
      </c>
      <c r="CL27" s="230">
        <v>-83200</v>
      </c>
      <c r="CM27" s="229">
        <v>-0.17979999999999999</v>
      </c>
      <c r="CN27" s="230">
        <v>24341200</v>
      </c>
      <c r="CO27" s="230">
        <v>24398400</v>
      </c>
      <c r="CP27" s="230">
        <v>-57200</v>
      </c>
      <c r="CQ27" s="229">
        <v>-2.3E-3</v>
      </c>
      <c r="CR27" s="230">
        <v>17877600</v>
      </c>
      <c r="CS27" s="230">
        <v>17534400</v>
      </c>
      <c r="CT27" s="230">
        <v>343200</v>
      </c>
      <c r="CU27" s="229">
        <v>1.9599999999999999E-2</v>
      </c>
      <c r="CV27" s="230">
        <v>92762800</v>
      </c>
      <c r="CW27" s="230">
        <v>93392000</v>
      </c>
      <c r="CX27" s="230">
        <v>-629200</v>
      </c>
      <c r="CY27" s="229">
        <v>-6.7000000000000002E-3</v>
      </c>
      <c r="CZ27" s="228">
        <v>36.26</v>
      </c>
      <c r="DA27" s="228">
        <v>35</v>
      </c>
      <c r="DB27" s="228">
        <v>1.26</v>
      </c>
      <c r="DC27" s="228">
        <v>1.26</v>
      </c>
      <c r="DD27" s="228">
        <v>40.5</v>
      </c>
      <c r="DE27" s="228">
        <v>40.6</v>
      </c>
      <c r="DF27" s="228">
        <v>-4.24</v>
      </c>
      <c r="DG27" s="228">
        <v>-0.1</v>
      </c>
      <c r="DH27" s="228">
        <v>35.880000000000003</v>
      </c>
      <c r="DI27" s="228">
        <v>34.69</v>
      </c>
      <c r="DJ27" s="228">
        <v>1.19</v>
      </c>
      <c r="DK27" s="228">
        <v>1.19</v>
      </c>
      <c r="DL27" s="228">
        <v>36.979999999999997</v>
      </c>
      <c r="DM27" s="228">
        <v>35.53</v>
      </c>
      <c r="DN27" s="228">
        <v>1.45</v>
      </c>
      <c r="DO27" s="228">
        <v>1.45</v>
      </c>
      <c r="DP27" s="228">
        <v>0.73</v>
      </c>
      <c r="DQ27" s="228">
        <v>0.72</v>
      </c>
      <c r="DR27" s="228">
        <v>0.01</v>
      </c>
      <c r="DS27" s="229">
        <v>1.3899999999999999E-2</v>
      </c>
      <c r="DT27" s="228">
        <v>170</v>
      </c>
      <c r="DU27" s="228">
        <v>150</v>
      </c>
      <c r="DV27" s="228">
        <v>0.54</v>
      </c>
      <c r="DW27" s="228">
        <v>0.59</v>
      </c>
      <c r="DX27" s="228">
        <v>-0.05</v>
      </c>
      <c r="DY27" s="229">
        <v>-8.4699999999999998E-2</v>
      </c>
      <c r="DZ27" s="229">
        <v>4.5600000000000002E-2</v>
      </c>
      <c r="EA27" s="230">
        <v>2230800</v>
      </c>
      <c r="EB27" s="229">
        <v>5.7000000000000002E-3</v>
      </c>
      <c r="EC27" s="229">
        <v>4.5600000000000002E-2</v>
      </c>
      <c r="ED27" s="228">
        <v>0.86</v>
      </c>
      <c r="EE27" s="229">
        <v>5.1999999999999998E-3</v>
      </c>
      <c r="EF27" s="230">
        <v>3011134</v>
      </c>
      <c r="EG27" s="230">
        <v>2678227</v>
      </c>
      <c r="EH27" s="229">
        <v>0.12429999999999999</v>
      </c>
      <c r="EI27" s="229">
        <v>0.34860000000000002</v>
      </c>
      <c r="EJ27" s="231">
        <v>42289.41</v>
      </c>
      <c r="EK27" s="231">
        <v>21255.09</v>
      </c>
      <c r="EL27" s="231">
        <v>23338.9</v>
      </c>
      <c r="EM27" s="231">
        <v>3141</v>
      </c>
      <c r="EN27" s="231">
        <v>86883.4</v>
      </c>
      <c r="EO27" s="231">
        <v>58955.72</v>
      </c>
      <c r="EP27" s="231">
        <v>27927.68</v>
      </c>
      <c r="EQ27" s="229">
        <v>0.47370000000000001</v>
      </c>
      <c r="ER27" s="231">
        <v>41487</v>
      </c>
      <c r="ES27" s="231">
        <v>27923</v>
      </c>
      <c r="ET27" s="231">
        <v>84722</v>
      </c>
      <c r="EU27" s="231">
        <v>181770921</v>
      </c>
      <c r="EV27" s="231">
        <v>154132</v>
      </c>
      <c r="EW27" s="231">
        <v>155303</v>
      </c>
      <c r="EX27" s="231">
        <v>-1171</v>
      </c>
      <c r="EY27" s="229">
        <v>-7.4999999999999997E-3</v>
      </c>
      <c r="EZ27" s="229">
        <v>0.51029999999999998</v>
      </c>
      <c r="FA27" s="227" t="s">
        <v>568</v>
      </c>
      <c r="FB27" s="161">
        <f t="shared" si="0"/>
        <v>2303600</v>
      </c>
    </row>
    <row r="28" spans="1:158" ht="17.25" hidden="1" thickBot="1" x14ac:dyDescent="0.3">
      <c r="A28" s="226">
        <v>46064</v>
      </c>
      <c r="B28" s="227" t="s">
        <v>181</v>
      </c>
      <c r="C28" s="227" t="s">
        <v>182</v>
      </c>
      <c r="D28" s="228">
        <v>30</v>
      </c>
      <c r="E28" s="231">
        <v>60809</v>
      </c>
      <c r="F28" s="231">
        <v>60704</v>
      </c>
      <c r="G28" s="228">
        <v>105</v>
      </c>
      <c r="H28" s="229">
        <v>1.6999999999999999E-3</v>
      </c>
      <c r="I28" s="231">
        <v>60745.35</v>
      </c>
      <c r="J28" s="231">
        <v>60626.400000000001</v>
      </c>
      <c r="K28" s="228">
        <v>118.95</v>
      </c>
      <c r="L28" s="229">
        <v>2E-3</v>
      </c>
      <c r="M28" s="231">
        <v>60809</v>
      </c>
      <c r="N28" s="231">
        <v>60704</v>
      </c>
      <c r="O28" s="228">
        <v>105</v>
      </c>
      <c r="P28" s="229">
        <v>1.6999999999999999E-3</v>
      </c>
      <c r="Q28" s="231">
        <v>61152</v>
      </c>
      <c r="R28" s="231">
        <v>61044.2</v>
      </c>
      <c r="S28" s="228">
        <v>107.8</v>
      </c>
      <c r="T28" s="229">
        <v>1.8E-3</v>
      </c>
      <c r="U28" s="231">
        <v>61494</v>
      </c>
      <c r="V28" s="231">
        <v>61400.6</v>
      </c>
      <c r="W28" s="228">
        <v>93.4</v>
      </c>
      <c r="X28" s="229">
        <v>1.5E-3</v>
      </c>
      <c r="Y28" s="228">
        <v>63.65</v>
      </c>
      <c r="Z28" s="228">
        <v>77.599999999999994</v>
      </c>
      <c r="AA28" s="228">
        <v>-13.95</v>
      </c>
      <c r="AB28" s="229">
        <v>1E-3</v>
      </c>
      <c r="AC28" s="228">
        <v>63.65</v>
      </c>
      <c r="AD28" s="228">
        <v>77.599999999999994</v>
      </c>
      <c r="AE28" s="228">
        <v>-13.95</v>
      </c>
      <c r="AF28" s="229">
        <v>1E-3</v>
      </c>
      <c r="AG28" s="228">
        <v>406.65</v>
      </c>
      <c r="AH28" s="228">
        <v>417.8</v>
      </c>
      <c r="AI28" s="228">
        <v>-11.15</v>
      </c>
      <c r="AJ28" s="229">
        <v>6.7000000000000002E-3</v>
      </c>
      <c r="AK28" s="228">
        <v>748.65</v>
      </c>
      <c r="AL28" s="228">
        <v>774.2</v>
      </c>
      <c r="AM28" s="228">
        <v>-25.55</v>
      </c>
      <c r="AN28" s="229">
        <v>1.23E-2</v>
      </c>
      <c r="AO28" s="231">
        <v>60744.55</v>
      </c>
      <c r="AP28" s="231">
        <v>61082.080000000002</v>
      </c>
      <c r="AQ28" s="228">
        <v>0</v>
      </c>
      <c r="AR28" s="230">
        <v>525000</v>
      </c>
      <c r="AS28" s="230">
        <v>542310</v>
      </c>
      <c r="AT28" s="230">
        <v>-17310</v>
      </c>
      <c r="AU28" s="229">
        <v>-3.1899999999999998E-2</v>
      </c>
      <c r="AV28" s="230">
        <v>472980</v>
      </c>
      <c r="AW28" s="230">
        <v>496350</v>
      </c>
      <c r="AX28" s="230">
        <v>-23370</v>
      </c>
      <c r="AY28" s="229">
        <v>-4.7100000000000003E-2</v>
      </c>
      <c r="AZ28" s="230">
        <v>40800</v>
      </c>
      <c r="BA28" s="230">
        <v>35580</v>
      </c>
      <c r="BB28" s="230">
        <v>5220</v>
      </c>
      <c r="BC28" s="229">
        <v>0.1467</v>
      </c>
      <c r="BD28" s="230">
        <v>11220</v>
      </c>
      <c r="BE28" s="230">
        <v>10380</v>
      </c>
      <c r="BF28" s="228">
        <v>840</v>
      </c>
      <c r="BG28" s="229">
        <v>8.09E-2</v>
      </c>
      <c r="BH28" s="230">
        <v>32625990</v>
      </c>
      <c r="BI28" s="230">
        <v>27788490</v>
      </c>
      <c r="BJ28" s="230">
        <v>4837500</v>
      </c>
      <c r="BK28" s="229">
        <v>0.1741</v>
      </c>
      <c r="BL28" s="230">
        <v>36051270</v>
      </c>
      <c r="BM28" s="230">
        <v>27292350</v>
      </c>
      <c r="BN28" s="230">
        <v>8758920</v>
      </c>
      <c r="BO28" s="229">
        <v>0.32090000000000002</v>
      </c>
      <c r="BP28" s="230">
        <v>69202260</v>
      </c>
      <c r="BQ28" s="230">
        <v>55623150</v>
      </c>
      <c r="BR28" s="230">
        <v>13579110</v>
      </c>
      <c r="BS28" s="229">
        <v>0.24410000000000001</v>
      </c>
      <c r="BT28" s="228">
        <v>0</v>
      </c>
      <c r="BU28" s="228">
        <v>0</v>
      </c>
      <c r="BV28" s="228">
        <v>0</v>
      </c>
      <c r="BW28" s="229">
        <v>0</v>
      </c>
      <c r="BX28" s="230">
        <v>1790880</v>
      </c>
      <c r="BY28" s="230">
        <v>1794330</v>
      </c>
      <c r="BZ28" s="230">
        <v>-3450</v>
      </c>
      <c r="CA28" s="229">
        <v>-1.9E-3</v>
      </c>
      <c r="CB28" s="230">
        <v>1590660</v>
      </c>
      <c r="CC28" s="230">
        <v>1597260</v>
      </c>
      <c r="CD28" s="230">
        <v>-6600</v>
      </c>
      <c r="CE28" s="229">
        <v>-4.1000000000000003E-3</v>
      </c>
      <c r="CF28" s="230">
        <v>151620</v>
      </c>
      <c r="CG28" s="230">
        <v>149850</v>
      </c>
      <c r="CH28" s="230">
        <v>1770</v>
      </c>
      <c r="CI28" s="229">
        <v>1.18E-2</v>
      </c>
      <c r="CJ28" s="230">
        <v>48600</v>
      </c>
      <c r="CK28" s="230">
        <v>47220</v>
      </c>
      <c r="CL28" s="230">
        <v>1380</v>
      </c>
      <c r="CM28" s="229">
        <v>2.92E-2</v>
      </c>
      <c r="CN28" s="230">
        <v>14715200</v>
      </c>
      <c r="CO28" s="230">
        <v>14529895</v>
      </c>
      <c r="CP28" s="230">
        <v>185305</v>
      </c>
      <c r="CQ28" s="229">
        <v>1.2800000000000001E-2</v>
      </c>
      <c r="CR28" s="230">
        <v>17207835</v>
      </c>
      <c r="CS28" s="230">
        <v>15263280</v>
      </c>
      <c r="CT28" s="230">
        <v>1944555</v>
      </c>
      <c r="CU28" s="229">
        <v>0.12740000000000001</v>
      </c>
      <c r="CV28" s="230">
        <v>33713915</v>
      </c>
      <c r="CW28" s="230">
        <v>31587505</v>
      </c>
      <c r="CX28" s="230">
        <v>2126410</v>
      </c>
      <c r="CY28" s="229">
        <v>6.7299999999999999E-2</v>
      </c>
      <c r="CZ28" s="228">
        <v>11.49</v>
      </c>
      <c r="DA28" s="228">
        <v>11.58</v>
      </c>
      <c r="DB28" s="228">
        <v>-0.09</v>
      </c>
      <c r="DC28" s="228">
        <v>-0.09</v>
      </c>
      <c r="DD28" s="228">
        <v>15.76</v>
      </c>
      <c r="DE28" s="228">
        <v>15.79</v>
      </c>
      <c r="DF28" s="228">
        <v>-4.2699999999999996</v>
      </c>
      <c r="DG28" s="228">
        <v>-0.03</v>
      </c>
      <c r="DH28" s="228">
        <v>10.51</v>
      </c>
      <c r="DI28" s="228">
        <v>10.87</v>
      </c>
      <c r="DJ28" s="228">
        <v>-0.36</v>
      </c>
      <c r="DK28" s="228">
        <v>-0.36</v>
      </c>
      <c r="DL28" s="228">
        <v>12.37</v>
      </c>
      <c r="DM28" s="228">
        <v>12.31</v>
      </c>
      <c r="DN28" s="228">
        <v>0.06</v>
      </c>
      <c r="DO28" s="228">
        <v>0.06</v>
      </c>
      <c r="DP28" s="228">
        <v>1.17</v>
      </c>
      <c r="DQ28" s="228">
        <v>1.05</v>
      </c>
      <c r="DR28" s="228">
        <v>0.12</v>
      </c>
      <c r="DS28" s="229">
        <v>0.1143</v>
      </c>
      <c r="DT28" s="231">
        <v>60000</v>
      </c>
      <c r="DU28" s="231">
        <v>60000</v>
      </c>
      <c r="DV28" s="228">
        <v>1.1000000000000001</v>
      </c>
      <c r="DW28" s="228">
        <v>0.98</v>
      </c>
      <c r="DX28" s="228">
        <v>0.12</v>
      </c>
      <c r="DY28" s="229">
        <v>0.12239999999999999</v>
      </c>
      <c r="DZ28" s="229">
        <v>0.1118</v>
      </c>
      <c r="EA28" s="230">
        <v>197070</v>
      </c>
      <c r="EB28" s="229">
        <v>5.5999999999999999E-3</v>
      </c>
      <c r="EC28" s="229">
        <v>0.1118</v>
      </c>
      <c r="ED28" s="228">
        <v>337.53</v>
      </c>
      <c r="EE28" s="229">
        <v>5.5999999999999999E-3</v>
      </c>
      <c r="EF28" s="228">
        <v>0</v>
      </c>
      <c r="EG28" s="228">
        <v>0</v>
      </c>
      <c r="EH28" s="229">
        <v>0</v>
      </c>
      <c r="EI28" s="229">
        <v>0</v>
      </c>
      <c r="EJ28" s="231">
        <v>20144594.530000001</v>
      </c>
      <c r="EK28" s="231">
        <v>21595452.600000001</v>
      </c>
      <c r="EL28" s="231">
        <v>319124.40999999997</v>
      </c>
      <c r="EM28" s="228">
        <v>0</v>
      </c>
      <c r="EN28" s="231">
        <v>42059171.539999999</v>
      </c>
      <c r="EO28" s="231">
        <v>33860026.090000004</v>
      </c>
      <c r="EP28" s="231">
        <v>8199145.4500000002</v>
      </c>
      <c r="EQ28" s="229">
        <v>0.24210000000000001</v>
      </c>
      <c r="ER28" s="231">
        <v>9041316</v>
      </c>
      <c r="ES28" s="231">
        <v>10074546</v>
      </c>
      <c r="ET28" s="231">
        <v>1089869</v>
      </c>
      <c r="EU28" s="228">
        <v>0</v>
      </c>
      <c r="EV28" s="231">
        <v>20205731</v>
      </c>
      <c r="EW28" s="231">
        <v>18947806</v>
      </c>
      <c r="EX28" s="231">
        <v>1257925</v>
      </c>
      <c r="EY28" s="229">
        <v>6.6400000000000001E-2</v>
      </c>
      <c r="EZ28" s="229">
        <v>0</v>
      </c>
      <c r="FA28" s="227" t="s">
        <v>556</v>
      </c>
      <c r="FB28" s="161">
        <f t="shared" si="0"/>
        <v>200220</v>
      </c>
    </row>
    <row r="29" spans="1:158" ht="17.25" thickBot="1" x14ac:dyDescent="0.3">
      <c r="A29" s="226">
        <v>46064</v>
      </c>
      <c r="B29" s="227" t="s">
        <v>184</v>
      </c>
      <c r="C29" s="227" t="s">
        <v>670</v>
      </c>
      <c r="D29" s="228">
        <v>350</v>
      </c>
      <c r="E29" s="231">
        <v>1285.7</v>
      </c>
      <c r="F29" s="231">
        <v>1291.5</v>
      </c>
      <c r="G29" s="228">
        <v>-5.8</v>
      </c>
      <c r="H29" s="229">
        <v>-4.4999999999999997E-3</v>
      </c>
      <c r="I29" s="231">
        <v>1282.5999999999999</v>
      </c>
      <c r="J29" s="231">
        <v>1300</v>
      </c>
      <c r="K29" s="228">
        <v>-17.399999999999999</v>
      </c>
      <c r="L29" s="229">
        <v>-1.34E-2</v>
      </c>
      <c r="M29" s="231">
        <v>1285.7</v>
      </c>
      <c r="N29" s="231">
        <v>1291.5</v>
      </c>
      <c r="O29" s="228">
        <v>-5.8</v>
      </c>
      <c r="P29" s="229">
        <v>-4.4999999999999997E-3</v>
      </c>
      <c r="Q29" s="231">
        <v>1276.4000000000001</v>
      </c>
      <c r="R29" s="231">
        <v>1282.9000000000001</v>
      </c>
      <c r="S29" s="228">
        <v>-6.5</v>
      </c>
      <c r="T29" s="229">
        <v>-5.1000000000000004E-3</v>
      </c>
      <c r="U29" s="231">
        <v>1271.0999999999999</v>
      </c>
      <c r="V29" s="231">
        <v>1277.5</v>
      </c>
      <c r="W29" s="228">
        <v>-6.4</v>
      </c>
      <c r="X29" s="229">
        <v>-5.0000000000000001E-3</v>
      </c>
      <c r="Y29" s="228">
        <v>3.1</v>
      </c>
      <c r="Z29" s="228">
        <v>-8.5</v>
      </c>
      <c r="AA29" s="228">
        <v>11.6</v>
      </c>
      <c r="AB29" s="229">
        <v>2.3999999999999998E-3</v>
      </c>
      <c r="AC29" s="228">
        <v>3.1</v>
      </c>
      <c r="AD29" s="228">
        <v>-8.5</v>
      </c>
      <c r="AE29" s="228">
        <v>11.6</v>
      </c>
      <c r="AF29" s="229">
        <v>2.3999999999999998E-3</v>
      </c>
      <c r="AG29" s="228">
        <v>-6.2</v>
      </c>
      <c r="AH29" s="228">
        <v>-17.100000000000001</v>
      </c>
      <c r="AI29" s="228">
        <v>10.9</v>
      </c>
      <c r="AJ29" s="229">
        <v>-4.7999999999999996E-3</v>
      </c>
      <c r="AK29" s="228">
        <v>-11.5</v>
      </c>
      <c r="AL29" s="228">
        <v>-22.5</v>
      </c>
      <c r="AM29" s="228">
        <v>11</v>
      </c>
      <c r="AN29" s="229">
        <v>-8.9999999999999993E-3</v>
      </c>
      <c r="AO29" s="231">
        <v>1276.33</v>
      </c>
      <c r="AP29" s="231">
        <v>1263.5899999999999</v>
      </c>
      <c r="AQ29" s="228">
        <v>0</v>
      </c>
      <c r="AR29" s="230">
        <v>1181600</v>
      </c>
      <c r="AS29" s="230">
        <v>1683500</v>
      </c>
      <c r="AT29" s="230">
        <v>-501900</v>
      </c>
      <c r="AU29" s="229">
        <v>-0.29809999999999998</v>
      </c>
      <c r="AV29" s="230">
        <v>947800</v>
      </c>
      <c r="AW29" s="230">
        <v>1171450</v>
      </c>
      <c r="AX29" s="230">
        <v>-223650</v>
      </c>
      <c r="AY29" s="229">
        <v>-0.19089999999999999</v>
      </c>
      <c r="AZ29" s="230">
        <v>212100</v>
      </c>
      <c r="BA29" s="230">
        <v>476000</v>
      </c>
      <c r="BB29" s="230">
        <v>-263900</v>
      </c>
      <c r="BC29" s="229">
        <v>-0.5544</v>
      </c>
      <c r="BD29" s="230">
        <v>21700</v>
      </c>
      <c r="BE29" s="230">
        <v>36050</v>
      </c>
      <c r="BF29" s="230">
        <v>-14350</v>
      </c>
      <c r="BG29" s="229">
        <v>-0.39810000000000001</v>
      </c>
      <c r="BH29" s="230">
        <v>7434000</v>
      </c>
      <c r="BI29" s="230">
        <v>7373450</v>
      </c>
      <c r="BJ29" s="230">
        <v>60550</v>
      </c>
      <c r="BK29" s="229">
        <v>8.2000000000000007E-3</v>
      </c>
      <c r="BL29" s="230">
        <v>1663900</v>
      </c>
      <c r="BM29" s="230">
        <v>1937950</v>
      </c>
      <c r="BN29" s="230">
        <v>-274050</v>
      </c>
      <c r="BO29" s="229">
        <v>-0.1414</v>
      </c>
      <c r="BP29" s="230">
        <v>10279500</v>
      </c>
      <c r="BQ29" s="230">
        <v>10994900</v>
      </c>
      <c r="BR29" s="230">
        <v>-715400</v>
      </c>
      <c r="BS29" s="229">
        <v>-6.5100000000000005E-2</v>
      </c>
      <c r="BT29" s="230">
        <v>1196705</v>
      </c>
      <c r="BU29" s="230">
        <v>1416087</v>
      </c>
      <c r="BV29" s="230">
        <v>-219382</v>
      </c>
      <c r="BW29" s="229">
        <v>-0.15490000000000001</v>
      </c>
      <c r="BX29" s="230">
        <v>7335300</v>
      </c>
      <c r="BY29" s="230">
        <v>7301700</v>
      </c>
      <c r="BZ29" s="230">
        <v>33600</v>
      </c>
      <c r="CA29" s="229">
        <v>4.5999999999999999E-3</v>
      </c>
      <c r="CB29" s="230">
        <v>5951050</v>
      </c>
      <c r="CC29" s="230">
        <v>5992700</v>
      </c>
      <c r="CD29" s="230">
        <v>-41650</v>
      </c>
      <c r="CE29" s="229">
        <v>-7.0000000000000001E-3</v>
      </c>
      <c r="CF29" s="230">
        <v>1160600</v>
      </c>
      <c r="CG29" s="230">
        <v>1094800</v>
      </c>
      <c r="CH29" s="230">
        <v>65800</v>
      </c>
      <c r="CI29" s="229">
        <v>6.0100000000000001E-2</v>
      </c>
      <c r="CJ29" s="230">
        <v>223650</v>
      </c>
      <c r="CK29" s="230">
        <v>214200</v>
      </c>
      <c r="CL29" s="230">
        <v>9450</v>
      </c>
      <c r="CM29" s="229">
        <v>4.41E-2</v>
      </c>
      <c r="CN29" s="230">
        <v>11154500</v>
      </c>
      <c r="CO29" s="230">
        <v>11267550</v>
      </c>
      <c r="CP29" s="230">
        <v>-113050</v>
      </c>
      <c r="CQ29" s="229">
        <v>-0.01</v>
      </c>
      <c r="CR29" s="230">
        <v>4016950</v>
      </c>
      <c r="CS29" s="230">
        <v>4030600</v>
      </c>
      <c r="CT29" s="230">
        <v>-13650</v>
      </c>
      <c r="CU29" s="229">
        <v>-3.3999999999999998E-3</v>
      </c>
      <c r="CV29" s="230">
        <v>22506750</v>
      </c>
      <c r="CW29" s="230">
        <v>22599850</v>
      </c>
      <c r="CX29" s="230">
        <v>-93100</v>
      </c>
      <c r="CY29" s="229">
        <v>-4.1000000000000003E-3</v>
      </c>
      <c r="CZ29" s="228">
        <v>46.36</v>
      </c>
      <c r="DA29" s="228">
        <v>45.56</v>
      </c>
      <c r="DB29" s="228">
        <v>0.8</v>
      </c>
      <c r="DC29" s="228">
        <v>0.8</v>
      </c>
      <c r="DD29" s="228">
        <v>52.09</v>
      </c>
      <c r="DE29" s="228">
        <v>52.22</v>
      </c>
      <c r="DF29" s="228">
        <v>-5.73</v>
      </c>
      <c r="DG29" s="228">
        <v>-0.13</v>
      </c>
      <c r="DH29" s="228">
        <v>47.38</v>
      </c>
      <c r="DI29" s="228">
        <v>46.29</v>
      </c>
      <c r="DJ29" s="228">
        <v>1.0900000000000001</v>
      </c>
      <c r="DK29" s="228">
        <v>1.0900000000000001</v>
      </c>
      <c r="DL29" s="228">
        <v>41.8</v>
      </c>
      <c r="DM29" s="228">
        <v>42.75</v>
      </c>
      <c r="DN29" s="228">
        <v>-0.95</v>
      </c>
      <c r="DO29" s="228">
        <v>-0.95</v>
      </c>
      <c r="DP29" s="228">
        <v>0.36</v>
      </c>
      <c r="DQ29" s="228">
        <v>0.36</v>
      </c>
      <c r="DR29" s="228">
        <v>0</v>
      </c>
      <c r="DS29" s="229">
        <v>0</v>
      </c>
      <c r="DT29" s="231">
        <v>1600</v>
      </c>
      <c r="DU29" s="231">
        <v>1260</v>
      </c>
      <c r="DV29" s="228">
        <v>0.22</v>
      </c>
      <c r="DW29" s="228">
        <v>0.26</v>
      </c>
      <c r="DX29" s="228">
        <v>-0.04</v>
      </c>
      <c r="DY29" s="229">
        <v>-0.15379999999999999</v>
      </c>
      <c r="DZ29" s="229">
        <v>0.18870000000000001</v>
      </c>
      <c r="EA29" s="230">
        <v>1309000</v>
      </c>
      <c r="EB29" s="229">
        <v>-7.1999999999999998E-3</v>
      </c>
      <c r="EC29" s="229">
        <v>0.18870000000000001</v>
      </c>
      <c r="ED29" s="228">
        <v>-12.74</v>
      </c>
      <c r="EE29" s="229">
        <v>-0.01</v>
      </c>
      <c r="EF29" s="230">
        <v>406388</v>
      </c>
      <c r="EG29" s="230">
        <v>445983</v>
      </c>
      <c r="EH29" s="229">
        <v>-8.8800000000000004E-2</v>
      </c>
      <c r="EI29" s="229">
        <v>0.33960000000000001</v>
      </c>
      <c r="EJ29" s="231">
        <v>107430.7</v>
      </c>
      <c r="EK29" s="231">
        <v>20945.150000000001</v>
      </c>
      <c r="EL29" s="231">
        <v>15050.55</v>
      </c>
      <c r="EM29" s="231">
        <v>5787</v>
      </c>
      <c r="EN29" s="231">
        <v>143426.4</v>
      </c>
      <c r="EO29" s="231">
        <v>151790.79</v>
      </c>
      <c r="EP29" s="231">
        <v>-8364.39</v>
      </c>
      <c r="EQ29" s="229">
        <v>-5.5100000000000003E-2</v>
      </c>
      <c r="ER29" s="231">
        <v>165298</v>
      </c>
      <c r="ES29" s="231">
        <v>53157</v>
      </c>
      <c r="ET29" s="231">
        <v>94169</v>
      </c>
      <c r="EU29" s="231">
        <v>13786716</v>
      </c>
      <c r="EV29" s="231">
        <v>312624</v>
      </c>
      <c r="EW29" s="231">
        <v>315224</v>
      </c>
      <c r="EX29" s="231">
        <v>-2600</v>
      </c>
      <c r="EY29" s="229">
        <v>-8.2000000000000007E-3</v>
      </c>
      <c r="EZ29" s="229">
        <v>1.6325000000000001</v>
      </c>
      <c r="FA29" s="227" t="s">
        <v>567</v>
      </c>
      <c r="FB29" s="161">
        <f t="shared" si="0"/>
        <v>1384250</v>
      </c>
    </row>
    <row r="30" spans="1:158" ht="17.25" hidden="1" thickBot="1" x14ac:dyDescent="0.3">
      <c r="A30" s="226">
        <v>46064</v>
      </c>
      <c r="B30" s="227" t="s">
        <v>184</v>
      </c>
      <c r="C30" s="227" t="s">
        <v>185</v>
      </c>
      <c r="D30" s="228">
        <v>1425</v>
      </c>
      <c r="E30" s="228">
        <v>437.7</v>
      </c>
      <c r="F30" s="228">
        <v>437.45</v>
      </c>
      <c r="G30" s="228">
        <v>0.25</v>
      </c>
      <c r="H30" s="229">
        <v>5.9999999999999995E-4</v>
      </c>
      <c r="I30" s="228">
        <v>437.55</v>
      </c>
      <c r="J30" s="228">
        <v>437.3</v>
      </c>
      <c r="K30" s="228">
        <v>0.25</v>
      </c>
      <c r="L30" s="229">
        <v>5.9999999999999995E-4</v>
      </c>
      <c r="M30" s="228">
        <v>437.7</v>
      </c>
      <c r="N30" s="228">
        <v>437.45</v>
      </c>
      <c r="O30" s="228">
        <v>0.25</v>
      </c>
      <c r="P30" s="229">
        <v>5.9999999999999995E-4</v>
      </c>
      <c r="Q30" s="228">
        <v>439.5</v>
      </c>
      <c r="R30" s="228">
        <v>439.2</v>
      </c>
      <c r="S30" s="228">
        <v>0.3</v>
      </c>
      <c r="T30" s="229">
        <v>6.9999999999999999E-4</v>
      </c>
      <c r="U30" s="228">
        <v>442.8</v>
      </c>
      <c r="V30" s="228">
        <v>441.85</v>
      </c>
      <c r="W30" s="228">
        <v>0.95</v>
      </c>
      <c r="X30" s="229">
        <v>2.2000000000000001E-3</v>
      </c>
      <c r="Y30" s="228">
        <v>0.15</v>
      </c>
      <c r="Z30" s="228">
        <v>0.15</v>
      </c>
      <c r="AA30" s="228">
        <v>0</v>
      </c>
      <c r="AB30" s="229">
        <v>2.9999999999999997E-4</v>
      </c>
      <c r="AC30" s="228">
        <v>0.15</v>
      </c>
      <c r="AD30" s="228">
        <v>0.15</v>
      </c>
      <c r="AE30" s="228">
        <v>0</v>
      </c>
      <c r="AF30" s="229">
        <v>2.9999999999999997E-4</v>
      </c>
      <c r="AG30" s="228">
        <v>1.95</v>
      </c>
      <c r="AH30" s="228">
        <v>1.9</v>
      </c>
      <c r="AI30" s="228">
        <v>0.05</v>
      </c>
      <c r="AJ30" s="229">
        <v>4.4999999999999997E-3</v>
      </c>
      <c r="AK30" s="228">
        <v>5.25</v>
      </c>
      <c r="AL30" s="228">
        <v>4.55</v>
      </c>
      <c r="AM30" s="228">
        <v>0.7</v>
      </c>
      <c r="AN30" s="229">
        <v>1.2E-2</v>
      </c>
      <c r="AO30" s="228">
        <v>436.8</v>
      </c>
      <c r="AP30" s="228">
        <v>438.64</v>
      </c>
      <c r="AQ30" s="228">
        <v>0</v>
      </c>
      <c r="AR30" s="230">
        <v>8545725</v>
      </c>
      <c r="AS30" s="230">
        <v>12078300</v>
      </c>
      <c r="AT30" s="230">
        <v>-3532575</v>
      </c>
      <c r="AU30" s="229">
        <v>-0.29249999999999998</v>
      </c>
      <c r="AV30" s="230">
        <v>7643700</v>
      </c>
      <c r="AW30" s="230">
        <v>10201575</v>
      </c>
      <c r="AX30" s="230">
        <v>-2557875</v>
      </c>
      <c r="AY30" s="229">
        <v>-0.25069999999999998</v>
      </c>
      <c r="AZ30" s="230">
        <v>780900</v>
      </c>
      <c r="BA30" s="230">
        <v>1604550</v>
      </c>
      <c r="BB30" s="230">
        <v>-823650</v>
      </c>
      <c r="BC30" s="229">
        <v>-0.51329999999999998</v>
      </c>
      <c r="BD30" s="230">
        <v>121125</v>
      </c>
      <c r="BE30" s="230">
        <v>272175</v>
      </c>
      <c r="BF30" s="230">
        <v>-151050</v>
      </c>
      <c r="BG30" s="229">
        <v>-0.55500000000000005</v>
      </c>
      <c r="BH30" s="230">
        <v>56164950</v>
      </c>
      <c r="BI30" s="230">
        <v>78831000</v>
      </c>
      <c r="BJ30" s="230">
        <v>-22666050</v>
      </c>
      <c r="BK30" s="229">
        <v>-0.28749999999999998</v>
      </c>
      <c r="BL30" s="230">
        <v>18493650</v>
      </c>
      <c r="BM30" s="230">
        <v>28428750</v>
      </c>
      <c r="BN30" s="230">
        <v>-9935100</v>
      </c>
      <c r="BO30" s="229">
        <v>-0.34949999999999998</v>
      </c>
      <c r="BP30" s="230">
        <v>83204325</v>
      </c>
      <c r="BQ30" s="230">
        <v>119338050</v>
      </c>
      <c r="BR30" s="230">
        <v>-36133725</v>
      </c>
      <c r="BS30" s="229">
        <v>-0.30280000000000001</v>
      </c>
      <c r="BT30" s="230">
        <v>8564043</v>
      </c>
      <c r="BU30" s="230">
        <v>11553589</v>
      </c>
      <c r="BV30" s="230">
        <v>-2989546</v>
      </c>
      <c r="BW30" s="229">
        <v>-0.25879999999999997</v>
      </c>
      <c r="BX30" s="230">
        <v>112832925</v>
      </c>
      <c r="BY30" s="230">
        <v>113930175</v>
      </c>
      <c r="BZ30" s="230">
        <v>-1097250</v>
      </c>
      <c r="CA30" s="229">
        <v>-9.5999999999999992E-3</v>
      </c>
      <c r="CB30" s="230">
        <v>102837975</v>
      </c>
      <c r="CC30" s="230">
        <v>104046375</v>
      </c>
      <c r="CD30" s="230">
        <v>-1208400</v>
      </c>
      <c r="CE30" s="229">
        <v>-1.1599999999999999E-2</v>
      </c>
      <c r="CF30" s="230">
        <v>8373300</v>
      </c>
      <c r="CG30" s="230">
        <v>8293500</v>
      </c>
      <c r="CH30" s="230">
        <v>79800</v>
      </c>
      <c r="CI30" s="229">
        <v>9.5999999999999992E-3</v>
      </c>
      <c r="CJ30" s="230">
        <v>1621650</v>
      </c>
      <c r="CK30" s="230">
        <v>1590300</v>
      </c>
      <c r="CL30" s="230">
        <v>31350</v>
      </c>
      <c r="CM30" s="229">
        <v>1.9699999999999999E-2</v>
      </c>
      <c r="CN30" s="230">
        <v>102722550</v>
      </c>
      <c r="CO30" s="230">
        <v>105257625</v>
      </c>
      <c r="CP30" s="230">
        <v>-2535075</v>
      </c>
      <c r="CQ30" s="229">
        <v>-2.41E-2</v>
      </c>
      <c r="CR30" s="230">
        <v>43536600</v>
      </c>
      <c r="CS30" s="230">
        <v>44103750</v>
      </c>
      <c r="CT30" s="230">
        <v>-567150</v>
      </c>
      <c r="CU30" s="229">
        <v>-1.29E-2</v>
      </c>
      <c r="CV30" s="230">
        <v>259092075</v>
      </c>
      <c r="CW30" s="230">
        <v>263291550</v>
      </c>
      <c r="CX30" s="230">
        <v>-4199475</v>
      </c>
      <c r="CY30" s="229">
        <v>-1.5900000000000001E-2</v>
      </c>
      <c r="CZ30" s="228">
        <v>34</v>
      </c>
      <c r="DA30" s="228">
        <v>33.479999999999997</v>
      </c>
      <c r="DB30" s="228">
        <v>0.52</v>
      </c>
      <c r="DC30" s="228">
        <v>0.52</v>
      </c>
      <c r="DD30" s="228">
        <v>37.1</v>
      </c>
      <c r="DE30" s="228">
        <v>37.19</v>
      </c>
      <c r="DF30" s="228">
        <v>-3.1</v>
      </c>
      <c r="DG30" s="228">
        <v>-0.09</v>
      </c>
      <c r="DH30" s="228">
        <v>34.9</v>
      </c>
      <c r="DI30" s="228">
        <v>34.200000000000003</v>
      </c>
      <c r="DJ30" s="228">
        <v>0.7</v>
      </c>
      <c r="DK30" s="228">
        <v>0.7</v>
      </c>
      <c r="DL30" s="228">
        <v>31.27</v>
      </c>
      <c r="DM30" s="228">
        <v>31.5</v>
      </c>
      <c r="DN30" s="228">
        <v>-0.23</v>
      </c>
      <c r="DO30" s="228">
        <v>-0.23</v>
      </c>
      <c r="DP30" s="228">
        <v>0.42</v>
      </c>
      <c r="DQ30" s="228">
        <v>0.42</v>
      </c>
      <c r="DR30" s="228">
        <v>0</v>
      </c>
      <c r="DS30" s="229">
        <v>0</v>
      </c>
      <c r="DT30" s="228">
        <v>450</v>
      </c>
      <c r="DU30" s="228">
        <v>420</v>
      </c>
      <c r="DV30" s="228">
        <v>0.33</v>
      </c>
      <c r="DW30" s="228">
        <v>0.36</v>
      </c>
      <c r="DX30" s="228">
        <v>-0.03</v>
      </c>
      <c r="DY30" s="229">
        <v>-8.3299999999999999E-2</v>
      </c>
      <c r="DZ30" s="229">
        <v>8.8599999999999998E-2</v>
      </c>
      <c r="EA30" s="230">
        <v>9883800</v>
      </c>
      <c r="EB30" s="229">
        <v>4.1000000000000003E-3</v>
      </c>
      <c r="EC30" s="229">
        <v>8.8599999999999998E-2</v>
      </c>
      <c r="ED30" s="228">
        <v>1.84</v>
      </c>
      <c r="EE30" s="229">
        <v>4.1999999999999997E-3</v>
      </c>
      <c r="EF30" s="230">
        <v>5153812</v>
      </c>
      <c r="EG30" s="230">
        <v>5730336</v>
      </c>
      <c r="EH30" s="229">
        <v>-0.10059999999999999</v>
      </c>
      <c r="EI30" s="229">
        <v>0.6018</v>
      </c>
      <c r="EJ30" s="231">
        <v>264416.55</v>
      </c>
      <c r="EK30" s="231">
        <v>79323.83</v>
      </c>
      <c r="EL30" s="231">
        <v>37348.04</v>
      </c>
      <c r="EM30" s="231">
        <v>10225</v>
      </c>
      <c r="EN30" s="231">
        <v>381088.42</v>
      </c>
      <c r="EO30" s="231">
        <v>542338.61</v>
      </c>
      <c r="EP30" s="231">
        <v>-161250.19</v>
      </c>
      <c r="EQ30" s="229">
        <v>-0.29730000000000001</v>
      </c>
      <c r="ER30" s="231">
        <v>474765</v>
      </c>
      <c r="ES30" s="231">
        <v>182672</v>
      </c>
      <c r="ET30" s="231">
        <v>494103</v>
      </c>
      <c r="EU30" s="231">
        <v>535778534</v>
      </c>
      <c r="EV30" s="231">
        <v>1151540</v>
      </c>
      <c r="EW30" s="231">
        <v>1170571</v>
      </c>
      <c r="EX30" s="231">
        <v>-19031</v>
      </c>
      <c r="EY30" s="229">
        <v>-1.6299999999999999E-2</v>
      </c>
      <c r="EZ30" s="229">
        <v>0.48359999999999997</v>
      </c>
      <c r="FA30" s="227" t="s">
        <v>556</v>
      </c>
      <c r="FB30" s="161">
        <f t="shared" si="0"/>
        <v>9994950</v>
      </c>
    </row>
    <row r="31" spans="1:158" ht="17.25" hidden="1" thickBot="1" x14ac:dyDescent="0.3">
      <c r="A31" s="226">
        <v>46064</v>
      </c>
      <c r="B31" s="227" t="s">
        <v>162</v>
      </c>
      <c r="C31" s="227" t="s">
        <v>187</v>
      </c>
      <c r="D31" s="228">
        <v>500</v>
      </c>
      <c r="E31" s="231">
        <v>1678.4</v>
      </c>
      <c r="F31" s="231">
        <v>1617.4</v>
      </c>
      <c r="G31" s="228">
        <v>61</v>
      </c>
      <c r="H31" s="229">
        <v>3.7699999999999997E-2</v>
      </c>
      <c r="I31" s="231">
        <v>1676.4</v>
      </c>
      <c r="J31" s="231">
        <v>1614</v>
      </c>
      <c r="K31" s="228">
        <v>62.4</v>
      </c>
      <c r="L31" s="229">
        <v>3.8699999999999998E-2</v>
      </c>
      <c r="M31" s="231">
        <v>1678.4</v>
      </c>
      <c r="N31" s="231">
        <v>1617.4</v>
      </c>
      <c r="O31" s="228">
        <v>61</v>
      </c>
      <c r="P31" s="229">
        <v>3.7699999999999997E-2</v>
      </c>
      <c r="Q31" s="231">
        <v>1682.6</v>
      </c>
      <c r="R31" s="231">
        <v>1622.9</v>
      </c>
      <c r="S31" s="228">
        <v>59.7</v>
      </c>
      <c r="T31" s="229">
        <v>3.6799999999999999E-2</v>
      </c>
      <c r="U31" s="231">
        <v>1689.2</v>
      </c>
      <c r="V31" s="231">
        <v>1627.6</v>
      </c>
      <c r="W31" s="228">
        <v>61.6</v>
      </c>
      <c r="X31" s="229">
        <v>3.78E-2</v>
      </c>
      <c r="Y31" s="228">
        <v>2</v>
      </c>
      <c r="Z31" s="228">
        <v>3.4</v>
      </c>
      <c r="AA31" s="228">
        <v>-1.4</v>
      </c>
      <c r="AB31" s="229">
        <v>1.1999999999999999E-3</v>
      </c>
      <c r="AC31" s="228">
        <v>2</v>
      </c>
      <c r="AD31" s="228">
        <v>3.4</v>
      </c>
      <c r="AE31" s="228">
        <v>-1.4</v>
      </c>
      <c r="AF31" s="229">
        <v>1.1999999999999999E-3</v>
      </c>
      <c r="AG31" s="228">
        <v>6.2</v>
      </c>
      <c r="AH31" s="228">
        <v>8.9</v>
      </c>
      <c r="AI31" s="228">
        <v>-2.7</v>
      </c>
      <c r="AJ31" s="229">
        <v>3.7000000000000002E-3</v>
      </c>
      <c r="AK31" s="228">
        <v>12.8</v>
      </c>
      <c r="AL31" s="228">
        <v>13.6</v>
      </c>
      <c r="AM31" s="228">
        <v>-0.8</v>
      </c>
      <c r="AN31" s="229">
        <v>7.6E-3</v>
      </c>
      <c r="AO31" s="231">
        <v>1659.1</v>
      </c>
      <c r="AP31" s="231">
        <v>1668.16</v>
      </c>
      <c r="AQ31" s="228">
        <v>0</v>
      </c>
      <c r="AR31" s="230">
        <v>3601000</v>
      </c>
      <c r="AS31" s="230">
        <v>1191000</v>
      </c>
      <c r="AT31" s="230">
        <v>2410000</v>
      </c>
      <c r="AU31" s="229">
        <v>2.0234999999999999</v>
      </c>
      <c r="AV31" s="230">
        <v>3407500</v>
      </c>
      <c r="AW31" s="230">
        <v>1115500</v>
      </c>
      <c r="AX31" s="230">
        <v>2292000</v>
      </c>
      <c r="AY31" s="229">
        <v>2.0547</v>
      </c>
      <c r="AZ31" s="230">
        <v>174000</v>
      </c>
      <c r="BA31" s="230">
        <v>62500</v>
      </c>
      <c r="BB31" s="230">
        <v>111500</v>
      </c>
      <c r="BC31" s="229">
        <v>1.784</v>
      </c>
      <c r="BD31" s="230">
        <v>19500</v>
      </c>
      <c r="BE31" s="230">
        <v>13000</v>
      </c>
      <c r="BF31" s="230">
        <v>6500</v>
      </c>
      <c r="BG31" s="229">
        <v>0.5</v>
      </c>
      <c r="BH31" s="230">
        <v>14373500</v>
      </c>
      <c r="BI31" s="230">
        <v>4043500</v>
      </c>
      <c r="BJ31" s="230">
        <v>10330000</v>
      </c>
      <c r="BK31" s="229">
        <v>2.5547</v>
      </c>
      <c r="BL31" s="230">
        <v>4799500</v>
      </c>
      <c r="BM31" s="230">
        <v>1549000</v>
      </c>
      <c r="BN31" s="230">
        <v>3250500</v>
      </c>
      <c r="BO31" s="229">
        <v>2.0985</v>
      </c>
      <c r="BP31" s="230">
        <v>22774000</v>
      </c>
      <c r="BQ31" s="230">
        <v>6783500</v>
      </c>
      <c r="BR31" s="230">
        <v>15990500</v>
      </c>
      <c r="BS31" s="229">
        <v>2.3573</v>
      </c>
      <c r="BT31" s="230">
        <v>2784697</v>
      </c>
      <c r="BU31" s="230">
        <v>1097865</v>
      </c>
      <c r="BV31" s="230">
        <v>1686832</v>
      </c>
      <c r="BW31" s="229">
        <v>1.5365</v>
      </c>
      <c r="BX31" s="230">
        <v>7092500</v>
      </c>
      <c r="BY31" s="230">
        <v>6929000</v>
      </c>
      <c r="BZ31" s="230">
        <v>163500</v>
      </c>
      <c r="CA31" s="229">
        <v>2.3599999999999999E-2</v>
      </c>
      <c r="CB31" s="230">
        <v>6952000</v>
      </c>
      <c r="CC31" s="230">
        <v>6810500</v>
      </c>
      <c r="CD31" s="230">
        <v>141500</v>
      </c>
      <c r="CE31" s="229">
        <v>2.0799999999999999E-2</v>
      </c>
      <c r="CF31" s="230">
        <v>114000</v>
      </c>
      <c r="CG31" s="230">
        <v>96000</v>
      </c>
      <c r="CH31" s="230">
        <v>18000</v>
      </c>
      <c r="CI31" s="229">
        <v>0.1875</v>
      </c>
      <c r="CJ31" s="230">
        <v>26500</v>
      </c>
      <c r="CK31" s="230">
        <v>22500</v>
      </c>
      <c r="CL31" s="230">
        <v>4000</v>
      </c>
      <c r="CM31" s="229">
        <v>0.17780000000000001</v>
      </c>
      <c r="CN31" s="230">
        <v>3429000</v>
      </c>
      <c r="CO31" s="230">
        <v>2974000</v>
      </c>
      <c r="CP31" s="230">
        <v>455000</v>
      </c>
      <c r="CQ31" s="229">
        <v>0.153</v>
      </c>
      <c r="CR31" s="230">
        <v>2658000</v>
      </c>
      <c r="CS31" s="230">
        <v>2244500</v>
      </c>
      <c r="CT31" s="230">
        <v>413500</v>
      </c>
      <c r="CU31" s="229">
        <v>0.1842</v>
      </c>
      <c r="CV31" s="230">
        <v>13179500</v>
      </c>
      <c r="CW31" s="230">
        <v>12147500</v>
      </c>
      <c r="CX31" s="230">
        <v>1032000</v>
      </c>
      <c r="CY31" s="229">
        <v>8.5000000000000006E-2</v>
      </c>
      <c r="CZ31" s="228">
        <v>44.65</v>
      </c>
      <c r="DA31" s="228">
        <v>40.549999999999997</v>
      </c>
      <c r="DB31" s="228">
        <v>4.0999999999999996</v>
      </c>
      <c r="DC31" s="228">
        <v>4.0999999999999996</v>
      </c>
      <c r="DD31" s="228">
        <v>37.869999999999997</v>
      </c>
      <c r="DE31" s="228">
        <v>37.630000000000003</v>
      </c>
      <c r="DF31" s="228">
        <v>6.78</v>
      </c>
      <c r="DG31" s="228">
        <v>0.24</v>
      </c>
      <c r="DH31" s="228">
        <v>44.45</v>
      </c>
      <c r="DI31" s="228">
        <v>39.89</v>
      </c>
      <c r="DJ31" s="228">
        <v>4.5599999999999996</v>
      </c>
      <c r="DK31" s="228">
        <v>4.5599999999999996</v>
      </c>
      <c r="DL31" s="228">
        <v>45.25</v>
      </c>
      <c r="DM31" s="228">
        <v>42.25</v>
      </c>
      <c r="DN31" s="228">
        <v>3</v>
      </c>
      <c r="DO31" s="228">
        <v>3</v>
      </c>
      <c r="DP31" s="228">
        <v>0.78</v>
      </c>
      <c r="DQ31" s="228">
        <v>0.75</v>
      </c>
      <c r="DR31" s="228">
        <v>0.03</v>
      </c>
      <c r="DS31" s="229">
        <v>0.04</v>
      </c>
      <c r="DT31" s="231">
        <v>1800</v>
      </c>
      <c r="DU31" s="231">
        <v>1500</v>
      </c>
      <c r="DV31" s="228">
        <v>0.33</v>
      </c>
      <c r="DW31" s="228">
        <v>0.38</v>
      </c>
      <c r="DX31" s="228">
        <v>-0.05</v>
      </c>
      <c r="DY31" s="229">
        <v>-0.13159999999999999</v>
      </c>
      <c r="DZ31" s="229">
        <v>1.9800000000000002E-2</v>
      </c>
      <c r="EA31" s="230">
        <v>118500</v>
      </c>
      <c r="EB31" s="229">
        <v>2.5000000000000001E-3</v>
      </c>
      <c r="EC31" s="229">
        <v>1.9800000000000002E-2</v>
      </c>
      <c r="ED31" s="228">
        <v>9.06</v>
      </c>
      <c r="EE31" s="229">
        <v>5.4999999999999997E-3</v>
      </c>
      <c r="EF31" s="230">
        <v>1342926</v>
      </c>
      <c r="EG31" s="230">
        <v>622792</v>
      </c>
      <c r="EH31" s="229">
        <v>1.1563000000000001</v>
      </c>
      <c r="EI31" s="229">
        <v>0.48230000000000001</v>
      </c>
      <c r="EJ31" s="231">
        <v>250175.02</v>
      </c>
      <c r="EK31" s="231">
        <v>76800.960000000006</v>
      </c>
      <c r="EL31" s="231">
        <v>59761.79</v>
      </c>
      <c r="EM31" s="231">
        <v>3521</v>
      </c>
      <c r="EN31" s="231">
        <v>386737.77</v>
      </c>
      <c r="EO31" s="231">
        <v>111145.61</v>
      </c>
      <c r="EP31" s="231">
        <v>275592.15999999997</v>
      </c>
      <c r="EQ31" s="229">
        <v>2.4796</v>
      </c>
      <c r="ER31" s="231">
        <v>56495</v>
      </c>
      <c r="ES31" s="231">
        <v>39942</v>
      </c>
      <c r="ET31" s="231">
        <v>119048</v>
      </c>
      <c r="EU31" s="231">
        <v>40107751</v>
      </c>
      <c r="EV31" s="231">
        <v>215485</v>
      </c>
      <c r="EW31" s="231">
        <v>192983</v>
      </c>
      <c r="EX31" s="231">
        <v>22502</v>
      </c>
      <c r="EY31" s="229">
        <v>0.1166</v>
      </c>
      <c r="EZ31" s="229">
        <v>0.3286</v>
      </c>
      <c r="FA31" s="227" t="s">
        <v>555</v>
      </c>
      <c r="FB31" s="161">
        <f t="shared" si="0"/>
        <v>140500</v>
      </c>
    </row>
    <row r="32" spans="1:158" ht="17.25" hidden="1" thickBot="1" x14ac:dyDescent="0.3">
      <c r="A32" s="226">
        <v>46064</v>
      </c>
      <c r="B32" s="227" t="s">
        <v>188</v>
      </c>
      <c r="C32" s="227" t="s">
        <v>189</v>
      </c>
      <c r="D32" s="228">
        <v>475</v>
      </c>
      <c r="E32" s="231">
        <v>2018.1</v>
      </c>
      <c r="F32" s="231">
        <v>2016.9</v>
      </c>
      <c r="G32" s="228">
        <v>1.2</v>
      </c>
      <c r="H32" s="229">
        <v>5.9999999999999995E-4</v>
      </c>
      <c r="I32" s="231">
        <v>2012.1</v>
      </c>
      <c r="J32" s="231">
        <v>2011.3</v>
      </c>
      <c r="K32" s="228">
        <v>0.8</v>
      </c>
      <c r="L32" s="229">
        <v>4.0000000000000002E-4</v>
      </c>
      <c r="M32" s="231">
        <v>2018.1</v>
      </c>
      <c r="N32" s="231">
        <v>2016.9</v>
      </c>
      <c r="O32" s="228">
        <v>1.2</v>
      </c>
      <c r="P32" s="229">
        <v>5.9999999999999995E-4</v>
      </c>
      <c r="Q32" s="231">
        <v>2030</v>
      </c>
      <c r="R32" s="231">
        <v>2029.3</v>
      </c>
      <c r="S32" s="228">
        <v>0.7</v>
      </c>
      <c r="T32" s="229">
        <v>2.9999999999999997E-4</v>
      </c>
      <c r="U32" s="231">
        <v>2048</v>
      </c>
      <c r="V32" s="231">
        <v>2041.5</v>
      </c>
      <c r="W32" s="228">
        <v>6.5</v>
      </c>
      <c r="X32" s="229">
        <v>3.2000000000000002E-3</v>
      </c>
      <c r="Y32" s="228">
        <v>6</v>
      </c>
      <c r="Z32" s="228">
        <v>5.6</v>
      </c>
      <c r="AA32" s="228">
        <v>0.4</v>
      </c>
      <c r="AB32" s="229">
        <v>3.0000000000000001E-3</v>
      </c>
      <c r="AC32" s="228">
        <v>6</v>
      </c>
      <c r="AD32" s="228">
        <v>5.6</v>
      </c>
      <c r="AE32" s="228">
        <v>0.4</v>
      </c>
      <c r="AF32" s="229">
        <v>3.0000000000000001E-3</v>
      </c>
      <c r="AG32" s="228">
        <v>17.899999999999999</v>
      </c>
      <c r="AH32" s="228">
        <v>18</v>
      </c>
      <c r="AI32" s="228">
        <v>-0.1</v>
      </c>
      <c r="AJ32" s="229">
        <v>8.8999999999999999E-3</v>
      </c>
      <c r="AK32" s="228">
        <v>35.9</v>
      </c>
      <c r="AL32" s="228">
        <v>30.2</v>
      </c>
      <c r="AM32" s="228">
        <v>5.7</v>
      </c>
      <c r="AN32" s="229">
        <v>1.78E-2</v>
      </c>
      <c r="AO32" s="231">
        <v>2015.23</v>
      </c>
      <c r="AP32" s="231">
        <v>2027.89</v>
      </c>
      <c r="AQ32" s="228">
        <v>0</v>
      </c>
      <c r="AR32" s="230">
        <v>3559175</v>
      </c>
      <c r="AS32" s="230">
        <v>3720675</v>
      </c>
      <c r="AT32" s="230">
        <v>-161500</v>
      </c>
      <c r="AU32" s="229">
        <v>-4.3400000000000001E-2</v>
      </c>
      <c r="AV32" s="230">
        <v>2829575</v>
      </c>
      <c r="AW32" s="230">
        <v>3268950</v>
      </c>
      <c r="AX32" s="230">
        <v>-439375</v>
      </c>
      <c r="AY32" s="229">
        <v>-0.13439999999999999</v>
      </c>
      <c r="AZ32" s="230">
        <v>711550</v>
      </c>
      <c r="BA32" s="230">
        <v>413725</v>
      </c>
      <c r="BB32" s="230">
        <v>297825</v>
      </c>
      <c r="BC32" s="229">
        <v>0.71989999999999998</v>
      </c>
      <c r="BD32" s="230">
        <v>18050</v>
      </c>
      <c r="BE32" s="230">
        <v>38000</v>
      </c>
      <c r="BF32" s="230">
        <v>-19950</v>
      </c>
      <c r="BG32" s="229">
        <v>-0.52500000000000002</v>
      </c>
      <c r="BH32" s="230">
        <v>22860800</v>
      </c>
      <c r="BI32" s="230">
        <v>20507175</v>
      </c>
      <c r="BJ32" s="230">
        <v>2353625</v>
      </c>
      <c r="BK32" s="229">
        <v>0.1148</v>
      </c>
      <c r="BL32" s="230">
        <v>12967975</v>
      </c>
      <c r="BM32" s="230">
        <v>14836625</v>
      </c>
      <c r="BN32" s="230">
        <v>-1868650</v>
      </c>
      <c r="BO32" s="229">
        <v>-0.12590000000000001</v>
      </c>
      <c r="BP32" s="230">
        <v>39387950</v>
      </c>
      <c r="BQ32" s="230">
        <v>39064475</v>
      </c>
      <c r="BR32" s="230">
        <v>323475</v>
      </c>
      <c r="BS32" s="229">
        <v>8.3000000000000001E-3</v>
      </c>
      <c r="BT32" s="230">
        <v>7666678</v>
      </c>
      <c r="BU32" s="230">
        <v>10268884</v>
      </c>
      <c r="BV32" s="230">
        <v>-2602206</v>
      </c>
      <c r="BW32" s="229">
        <v>-0.25340000000000001</v>
      </c>
      <c r="BX32" s="230">
        <v>52765850</v>
      </c>
      <c r="BY32" s="230">
        <v>52061900</v>
      </c>
      <c r="BZ32" s="230">
        <v>703950</v>
      </c>
      <c r="CA32" s="229">
        <v>1.35E-2</v>
      </c>
      <c r="CB32" s="230">
        <v>45642275</v>
      </c>
      <c r="CC32" s="230">
        <v>45417125</v>
      </c>
      <c r="CD32" s="230">
        <v>225150</v>
      </c>
      <c r="CE32" s="229">
        <v>5.0000000000000001E-3</v>
      </c>
      <c r="CF32" s="230">
        <v>7005775</v>
      </c>
      <c r="CG32" s="230">
        <v>6529350</v>
      </c>
      <c r="CH32" s="230">
        <v>476425</v>
      </c>
      <c r="CI32" s="229">
        <v>7.2999999999999995E-2</v>
      </c>
      <c r="CJ32" s="230">
        <v>117800</v>
      </c>
      <c r="CK32" s="230">
        <v>115425</v>
      </c>
      <c r="CL32" s="230">
        <v>2375</v>
      </c>
      <c r="CM32" s="229">
        <v>2.06E-2</v>
      </c>
      <c r="CN32" s="230">
        <v>15654100</v>
      </c>
      <c r="CO32" s="230">
        <v>14908825</v>
      </c>
      <c r="CP32" s="230">
        <v>745275</v>
      </c>
      <c r="CQ32" s="229">
        <v>0.05</v>
      </c>
      <c r="CR32" s="230">
        <v>7771000</v>
      </c>
      <c r="CS32" s="230">
        <v>7676000</v>
      </c>
      <c r="CT32" s="230">
        <v>95000</v>
      </c>
      <c r="CU32" s="229">
        <v>1.24E-2</v>
      </c>
      <c r="CV32" s="230">
        <v>76190950</v>
      </c>
      <c r="CW32" s="230">
        <v>74646725</v>
      </c>
      <c r="CX32" s="230">
        <v>1544225</v>
      </c>
      <c r="CY32" s="229">
        <v>2.07E-2</v>
      </c>
      <c r="CZ32" s="228">
        <v>19.05</v>
      </c>
      <c r="DA32" s="228">
        <v>19.57</v>
      </c>
      <c r="DB32" s="228">
        <v>-0.52</v>
      </c>
      <c r="DC32" s="228">
        <v>-0.52</v>
      </c>
      <c r="DD32" s="228">
        <v>23.68</v>
      </c>
      <c r="DE32" s="228">
        <v>23.74</v>
      </c>
      <c r="DF32" s="228">
        <v>-4.63</v>
      </c>
      <c r="DG32" s="228">
        <v>-0.06</v>
      </c>
      <c r="DH32" s="228">
        <v>18.88</v>
      </c>
      <c r="DI32" s="228">
        <v>19.5</v>
      </c>
      <c r="DJ32" s="228">
        <v>-0.62</v>
      </c>
      <c r="DK32" s="228">
        <v>-0.62</v>
      </c>
      <c r="DL32" s="228">
        <v>19.36</v>
      </c>
      <c r="DM32" s="228">
        <v>19.66</v>
      </c>
      <c r="DN32" s="228">
        <v>-0.3</v>
      </c>
      <c r="DO32" s="228">
        <v>-0.3</v>
      </c>
      <c r="DP32" s="228">
        <v>0.5</v>
      </c>
      <c r="DQ32" s="228">
        <v>0.51</v>
      </c>
      <c r="DR32" s="228">
        <v>-0.01</v>
      </c>
      <c r="DS32" s="229">
        <v>-1.9599999999999999E-2</v>
      </c>
      <c r="DT32" s="231">
        <v>2100</v>
      </c>
      <c r="DU32" s="231">
        <v>2000</v>
      </c>
      <c r="DV32" s="228">
        <v>0.56999999999999995</v>
      </c>
      <c r="DW32" s="228">
        <v>0.72</v>
      </c>
      <c r="DX32" s="228">
        <v>-0.15</v>
      </c>
      <c r="DY32" s="229">
        <v>-0.20830000000000001</v>
      </c>
      <c r="DZ32" s="229">
        <v>0.13500000000000001</v>
      </c>
      <c r="EA32" s="230">
        <v>6644775</v>
      </c>
      <c r="EB32" s="229">
        <v>5.8999999999999999E-3</v>
      </c>
      <c r="EC32" s="229">
        <v>0.13500000000000001</v>
      </c>
      <c r="ED32" s="228">
        <v>12.66</v>
      </c>
      <c r="EE32" s="229">
        <v>6.3E-3</v>
      </c>
      <c r="EF32" s="230">
        <v>5058023</v>
      </c>
      <c r="EG32" s="230">
        <v>7293656</v>
      </c>
      <c r="EH32" s="229">
        <v>-0.30649999999999999</v>
      </c>
      <c r="EI32" s="229">
        <v>0.65969999999999995</v>
      </c>
      <c r="EJ32" s="231">
        <v>474849.15</v>
      </c>
      <c r="EK32" s="231">
        <v>258676.06</v>
      </c>
      <c r="EL32" s="231">
        <v>71819.67</v>
      </c>
      <c r="EM32" s="231">
        <v>15021</v>
      </c>
      <c r="EN32" s="231">
        <v>805344.88</v>
      </c>
      <c r="EO32" s="231">
        <v>802467.4</v>
      </c>
      <c r="EP32" s="231">
        <v>2877.48</v>
      </c>
      <c r="EQ32" s="229">
        <v>3.5999999999999999E-3</v>
      </c>
      <c r="ER32" s="231">
        <v>328097</v>
      </c>
      <c r="ES32" s="231">
        <v>149536</v>
      </c>
      <c r="ET32" s="231">
        <v>1065737</v>
      </c>
      <c r="EU32" s="231">
        <v>367085962</v>
      </c>
      <c r="EV32" s="231">
        <v>1543370</v>
      </c>
      <c r="EW32" s="231">
        <v>1511070</v>
      </c>
      <c r="EX32" s="231">
        <v>32300</v>
      </c>
      <c r="EY32" s="229">
        <v>2.1399999999999999E-2</v>
      </c>
      <c r="EZ32" s="229">
        <v>0.20760000000000001</v>
      </c>
      <c r="FA32" s="227" t="s">
        <v>555</v>
      </c>
      <c r="FB32" s="161">
        <f t="shared" si="0"/>
        <v>7123575</v>
      </c>
    </row>
    <row r="33" spans="1:158" ht="17.25" hidden="1" thickBot="1" x14ac:dyDescent="0.3">
      <c r="A33" s="226">
        <v>46064</v>
      </c>
      <c r="B33" s="227" t="s">
        <v>184</v>
      </c>
      <c r="C33" s="227" t="s">
        <v>190</v>
      </c>
      <c r="D33" s="228">
        <v>2625</v>
      </c>
      <c r="E33" s="228">
        <v>260.7</v>
      </c>
      <c r="F33" s="228">
        <v>276.8</v>
      </c>
      <c r="G33" s="228">
        <v>-16.100000000000001</v>
      </c>
      <c r="H33" s="229">
        <v>-5.8200000000000002E-2</v>
      </c>
      <c r="I33" s="228">
        <v>260.64999999999998</v>
      </c>
      <c r="J33" s="228">
        <v>276.10000000000002</v>
      </c>
      <c r="K33" s="228">
        <v>-15.45</v>
      </c>
      <c r="L33" s="229">
        <v>-5.6000000000000001E-2</v>
      </c>
      <c r="M33" s="228">
        <v>260.7</v>
      </c>
      <c r="N33" s="228">
        <v>276.8</v>
      </c>
      <c r="O33" s="228">
        <v>-16.100000000000001</v>
      </c>
      <c r="P33" s="229">
        <v>-5.8200000000000002E-2</v>
      </c>
      <c r="Q33" s="228">
        <v>262.5</v>
      </c>
      <c r="R33" s="228">
        <v>278.39999999999998</v>
      </c>
      <c r="S33" s="228">
        <v>-15.9</v>
      </c>
      <c r="T33" s="229">
        <v>-5.7099999999999998E-2</v>
      </c>
      <c r="U33" s="228">
        <v>264.35000000000002</v>
      </c>
      <c r="V33" s="228">
        <v>279.8</v>
      </c>
      <c r="W33" s="228">
        <v>-15.45</v>
      </c>
      <c r="X33" s="229">
        <v>-5.5199999999999999E-2</v>
      </c>
      <c r="Y33" s="228">
        <v>0.05</v>
      </c>
      <c r="Z33" s="228">
        <v>0.7</v>
      </c>
      <c r="AA33" s="228">
        <v>-0.65</v>
      </c>
      <c r="AB33" s="229">
        <v>2.0000000000000001E-4</v>
      </c>
      <c r="AC33" s="228">
        <v>0.05</v>
      </c>
      <c r="AD33" s="228">
        <v>0.7</v>
      </c>
      <c r="AE33" s="228">
        <v>-0.65</v>
      </c>
      <c r="AF33" s="229">
        <v>2.0000000000000001E-4</v>
      </c>
      <c r="AG33" s="228">
        <v>1.85</v>
      </c>
      <c r="AH33" s="228">
        <v>2.2999999999999998</v>
      </c>
      <c r="AI33" s="228">
        <v>-0.45</v>
      </c>
      <c r="AJ33" s="229">
        <v>7.1000000000000004E-3</v>
      </c>
      <c r="AK33" s="228">
        <v>3.7</v>
      </c>
      <c r="AL33" s="228">
        <v>3.7</v>
      </c>
      <c r="AM33" s="228">
        <v>0</v>
      </c>
      <c r="AN33" s="229">
        <v>1.4200000000000001E-2</v>
      </c>
      <c r="AO33" s="228">
        <v>260.67</v>
      </c>
      <c r="AP33" s="228">
        <v>262.45999999999998</v>
      </c>
      <c r="AQ33" s="228">
        <v>0</v>
      </c>
      <c r="AR33" s="230">
        <v>112539000</v>
      </c>
      <c r="AS33" s="230">
        <v>10925250</v>
      </c>
      <c r="AT33" s="230">
        <v>101613750</v>
      </c>
      <c r="AU33" s="229">
        <v>9.3008000000000006</v>
      </c>
      <c r="AV33" s="230">
        <v>106052625</v>
      </c>
      <c r="AW33" s="230">
        <v>10122000</v>
      </c>
      <c r="AX33" s="230">
        <v>95930625</v>
      </c>
      <c r="AY33" s="229">
        <v>9.4773999999999994</v>
      </c>
      <c r="AZ33" s="230">
        <v>5956125</v>
      </c>
      <c r="BA33" s="230">
        <v>669375</v>
      </c>
      <c r="BB33" s="230">
        <v>5286750</v>
      </c>
      <c r="BC33" s="229">
        <v>7.8979999999999997</v>
      </c>
      <c r="BD33" s="230">
        <v>530250</v>
      </c>
      <c r="BE33" s="230">
        <v>133875</v>
      </c>
      <c r="BF33" s="230">
        <v>396375</v>
      </c>
      <c r="BG33" s="229">
        <v>2.9607999999999999</v>
      </c>
      <c r="BH33" s="230">
        <v>229467000</v>
      </c>
      <c r="BI33" s="230">
        <v>48197625</v>
      </c>
      <c r="BJ33" s="230">
        <v>181269375</v>
      </c>
      <c r="BK33" s="229">
        <v>3.7610000000000001</v>
      </c>
      <c r="BL33" s="230">
        <v>138613125</v>
      </c>
      <c r="BM33" s="230">
        <v>22002750</v>
      </c>
      <c r="BN33" s="230">
        <v>116610375</v>
      </c>
      <c r="BO33" s="229">
        <v>5.2998000000000003</v>
      </c>
      <c r="BP33" s="230">
        <v>480619125</v>
      </c>
      <c r="BQ33" s="230">
        <v>81125625</v>
      </c>
      <c r="BR33" s="230">
        <v>399493500</v>
      </c>
      <c r="BS33" s="229">
        <v>4.9244000000000003</v>
      </c>
      <c r="BT33" s="230">
        <v>86862116</v>
      </c>
      <c r="BU33" s="230">
        <v>5658353</v>
      </c>
      <c r="BV33" s="230">
        <v>81203763</v>
      </c>
      <c r="BW33" s="229">
        <v>14.351100000000001</v>
      </c>
      <c r="BX33" s="230">
        <v>102663750</v>
      </c>
      <c r="BY33" s="230">
        <v>76768125</v>
      </c>
      <c r="BZ33" s="230">
        <v>25895625</v>
      </c>
      <c r="CA33" s="229">
        <v>0.33729999999999999</v>
      </c>
      <c r="CB33" s="230">
        <v>97140750</v>
      </c>
      <c r="CC33" s="230">
        <v>73917375</v>
      </c>
      <c r="CD33" s="230">
        <v>23223375</v>
      </c>
      <c r="CE33" s="229">
        <v>0.31419999999999998</v>
      </c>
      <c r="CF33" s="230">
        <v>4856250</v>
      </c>
      <c r="CG33" s="230">
        <v>2493750</v>
      </c>
      <c r="CH33" s="230">
        <v>2362500</v>
      </c>
      <c r="CI33" s="229">
        <v>0.94740000000000002</v>
      </c>
      <c r="CJ33" s="230">
        <v>666750</v>
      </c>
      <c r="CK33" s="230">
        <v>357000</v>
      </c>
      <c r="CL33" s="230">
        <v>309750</v>
      </c>
      <c r="CM33" s="229">
        <v>0.86760000000000004</v>
      </c>
      <c r="CN33" s="230">
        <v>78319500</v>
      </c>
      <c r="CO33" s="230">
        <v>48210750</v>
      </c>
      <c r="CP33" s="230">
        <v>30108750</v>
      </c>
      <c r="CQ33" s="229">
        <v>0.62450000000000006</v>
      </c>
      <c r="CR33" s="230">
        <v>41112750</v>
      </c>
      <c r="CS33" s="230">
        <v>27202875</v>
      </c>
      <c r="CT33" s="230">
        <v>13909875</v>
      </c>
      <c r="CU33" s="229">
        <v>0.51129999999999998</v>
      </c>
      <c r="CV33" s="230">
        <v>222096000</v>
      </c>
      <c r="CW33" s="230">
        <v>152181750</v>
      </c>
      <c r="CX33" s="230">
        <v>69914250</v>
      </c>
      <c r="CY33" s="229">
        <v>0.45939999999999998</v>
      </c>
      <c r="CZ33" s="228">
        <v>36.19</v>
      </c>
      <c r="DA33" s="228">
        <v>34.46</v>
      </c>
      <c r="DB33" s="228">
        <v>1.73</v>
      </c>
      <c r="DC33" s="228">
        <v>1.73</v>
      </c>
      <c r="DD33" s="228">
        <v>46.42</v>
      </c>
      <c r="DE33" s="228">
        <v>45.82</v>
      </c>
      <c r="DF33" s="228">
        <v>-10.23</v>
      </c>
      <c r="DG33" s="228">
        <v>0.6</v>
      </c>
      <c r="DH33" s="228">
        <v>36.86</v>
      </c>
      <c r="DI33" s="228">
        <v>33.68</v>
      </c>
      <c r="DJ33" s="228">
        <v>3.18</v>
      </c>
      <c r="DK33" s="228">
        <v>3.18</v>
      </c>
      <c r="DL33" s="228">
        <v>35.090000000000003</v>
      </c>
      <c r="DM33" s="228">
        <v>36.17</v>
      </c>
      <c r="DN33" s="228">
        <v>-1.08</v>
      </c>
      <c r="DO33" s="228">
        <v>-1.08</v>
      </c>
      <c r="DP33" s="228">
        <v>0.52</v>
      </c>
      <c r="DQ33" s="228">
        <v>0.56000000000000005</v>
      </c>
      <c r="DR33" s="228">
        <v>-0.04</v>
      </c>
      <c r="DS33" s="229">
        <v>-7.1400000000000005E-2</v>
      </c>
      <c r="DT33" s="228">
        <v>300</v>
      </c>
      <c r="DU33" s="228">
        <v>250</v>
      </c>
      <c r="DV33" s="228">
        <v>0.6</v>
      </c>
      <c r="DW33" s="228">
        <v>0.46</v>
      </c>
      <c r="DX33" s="228">
        <v>0.14000000000000001</v>
      </c>
      <c r="DY33" s="229">
        <v>0.30430000000000001</v>
      </c>
      <c r="DZ33" s="229">
        <v>5.3800000000000001E-2</v>
      </c>
      <c r="EA33" s="230">
        <v>2850750</v>
      </c>
      <c r="EB33" s="229">
        <v>6.8999999999999999E-3</v>
      </c>
      <c r="EC33" s="229">
        <v>5.3800000000000001E-2</v>
      </c>
      <c r="ED33" s="228">
        <v>1.79</v>
      </c>
      <c r="EE33" s="229">
        <v>6.8999999999999999E-3</v>
      </c>
      <c r="EF33" s="230">
        <v>48461006</v>
      </c>
      <c r="EG33" s="230">
        <v>2021482</v>
      </c>
      <c r="EH33" s="229">
        <v>22.972999999999999</v>
      </c>
      <c r="EI33" s="229">
        <v>0.55789999999999995</v>
      </c>
      <c r="EJ33" s="231">
        <v>637051.79</v>
      </c>
      <c r="EK33" s="231">
        <v>361019.6</v>
      </c>
      <c r="EL33" s="231">
        <v>293481.76</v>
      </c>
      <c r="EM33" s="231">
        <v>4952</v>
      </c>
      <c r="EN33" s="231">
        <v>1291553.1499999999</v>
      </c>
      <c r="EO33" s="231">
        <v>227075.03</v>
      </c>
      <c r="EP33" s="231">
        <v>1064478.1200000001</v>
      </c>
      <c r="EQ33" s="229">
        <v>4.6878000000000002</v>
      </c>
      <c r="ER33" s="231">
        <v>220126</v>
      </c>
      <c r="ES33" s="231">
        <v>103664</v>
      </c>
      <c r="ET33" s="231">
        <v>267756</v>
      </c>
      <c r="EU33" s="231">
        <v>192361942</v>
      </c>
      <c r="EV33" s="231">
        <v>591546</v>
      </c>
      <c r="EW33" s="231">
        <v>419621</v>
      </c>
      <c r="EX33" s="231">
        <v>171925</v>
      </c>
      <c r="EY33" s="229">
        <v>0.40970000000000001</v>
      </c>
      <c r="EZ33" s="229">
        <v>1.1546000000000001</v>
      </c>
      <c r="FA33" s="227" t="s">
        <v>567</v>
      </c>
      <c r="FB33" s="161">
        <f t="shared" si="0"/>
        <v>5523000</v>
      </c>
    </row>
    <row r="34" spans="1:158" ht="17.25" hidden="1" thickBot="1" x14ac:dyDescent="0.3">
      <c r="A34" s="226">
        <v>46064</v>
      </c>
      <c r="B34" s="227" t="s">
        <v>170</v>
      </c>
      <c r="C34" s="227" t="s">
        <v>191</v>
      </c>
      <c r="D34" s="228">
        <v>2500</v>
      </c>
      <c r="E34" s="228">
        <v>376.2</v>
      </c>
      <c r="F34" s="228">
        <v>372</v>
      </c>
      <c r="G34" s="228">
        <v>4.2</v>
      </c>
      <c r="H34" s="229">
        <v>1.1299999999999999E-2</v>
      </c>
      <c r="I34" s="228">
        <v>375.2</v>
      </c>
      <c r="J34" s="228">
        <v>371.05</v>
      </c>
      <c r="K34" s="228">
        <v>4.1500000000000004</v>
      </c>
      <c r="L34" s="229">
        <v>1.12E-2</v>
      </c>
      <c r="M34" s="228">
        <v>376.2</v>
      </c>
      <c r="N34" s="228">
        <v>372</v>
      </c>
      <c r="O34" s="228">
        <v>4.2</v>
      </c>
      <c r="P34" s="229">
        <v>1.1299999999999999E-2</v>
      </c>
      <c r="Q34" s="228">
        <v>378.6</v>
      </c>
      <c r="R34" s="228">
        <v>374.45</v>
      </c>
      <c r="S34" s="228">
        <v>4.1500000000000004</v>
      </c>
      <c r="T34" s="229">
        <v>1.11E-2</v>
      </c>
      <c r="U34" s="228">
        <v>380.45</v>
      </c>
      <c r="V34" s="228">
        <v>376.5</v>
      </c>
      <c r="W34" s="228">
        <v>3.95</v>
      </c>
      <c r="X34" s="229">
        <v>1.0500000000000001E-2</v>
      </c>
      <c r="Y34" s="228">
        <v>1</v>
      </c>
      <c r="Z34" s="228">
        <v>0.95</v>
      </c>
      <c r="AA34" s="228">
        <v>0.05</v>
      </c>
      <c r="AB34" s="229">
        <v>2.7000000000000001E-3</v>
      </c>
      <c r="AC34" s="228">
        <v>1</v>
      </c>
      <c r="AD34" s="228">
        <v>0.95</v>
      </c>
      <c r="AE34" s="228">
        <v>0.05</v>
      </c>
      <c r="AF34" s="229">
        <v>2.7000000000000001E-3</v>
      </c>
      <c r="AG34" s="228">
        <v>3.4</v>
      </c>
      <c r="AH34" s="228">
        <v>3.4</v>
      </c>
      <c r="AI34" s="228">
        <v>0</v>
      </c>
      <c r="AJ34" s="229">
        <v>9.1000000000000004E-3</v>
      </c>
      <c r="AK34" s="228">
        <v>5.25</v>
      </c>
      <c r="AL34" s="228">
        <v>5.45</v>
      </c>
      <c r="AM34" s="228">
        <v>-0.2</v>
      </c>
      <c r="AN34" s="229">
        <v>1.4E-2</v>
      </c>
      <c r="AO34" s="228">
        <v>373.82</v>
      </c>
      <c r="AP34" s="228">
        <v>376.31</v>
      </c>
      <c r="AQ34" s="228">
        <v>0</v>
      </c>
      <c r="AR34" s="230">
        <v>9665000</v>
      </c>
      <c r="AS34" s="230">
        <v>9410000</v>
      </c>
      <c r="AT34" s="230">
        <v>255000</v>
      </c>
      <c r="AU34" s="229">
        <v>2.7099999999999999E-2</v>
      </c>
      <c r="AV34" s="230">
        <v>8770000</v>
      </c>
      <c r="AW34" s="230">
        <v>8585000</v>
      </c>
      <c r="AX34" s="230">
        <v>185000</v>
      </c>
      <c r="AY34" s="229">
        <v>2.1499999999999998E-2</v>
      </c>
      <c r="AZ34" s="230">
        <v>842500</v>
      </c>
      <c r="BA34" s="230">
        <v>772500</v>
      </c>
      <c r="BB34" s="230">
        <v>70000</v>
      </c>
      <c r="BC34" s="229">
        <v>9.06E-2</v>
      </c>
      <c r="BD34" s="230">
        <v>52500</v>
      </c>
      <c r="BE34" s="230">
        <v>52500</v>
      </c>
      <c r="BF34" s="228">
        <v>0</v>
      </c>
      <c r="BG34" s="229">
        <v>0</v>
      </c>
      <c r="BH34" s="230">
        <v>28320000</v>
      </c>
      <c r="BI34" s="230">
        <v>18657500</v>
      </c>
      <c r="BJ34" s="230">
        <v>9662500</v>
      </c>
      <c r="BK34" s="229">
        <v>0.51790000000000003</v>
      </c>
      <c r="BL34" s="230">
        <v>10062500</v>
      </c>
      <c r="BM34" s="230">
        <v>8132500</v>
      </c>
      <c r="BN34" s="230">
        <v>1930000</v>
      </c>
      <c r="BO34" s="229">
        <v>0.23730000000000001</v>
      </c>
      <c r="BP34" s="230">
        <v>48047500</v>
      </c>
      <c r="BQ34" s="230">
        <v>36200000</v>
      </c>
      <c r="BR34" s="230">
        <v>11847500</v>
      </c>
      <c r="BS34" s="229">
        <v>0.32729999999999998</v>
      </c>
      <c r="BT34" s="230">
        <v>2673587</v>
      </c>
      <c r="BU34" s="230">
        <v>2740028</v>
      </c>
      <c r="BV34" s="230">
        <v>-66441</v>
      </c>
      <c r="BW34" s="229">
        <v>-2.4199999999999999E-2</v>
      </c>
      <c r="BX34" s="230">
        <v>45405000</v>
      </c>
      <c r="BY34" s="230">
        <v>44615000</v>
      </c>
      <c r="BZ34" s="230">
        <v>790000</v>
      </c>
      <c r="CA34" s="229">
        <v>1.77E-2</v>
      </c>
      <c r="CB34" s="230">
        <v>43615000</v>
      </c>
      <c r="CC34" s="230">
        <v>42942500</v>
      </c>
      <c r="CD34" s="230">
        <v>672500</v>
      </c>
      <c r="CE34" s="229">
        <v>1.5699999999999999E-2</v>
      </c>
      <c r="CF34" s="230">
        <v>1600000</v>
      </c>
      <c r="CG34" s="230">
        <v>1477500</v>
      </c>
      <c r="CH34" s="230">
        <v>122500</v>
      </c>
      <c r="CI34" s="229">
        <v>8.2900000000000001E-2</v>
      </c>
      <c r="CJ34" s="230">
        <v>190000</v>
      </c>
      <c r="CK34" s="230">
        <v>195000</v>
      </c>
      <c r="CL34" s="230">
        <v>-5000</v>
      </c>
      <c r="CM34" s="229">
        <v>-2.5600000000000001E-2</v>
      </c>
      <c r="CN34" s="230">
        <v>22277500</v>
      </c>
      <c r="CO34" s="230">
        <v>19975000</v>
      </c>
      <c r="CP34" s="230">
        <v>2302500</v>
      </c>
      <c r="CQ34" s="229">
        <v>0.1153</v>
      </c>
      <c r="CR34" s="230">
        <v>15752500</v>
      </c>
      <c r="CS34" s="230">
        <v>14625000</v>
      </c>
      <c r="CT34" s="230">
        <v>1127500</v>
      </c>
      <c r="CU34" s="229">
        <v>7.7100000000000002E-2</v>
      </c>
      <c r="CV34" s="230">
        <v>83435000</v>
      </c>
      <c r="CW34" s="230">
        <v>79215000</v>
      </c>
      <c r="CX34" s="230">
        <v>4220000</v>
      </c>
      <c r="CY34" s="229">
        <v>5.33E-2</v>
      </c>
      <c r="CZ34" s="228">
        <v>42.03</v>
      </c>
      <c r="DA34" s="228">
        <v>39.840000000000003</v>
      </c>
      <c r="DB34" s="228">
        <v>2.19</v>
      </c>
      <c r="DC34" s="228">
        <v>2.19</v>
      </c>
      <c r="DD34" s="228">
        <v>36.36</v>
      </c>
      <c r="DE34" s="228">
        <v>36.42</v>
      </c>
      <c r="DF34" s="228">
        <v>5.67</v>
      </c>
      <c r="DG34" s="228">
        <v>-0.06</v>
      </c>
      <c r="DH34" s="228">
        <v>42.01</v>
      </c>
      <c r="DI34" s="228">
        <v>39.75</v>
      </c>
      <c r="DJ34" s="228">
        <v>2.2599999999999998</v>
      </c>
      <c r="DK34" s="228">
        <v>2.2599999999999998</v>
      </c>
      <c r="DL34" s="228">
        <v>42.11</v>
      </c>
      <c r="DM34" s="228">
        <v>40.06</v>
      </c>
      <c r="DN34" s="228">
        <v>2.0499999999999998</v>
      </c>
      <c r="DO34" s="228">
        <v>2.0499999999999998</v>
      </c>
      <c r="DP34" s="228">
        <v>0.71</v>
      </c>
      <c r="DQ34" s="228">
        <v>0.73</v>
      </c>
      <c r="DR34" s="228">
        <v>-0.02</v>
      </c>
      <c r="DS34" s="229">
        <v>-2.7400000000000001E-2</v>
      </c>
      <c r="DT34" s="228">
        <v>400</v>
      </c>
      <c r="DU34" s="228">
        <v>360</v>
      </c>
      <c r="DV34" s="228">
        <v>0.36</v>
      </c>
      <c r="DW34" s="228">
        <v>0.44</v>
      </c>
      <c r="DX34" s="228">
        <v>-0.08</v>
      </c>
      <c r="DY34" s="229">
        <v>-0.18179999999999999</v>
      </c>
      <c r="DZ34" s="229">
        <v>3.9399999999999998E-2</v>
      </c>
      <c r="EA34" s="230">
        <v>1672500</v>
      </c>
      <c r="EB34" s="229">
        <v>6.4000000000000003E-3</v>
      </c>
      <c r="EC34" s="229">
        <v>3.9399999999999998E-2</v>
      </c>
      <c r="ED34" s="228">
        <v>2.4900000000000002</v>
      </c>
      <c r="EE34" s="229">
        <v>6.7000000000000002E-3</v>
      </c>
      <c r="EF34" s="230">
        <v>1392215</v>
      </c>
      <c r="EG34" s="230">
        <v>1286541</v>
      </c>
      <c r="EH34" s="229">
        <v>8.2100000000000006E-2</v>
      </c>
      <c r="EI34" s="229">
        <v>0.52070000000000005</v>
      </c>
      <c r="EJ34" s="231">
        <v>111906.26</v>
      </c>
      <c r="EK34" s="231">
        <v>37125.699999999997</v>
      </c>
      <c r="EL34" s="231">
        <v>36152.92</v>
      </c>
      <c r="EM34" s="231">
        <v>3374</v>
      </c>
      <c r="EN34" s="231">
        <v>185184.88</v>
      </c>
      <c r="EO34" s="231">
        <v>138384.79999999999</v>
      </c>
      <c r="EP34" s="231">
        <v>46800.08</v>
      </c>
      <c r="EQ34" s="229">
        <v>0.3382</v>
      </c>
      <c r="ER34" s="231">
        <v>86940</v>
      </c>
      <c r="ES34" s="231">
        <v>56846</v>
      </c>
      <c r="ET34" s="231">
        <v>170860</v>
      </c>
      <c r="EU34" s="231">
        <v>91057772</v>
      </c>
      <c r="EV34" s="231">
        <v>314646</v>
      </c>
      <c r="EW34" s="231">
        <v>296646</v>
      </c>
      <c r="EX34" s="231">
        <v>18000</v>
      </c>
      <c r="EY34" s="229">
        <v>6.0699999999999997E-2</v>
      </c>
      <c r="EZ34" s="229">
        <v>0.9163</v>
      </c>
      <c r="FA34" s="227" t="s">
        <v>555</v>
      </c>
      <c r="FB34" s="161">
        <f t="shared" si="0"/>
        <v>1790000</v>
      </c>
    </row>
    <row r="35" spans="1:158" ht="17.25" hidden="1" thickBot="1" x14ac:dyDescent="0.3">
      <c r="A35" s="226">
        <v>46064</v>
      </c>
      <c r="B35" s="227" t="s">
        <v>184</v>
      </c>
      <c r="C35" s="227" t="s">
        <v>678</v>
      </c>
      <c r="D35" s="228">
        <v>325</v>
      </c>
      <c r="E35" s="231">
        <v>1968.1</v>
      </c>
      <c r="F35" s="231">
        <v>1956.8</v>
      </c>
      <c r="G35" s="228">
        <v>11.3</v>
      </c>
      <c r="H35" s="229">
        <v>5.7999999999999996E-3</v>
      </c>
      <c r="I35" s="231">
        <v>1962.2</v>
      </c>
      <c r="J35" s="231">
        <v>1948.3</v>
      </c>
      <c r="K35" s="228">
        <v>13.9</v>
      </c>
      <c r="L35" s="229">
        <v>7.1000000000000004E-3</v>
      </c>
      <c r="M35" s="231">
        <v>1968.1</v>
      </c>
      <c r="N35" s="231">
        <v>1956.8</v>
      </c>
      <c r="O35" s="228">
        <v>11.3</v>
      </c>
      <c r="P35" s="229">
        <v>5.7999999999999996E-3</v>
      </c>
      <c r="Q35" s="231">
        <v>1968</v>
      </c>
      <c r="R35" s="231">
        <v>1957.1</v>
      </c>
      <c r="S35" s="228">
        <v>10.9</v>
      </c>
      <c r="T35" s="229">
        <v>5.5999999999999999E-3</v>
      </c>
      <c r="U35" s="231">
        <v>1955.2</v>
      </c>
      <c r="V35" s="231">
        <v>1975.1</v>
      </c>
      <c r="W35" s="228">
        <v>-19.899999999999999</v>
      </c>
      <c r="X35" s="229">
        <v>-1.01E-2</v>
      </c>
      <c r="Y35" s="228">
        <v>5.9</v>
      </c>
      <c r="Z35" s="228">
        <v>8.5</v>
      </c>
      <c r="AA35" s="228">
        <v>-2.6</v>
      </c>
      <c r="AB35" s="229">
        <v>3.0000000000000001E-3</v>
      </c>
      <c r="AC35" s="228">
        <v>5.9</v>
      </c>
      <c r="AD35" s="228">
        <v>8.5</v>
      </c>
      <c r="AE35" s="228">
        <v>-2.6</v>
      </c>
      <c r="AF35" s="229">
        <v>3.0000000000000001E-3</v>
      </c>
      <c r="AG35" s="228">
        <v>5.8</v>
      </c>
      <c r="AH35" s="228">
        <v>8.8000000000000007</v>
      </c>
      <c r="AI35" s="228">
        <v>-3</v>
      </c>
      <c r="AJ35" s="229">
        <v>3.0000000000000001E-3</v>
      </c>
      <c r="AK35" s="228">
        <v>-7</v>
      </c>
      <c r="AL35" s="228">
        <v>26.8</v>
      </c>
      <c r="AM35" s="228">
        <v>-33.799999999999997</v>
      </c>
      <c r="AN35" s="229">
        <v>-3.5999999999999999E-3</v>
      </c>
      <c r="AO35" s="231">
        <v>1959.83</v>
      </c>
      <c r="AP35" s="231">
        <v>1958.02</v>
      </c>
      <c r="AQ35" s="228">
        <v>0</v>
      </c>
      <c r="AR35" s="230">
        <v>440700</v>
      </c>
      <c r="AS35" s="230">
        <v>1424150</v>
      </c>
      <c r="AT35" s="230">
        <v>-983450</v>
      </c>
      <c r="AU35" s="229">
        <v>-0.69059999999999999</v>
      </c>
      <c r="AV35" s="230">
        <v>415675</v>
      </c>
      <c r="AW35" s="230">
        <v>1365000</v>
      </c>
      <c r="AX35" s="230">
        <v>-949325</v>
      </c>
      <c r="AY35" s="229">
        <v>-0.69550000000000001</v>
      </c>
      <c r="AZ35" s="230">
        <v>24700</v>
      </c>
      <c r="BA35" s="230">
        <v>57200</v>
      </c>
      <c r="BB35" s="230">
        <v>-32500</v>
      </c>
      <c r="BC35" s="229">
        <v>-0.56820000000000004</v>
      </c>
      <c r="BD35" s="228">
        <v>325</v>
      </c>
      <c r="BE35" s="230">
        <v>1950</v>
      </c>
      <c r="BF35" s="230">
        <v>-1625</v>
      </c>
      <c r="BG35" s="229">
        <v>-0.83330000000000004</v>
      </c>
      <c r="BH35" s="230">
        <v>1152775</v>
      </c>
      <c r="BI35" s="230">
        <v>7291375</v>
      </c>
      <c r="BJ35" s="230">
        <v>-6138600</v>
      </c>
      <c r="BK35" s="229">
        <v>-0.84189999999999998</v>
      </c>
      <c r="BL35" s="230">
        <v>323375</v>
      </c>
      <c r="BM35" s="230">
        <v>3076450</v>
      </c>
      <c r="BN35" s="230">
        <v>-2753075</v>
      </c>
      <c r="BO35" s="229">
        <v>-0.89490000000000003</v>
      </c>
      <c r="BP35" s="230">
        <v>1916850</v>
      </c>
      <c r="BQ35" s="230">
        <v>11791975</v>
      </c>
      <c r="BR35" s="230">
        <v>-9875125</v>
      </c>
      <c r="BS35" s="229">
        <v>-0.83740000000000003</v>
      </c>
      <c r="BT35" s="230">
        <v>414810</v>
      </c>
      <c r="BU35" s="230">
        <v>759157</v>
      </c>
      <c r="BV35" s="230">
        <v>-344347</v>
      </c>
      <c r="BW35" s="229">
        <v>-0.4536</v>
      </c>
      <c r="BX35" s="230">
        <v>2977325</v>
      </c>
      <c r="BY35" s="230">
        <v>2977975</v>
      </c>
      <c r="BZ35" s="228">
        <v>-650</v>
      </c>
      <c r="CA35" s="229">
        <v>-2.0000000000000001E-4</v>
      </c>
      <c r="CB35" s="230">
        <v>2684825</v>
      </c>
      <c r="CC35" s="230">
        <v>2692625</v>
      </c>
      <c r="CD35" s="230">
        <v>-7800</v>
      </c>
      <c r="CE35" s="229">
        <v>-2.8999999999999998E-3</v>
      </c>
      <c r="CF35" s="230">
        <v>289575</v>
      </c>
      <c r="CG35" s="230">
        <v>282100</v>
      </c>
      <c r="CH35" s="230">
        <v>7475</v>
      </c>
      <c r="CI35" s="229">
        <v>2.6499999999999999E-2</v>
      </c>
      <c r="CJ35" s="230">
        <v>2925</v>
      </c>
      <c r="CK35" s="230">
        <v>3250</v>
      </c>
      <c r="CL35" s="228">
        <v>-325</v>
      </c>
      <c r="CM35" s="229">
        <v>-0.1</v>
      </c>
      <c r="CN35" s="230">
        <v>1539850</v>
      </c>
      <c r="CO35" s="230">
        <v>1606150</v>
      </c>
      <c r="CP35" s="230">
        <v>-66300</v>
      </c>
      <c r="CQ35" s="229">
        <v>-4.1300000000000003E-2</v>
      </c>
      <c r="CR35" s="230">
        <v>1144000</v>
      </c>
      <c r="CS35" s="230">
        <v>1114750</v>
      </c>
      <c r="CT35" s="230">
        <v>29250</v>
      </c>
      <c r="CU35" s="229">
        <v>2.6200000000000001E-2</v>
      </c>
      <c r="CV35" s="230">
        <v>5661175</v>
      </c>
      <c r="CW35" s="230">
        <v>5698875</v>
      </c>
      <c r="CX35" s="230">
        <v>-37700</v>
      </c>
      <c r="CY35" s="229">
        <v>-6.6E-3</v>
      </c>
      <c r="CZ35" s="228">
        <v>30.96</v>
      </c>
      <c r="DA35" s="228">
        <v>34.21</v>
      </c>
      <c r="DB35" s="228">
        <v>-3.25</v>
      </c>
      <c r="DC35" s="228">
        <v>-3.25</v>
      </c>
      <c r="DD35" s="228">
        <v>39.119999999999997</v>
      </c>
      <c r="DE35" s="228">
        <v>39.21</v>
      </c>
      <c r="DF35" s="228">
        <v>-8.16</v>
      </c>
      <c r="DG35" s="228">
        <v>-0.09</v>
      </c>
      <c r="DH35" s="228">
        <v>30</v>
      </c>
      <c r="DI35" s="228">
        <v>34.380000000000003</v>
      </c>
      <c r="DJ35" s="228">
        <v>-4.38</v>
      </c>
      <c r="DK35" s="228">
        <v>-4.38</v>
      </c>
      <c r="DL35" s="228">
        <v>34.4</v>
      </c>
      <c r="DM35" s="228">
        <v>33.79</v>
      </c>
      <c r="DN35" s="228">
        <v>0.61</v>
      </c>
      <c r="DO35" s="228">
        <v>0.61</v>
      </c>
      <c r="DP35" s="228">
        <v>0.74</v>
      </c>
      <c r="DQ35" s="228">
        <v>0.69</v>
      </c>
      <c r="DR35" s="228">
        <v>0.05</v>
      </c>
      <c r="DS35" s="229">
        <v>7.2499999999999995E-2</v>
      </c>
      <c r="DT35" s="231">
        <v>2080</v>
      </c>
      <c r="DU35" s="231">
        <v>1600</v>
      </c>
      <c r="DV35" s="228">
        <v>0.28000000000000003</v>
      </c>
      <c r="DW35" s="228">
        <v>0.42</v>
      </c>
      <c r="DX35" s="228">
        <v>-0.14000000000000001</v>
      </c>
      <c r="DY35" s="229">
        <v>-0.33329999999999999</v>
      </c>
      <c r="DZ35" s="229">
        <v>9.8199999999999996E-2</v>
      </c>
      <c r="EA35" s="230">
        <v>285350</v>
      </c>
      <c r="EB35" s="229">
        <v>-1E-4</v>
      </c>
      <c r="EC35" s="229">
        <v>9.8199999999999996E-2</v>
      </c>
      <c r="ED35" s="228">
        <v>-1.81</v>
      </c>
      <c r="EE35" s="229">
        <v>-8.9999999999999998E-4</v>
      </c>
      <c r="EF35" s="230">
        <v>230490</v>
      </c>
      <c r="EG35" s="230">
        <v>280392</v>
      </c>
      <c r="EH35" s="229">
        <v>-0.17799999999999999</v>
      </c>
      <c r="EI35" s="229">
        <v>0.55569999999999997</v>
      </c>
      <c r="EJ35" s="231">
        <v>23507.95</v>
      </c>
      <c r="EK35" s="231">
        <v>5947.57</v>
      </c>
      <c r="EL35" s="231">
        <v>8636.5</v>
      </c>
      <c r="EM35" s="231">
        <v>3382</v>
      </c>
      <c r="EN35" s="231">
        <v>38092.019999999997</v>
      </c>
      <c r="EO35" s="231">
        <v>235544.74</v>
      </c>
      <c r="EP35" s="231">
        <v>-197452.72</v>
      </c>
      <c r="EQ35" s="229">
        <v>-0.83830000000000005</v>
      </c>
      <c r="ER35" s="231">
        <v>30634</v>
      </c>
      <c r="ES35" s="231">
        <v>20224</v>
      </c>
      <c r="ET35" s="231">
        <v>58596</v>
      </c>
      <c r="EU35" s="231">
        <v>17213286</v>
      </c>
      <c r="EV35" s="231">
        <v>109454</v>
      </c>
      <c r="EW35" s="231">
        <v>109880</v>
      </c>
      <c r="EX35" s="228">
        <v>-426</v>
      </c>
      <c r="EY35" s="229">
        <v>-3.8999999999999998E-3</v>
      </c>
      <c r="EZ35" s="229">
        <v>0.32890000000000003</v>
      </c>
      <c r="FA35" s="227" t="s">
        <v>556</v>
      </c>
      <c r="FB35" s="161">
        <f t="shared" si="0"/>
        <v>292500</v>
      </c>
    </row>
    <row r="36" spans="1:158" ht="17.25" hidden="1" thickBot="1" x14ac:dyDescent="0.3">
      <c r="A36" s="226">
        <v>46064</v>
      </c>
      <c r="B36" s="227" t="s">
        <v>162</v>
      </c>
      <c r="C36" s="227" t="s">
        <v>192</v>
      </c>
      <c r="D36" s="228">
        <v>25</v>
      </c>
      <c r="E36" s="231">
        <v>36630</v>
      </c>
      <c r="F36" s="231">
        <v>35680</v>
      </c>
      <c r="G36" s="228">
        <v>950</v>
      </c>
      <c r="H36" s="229">
        <v>2.6599999999999999E-2</v>
      </c>
      <c r="I36" s="231">
        <v>36570</v>
      </c>
      <c r="J36" s="231">
        <v>35575</v>
      </c>
      <c r="K36" s="228">
        <v>995</v>
      </c>
      <c r="L36" s="229">
        <v>2.8000000000000001E-2</v>
      </c>
      <c r="M36" s="231">
        <v>36630</v>
      </c>
      <c r="N36" s="231">
        <v>35680</v>
      </c>
      <c r="O36" s="228">
        <v>950</v>
      </c>
      <c r="P36" s="229">
        <v>2.6599999999999999E-2</v>
      </c>
      <c r="Q36" s="231">
        <v>36775</v>
      </c>
      <c r="R36" s="231">
        <v>35860</v>
      </c>
      <c r="S36" s="228">
        <v>915</v>
      </c>
      <c r="T36" s="229">
        <v>2.5499999999999998E-2</v>
      </c>
      <c r="U36" s="231">
        <v>36925</v>
      </c>
      <c r="V36" s="231">
        <v>36000</v>
      </c>
      <c r="W36" s="228">
        <v>925</v>
      </c>
      <c r="X36" s="229">
        <v>2.5700000000000001E-2</v>
      </c>
      <c r="Y36" s="228">
        <v>60</v>
      </c>
      <c r="Z36" s="228">
        <v>105</v>
      </c>
      <c r="AA36" s="228">
        <v>-45</v>
      </c>
      <c r="AB36" s="229">
        <v>1.6000000000000001E-3</v>
      </c>
      <c r="AC36" s="228">
        <v>60</v>
      </c>
      <c r="AD36" s="228">
        <v>105</v>
      </c>
      <c r="AE36" s="228">
        <v>-45</v>
      </c>
      <c r="AF36" s="229">
        <v>1.6000000000000001E-3</v>
      </c>
      <c r="AG36" s="228">
        <v>205</v>
      </c>
      <c r="AH36" s="228">
        <v>285</v>
      </c>
      <c r="AI36" s="228">
        <v>-80</v>
      </c>
      <c r="AJ36" s="229">
        <v>5.5999999999999999E-3</v>
      </c>
      <c r="AK36" s="228">
        <v>355</v>
      </c>
      <c r="AL36" s="228">
        <v>425</v>
      </c>
      <c r="AM36" s="228">
        <v>-70</v>
      </c>
      <c r="AN36" s="229">
        <v>9.7000000000000003E-3</v>
      </c>
      <c r="AO36" s="231">
        <v>36311.01</v>
      </c>
      <c r="AP36" s="231">
        <v>36410.85</v>
      </c>
      <c r="AQ36" s="228">
        <v>0</v>
      </c>
      <c r="AR36" s="230">
        <v>69425</v>
      </c>
      <c r="AS36" s="230">
        <v>45175</v>
      </c>
      <c r="AT36" s="230">
        <v>24250</v>
      </c>
      <c r="AU36" s="229">
        <v>0.53680000000000005</v>
      </c>
      <c r="AV36" s="230">
        <v>64500</v>
      </c>
      <c r="AW36" s="230">
        <v>41525</v>
      </c>
      <c r="AX36" s="230">
        <v>22975</v>
      </c>
      <c r="AY36" s="229">
        <v>0.55330000000000001</v>
      </c>
      <c r="AZ36" s="230">
        <v>4700</v>
      </c>
      <c r="BA36" s="230">
        <v>3500</v>
      </c>
      <c r="BB36" s="230">
        <v>1200</v>
      </c>
      <c r="BC36" s="229">
        <v>0.34289999999999998</v>
      </c>
      <c r="BD36" s="228">
        <v>225</v>
      </c>
      <c r="BE36" s="228">
        <v>150</v>
      </c>
      <c r="BF36" s="228">
        <v>75</v>
      </c>
      <c r="BG36" s="229">
        <v>0.5</v>
      </c>
      <c r="BH36" s="230">
        <v>542700</v>
      </c>
      <c r="BI36" s="230">
        <v>253200</v>
      </c>
      <c r="BJ36" s="230">
        <v>289500</v>
      </c>
      <c r="BK36" s="229">
        <v>1.1434</v>
      </c>
      <c r="BL36" s="230">
        <v>189225</v>
      </c>
      <c r="BM36" s="230">
        <v>110225</v>
      </c>
      <c r="BN36" s="230">
        <v>79000</v>
      </c>
      <c r="BO36" s="229">
        <v>0.7167</v>
      </c>
      <c r="BP36" s="230">
        <v>801350</v>
      </c>
      <c r="BQ36" s="230">
        <v>408600</v>
      </c>
      <c r="BR36" s="230">
        <v>392750</v>
      </c>
      <c r="BS36" s="229">
        <v>0.96120000000000005</v>
      </c>
      <c r="BT36" s="230">
        <v>25605</v>
      </c>
      <c r="BU36" s="230">
        <v>20563</v>
      </c>
      <c r="BV36" s="230">
        <v>5042</v>
      </c>
      <c r="BW36" s="229">
        <v>0.2452</v>
      </c>
      <c r="BX36" s="230">
        <v>203225</v>
      </c>
      <c r="BY36" s="230">
        <v>211525</v>
      </c>
      <c r="BZ36" s="230">
        <v>-8300</v>
      </c>
      <c r="CA36" s="229">
        <v>-3.9199999999999999E-2</v>
      </c>
      <c r="CB36" s="230">
        <v>196975</v>
      </c>
      <c r="CC36" s="230">
        <v>204550</v>
      </c>
      <c r="CD36" s="230">
        <v>-7575</v>
      </c>
      <c r="CE36" s="229">
        <v>-3.6999999999999998E-2</v>
      </c>
      <c r="CF36" s="230">
        <v>5825</v>
      </c>
      <c r="CG36" s="230">
        <v>6525</v>
      </c>
      <c r="CH36" s="228">
        <v>-700</v>
      </c>
      <c r="CI36" s="229">
        <v>-0.10730000000000001</v>
      </c>
      <c r="CJ36" s="228">
        <v>425</v>
      </c>
      <c r="CK36" s="228">
        <v>450</v>
      </c>
      <c r="CL36" s="228">
        <v>-25</v>
      </c>
      <c r="CM36" s="229">
        <v>-5.5599999999999997E-2</v>
      </c>
      <c r="CN36" s="230">
        <v>181275</v>
      </c>
      <c r="CO36" s="230">
        <v>211500</v>
      </c>
      <c r="CP36" s="230">
        <v>-30225</v>
      </c>
      <c r="CQ36" s="229">
        <v>-0.1429</v>
      </c>
      <c r="CR36" s="230">
        <v>91950</v>
      </c>
      <c r="CS36" s="230">
        <v>84125</v>
      </c>
      <c r="CT36" s="230">
        <v>7825</v>
      </c>
      <c r="CU36" s="229">
        <v>9.2999999999999999E-2</v>
      </c>
      <c r="CV36" s="230">
        <v>476450</v>
      </c>
      <c r="CW36" s="230">
        <v>507150</v>
      </c>
      <c r="CX36" s="230">
        <v>-30700</v>
      </c>
      <c r="CY36" s="229">
        <v>-6.0499999999999998E-2</v>
      </c>
      <c r="CZ36" s="228">
        <v>28.84</v>
      </c>
      <c r="DA36" s="228">
        <v>30.74</v>
      </c>
      <c r="DB36" s="228">
        <v>-1.9</v>
      </c>
      <c r="DC36" s="228">
        <v>-1.9</v>
      </c>
      <c r="DD36" s="228">
        <v>29.29</v>
      </c>
      <c r="DE36" s="228">
        <v>29.15</v>
      </c>
      <c r="DF36" s="228">
        <v>-0.45</v>
      </c>
      <c r="DG36" s="228">
        <v>0.14000000000000001</v>
      </c>
      <c r="DH36" s="228">
        <v>29.06</v>
      </c>
      <c r="DI36" s="228">
        <v>31.26</v>
      </c>
      <c r="DJ36" s="228">
        <v>-2.2000000000000002</v>
      </c>
      <c r="DK36" s="228">
        <v>-2.2000000000000002</v>
      </c>
      <c r="DL36" s="228">
        <v>28.22</v>
      </c>
      <c r="DM36" s="228">
        <v>29.55</v>
      </c>
      <c r="DN36" s="228">
        <v>-1.33</v>
      </c>
      <c r="DO36" s="228">
        <v>-1.33</v>
      </c>
      <c r="DP36" s="228">
        <v>0.51</v>
      </c>
      <c r="DQ36" s="228">
        <v>0.4</v>
      </c>
      <c r="DR36" s="228">
        <v>0.11</v>
      </c>
      <c r="DS36" s="229">
        <v>0.27500000000000002</v>
      </c>
      <c r="DT36" s="231">
        <v>38000</v>
      </c>
      <c r="DU36" s="231">
        <v>35000</v>
      </c>
      <c r="DV36" s="228">
        <v>0.35</v>
      </c>
      <c r="DW36" s="228">
        <v>0.44</v>
      </c>
      <c r="DX36" s="228">
        <v>-0.09</v>
      </c>
      <c r="DY36" s="229">
        <v>-0.20449999999999999</v>
      </c>
      <c r="DZ36" s="229">
        <v>3.0800000000000001E-2</v>
      </c>
      <c r="EA36" s="230">
        <v>6975</v>
      </c>
      <c r="EB36" s="229">
        <v>4.0000000000000001E-3</v>
      </c>
      <c r="EC36" s="229">
        <v>3.0800000000000001E-2</v>
      </c>
      <c r="ED36" s="228">
        <v>99.84</v>
      </c>
      <c r="EE36" s="229">
        <v>2.7000000000000001E-3</v>
      </c>
      <c r="EF36" s="230">
        <v>6463</v>
      </c>
      <c r="EG36" s="230">
        <v>5839</v>
      </c>
      <c r="EH36" s="229">
        <v>0.1069</v>
      </c>
      <c r="EI36" s="229">
        <v>0.25240000000000001</v>
      </c>
      <c r="EJ36" s="231">
        <v>207596.85</v>
      </c>
      <c r="EK36" s="231">
        <v>67006.28</v>
      </c>
      <c r="EL36" s="231">
        <v>25214.44</v>
      </c>
      <c r="EM36" s="231">
        <v>3019</v>
      </c>
      <c r="EN36" s="231">
        <v>299817.57</v>
      </c>
      <c r="EO36" s="231">
        <v>151906.21</v>
      </c>
      <c r="EP36" s="231">
        <v>147911.35999999999</v>
      </c>
      <c r="EQ36" s="229">
        <v>0.97370000000000001</v>
      </c>
      <c r="ER36" s="231">
        <v>70921</v>
      </c>
      <c r="ES36" s="231">
        <v>31886</v>
      </c>
      <c r="ET36" s="231">
        <v>74451</v>
      </c>
      <c r="EU36" s="231">
        <v>882048</v>
      </c>
      <c r="EV36" s="231">
        <v>177258</v>
      </c>
      <c r="EW36" s="231">
        <v>186781</v>
      </c>
      <c r="EX36" s="231">
        <v>-9523</v>
      </c>
      <c r="EY36" s="229">
        <v>-5.0999999999999997E-2</v>
      </c>
      <c r="EZ36" s="229">
        <v>0.54020000000000001</v>
      </c>
      <c r="FA36" s="227" t="s">
        <v>556</v>
      </c>
      <c r="FB36" s="161">
        <f t="shared" si="0"/>
        <v>6250</v>
      </c>
    </row>
    <row r="37" spans="1:158" ht="17.25" hidden="1" thickBot="1" x14ac:dyDescent="0.3">
      <c r="A37" s="226">
        <v>46064</v>
      </c>
      <c r="B37" s="227" t="s">
        <v>193</v>
      </c>
      <c r="C37" s="227" t="s">
        <v>194</v>
      </c>
      <c r="D37" s="228">
        <v>1975</v>
      </c>
      <c r="E37" s="228">
        <v>388.1</v>
      </c>
      <c r="F37" s="228">
        <v>387.1</v>
      </c>
      <c r="G37" s="228">
        <v>1</v>
      </c>
      <c r="H37" s="229">
        <v>2.5999999999999999E-3</v>
      </c>
      <c r="I37" s="228">
        <v>387.6</v>
      </c>
      <c r="J37" s="228">
        <v>386.35</v>
      </c>
      <c r="K37" s="228">
        <v>1.25</v>
      </c>
      <c r="L37" s="229">
        <v>3.2000000000000002E-3</v>
      </c>
      <c r="M37" s="228">
        <v>388.1</v>
      </c>
      <c r="N37" s="228">
        <v>387.1</v>
      </c>
      <c r="O37" s="228">
        <v>1</v>
      </c>
      <c r="P37" s="229">
        <v>2.5999999999999999E-3</v>
      </c>
      <c r="Q37" s="228">
        <v>389.95</v>
      </c>
      <c r="R37" s="228">
        <v>389.55</v>
      </c>
      <c r="S37" s="228">
        <v>0.4</v>
      </c>
      <c r="T37" s="229">
        <v>1E-3</v>
      </c>
      <c r="U37" s="228">
        <v>391.5</v>
      </c>
      <c r="V37" s="228">
        <v>390</v>
      </c>
      <c r="W37" s="228">
        <v>1.5</v>
      </c>
      <c r="X37" s="229">
        <v>3.8E-3</v>
      </c>
      <c r="Y37" s="228">
        <v>0.5</v>
      </c>
      <c r="Z37" s="228">
        <v>0.75</v>
      </c>
      <c r="AA37" s="228">
        <v>-0.25</v>
      </c>
      <c r="AB37" s="229">
        <v>1.2999999999999999E-3</v>
      </c>
      <c r="AC37" s="228">
        <v>0.5</v>
      </c>
      <c r="AD37" s="228">
        <v>0.75</v>
      </c>
      <c r="AE37" s="228">
        <v>-0.25</v>
      </c>
      <c r="AF37" s="229">
        <v>1.2999999999999999E-3</v>
      </c>
      <c r="AG37" s="228">
        <v>2.35</v>
      </c>
      <c r="AH37" s="228">
        <v>3.2</v>
      </c>
      <c r="AI37" s="228">
        <v>-0.85</v>
      </c>
      <c r="AJ37" s="229">
        <v>6.1000000000000004E-3</v>
      </c>
      <c r="AK37" s="228">
        <v>3.9</v>
      </c>
      <c r="AL37" s="228">
        <v>3.65</v>
      </c>
      <c r="AM37" s="228">
        <v>0.25</v>
      </c>
      <c r="AN37" s="229">
        <v>1.01E-2</v>
      </c>
      <c r="AO37" s="228">
        <v>388.17</v>
      </c>
      <c r="AP37" s="228">
        <v>390.24</v>
      </c>
      <c r="AQ37" s="228">
        <v>0</v>
      </c>
      <c r="AR37" s="230">
        <v>3969750</v>
      </c>
      <c r="AS37" s="230">
        <v>3809775</v>
      </c>
      <c r="AT37" s="230">
        <v>159975</v>
      </c>
      <c r="AU37" s="229">
        <v>4.2000000000000003E-2</v>
      </c>
      <c r="AV37" s="230">
        <v>3588575</v>
      </c>
      <c r="AW37" s="230">
        <v>3477975</v>
      </c>
      <c r="AX37" s="230">
        <v>110600</v>
      </c>
      <c r="AY37" s="229">
        <v>3.1800000000000002E-2</v>
      </c>
      <c r="AZ37" s="230">
        <v>321925</v>
      </c>
      <c r="BA37" s="230">
        <v>290325</v>
      </c>
      <c r="BB37" s="230">
        <v>31600</v>
      </c>
      <c r="BC37" s="229">
        <v>0.10879999999999999</v>
      </c>
      <c r="BD37" s="230">
        <v>59250</v>
      </c>
      <c r="BE37" s="230">
        <v>41475</v>
      </c>
      <c r="BF37" s="230">
        <v>17775</v>
      </c>
      <c r="BG37" s="229">
        <v>0.42859999999999998</v>
      </c>
      <c r="BH37" s="230">
        <v>17178550</v>
      </c>
      <c r="BI37" s="230">
        <v>12910575</v>
      </c>
      <c r="BJ37" s="230">
        <v>4267975</v>
      </c>
      <c r="BK37" s="229">
        <v>0.3306</v>
      </c>
      <c r="BL37" s="230">
        <v>8921075</v>
      </c>
      <c r="BM37" s="230">
        <v>8168600</v>
      </c>
      <c r="BN37" s="230">
        <v>752475</v>
      </c>
      <c r="BO37" s="229">
        <v>9.2100000000000001E-2</v>
      </c>
      <c r="BP37" s="230">
        <v>30069375</v>
      </c>
      <c r="BQ37" s="230">
        <v>24888950</v>
      </c>
      <c r="BR37" s="230">
        <v>5180425</v>
      </c>
      <c r="BS37" s="229">
        <v>0.20810000000000001</v>
      </c>
      <c r="BT37" s="230">
        <v>5472719</v>
      </c>
      <c r="BU37" s="230">
        <v>3226790</v>
      </c>
      <c r="BV37" s="230">
        <v>2245929</v>
      </c>
      <c r="BW37" s="229">
        <v>0.69599999999999995</v>
      </c>
      <c r="BX37" s="230">
        <v>34679025</v>
      </c>
      <c r="BY37" s="230">
        <v>34779750</v>
      </c>
      <c r="BZ37" s="230">
        <v>-100725</v>
      </c>
      <c r="CA37" s="229">
        <v>-2.8999999999999998E-3</v>
      </c>
      <c r="CB37" s="230">
        <v>33533525</v>
      </c>
      <c r="CC37" s="230">
        <v>33736950</v>
      </c>
      <c r="CD37" s="230">
        <v>-203425</v>
      </c>
      <c r="CE37" s="229">
        <v>-6.0000000000000001E-3</v>
      </c>
      <c r="CF37" s="230">
        <v>953925</v>
      </c>
      <c r="CG37" s="230">
        <v>845300</v>
      </c>
      <c r="CH37" s="230">
        <v>108625</v>
      </c>
      <c r="CI37" s="229">
        <v>0.1285</v>
      </c>
      <c r="CJ37" s="230">
        <v>191575</v>
      </c>
      <c r="CK37" s="230">
        <v>197500</v>
      </c>
      <c r="CL37" s="230">
        <v>-5925</v>
      </c>
      <c r="CM37" s="229">
        <v>-0.03</v>
      </c>
      <c r="CN37" s="230">
        <v>19056775</v>
      </c>
      <c r="CO37" s="230">
        <v>17490600</v>
      </c>
      <c r="CP37" s="230">
        <v>1566175</v>
      </c>
      <c r="CQ37" s="229">
        <v>8.9499999999999996E-2</v>
      </c>
      <c r="CR37" s="230">
        <v>13977075</v>
      </c>
      <c r="CS37" s="230">
        <v>12393125</v>
      </c>
      <c r="CT37" s="230">
        <v>1583950</v>
      </c>
      <c r="CU37" s="229">
        <v>0.1278</v>
      </c>
      <c r="CV37" s="230">
        <v>67712875</v>
      </c>
      <c r="CW37" s="230">
        <v>64663475</v>
      </c>
      <c r="CX37" s="230">
        <v>3049400</v>
      </c>
      <c r="CY37" s="229">
        <v>4.7199999999999999E-2</v>
      </c>
      <c r="CZ37" s="228">
        <v>30.57</v>
      </c>
      <c r="DA37" s="228">
        <v>30.54</v>
      </c>
      <c r="DB37" s="228">
        <v>0.03</v>
      </c>
      <c r="DC37" s="228">
        <v>0.03</v>
      </c>
      <c r="DD37" s="228">
        <v>32.35</v>
      </c>
      <c r="DE37" s="228">
        <v>32.43</v>
      </c>
      <c r="DF37" s="228">
        <v>-1.78</v>
      </c>
      <c r="DG37" s="228">
        <v>-0.08</v>
      </c>
      <c r="DH37" s="228">
        <v>29.24</v>
      </c>
      <c r="DI37" s="228">
        <v>29.94</v>
      </c>
      <c r="DJ37" s="228">
        <v>-0.7</v>
      </c>
      <c r="DK37" s="228">
        <v>-0.7</v>
      </c>
      <c r="DL37" s="228">
        <v>33.119999999999997</v>
      </c>
      <c r="DM37" s="228">
        <v>31.5</v>
      </c>
      <c r="DN37" s="228">
        <v>1.62</v>
      </c>
      <c r="DO37" s="228">
        <v>1.62</v>
      </c>
      <c r="DP37" s="228">
        <v>0.73</v>
      </c>
      <c r="DQ37" s="228">
        <v>0.71</v>
      </c>
      <c r="DR37" s="228">
        <v>0.02</v>
      </c>
      <c r="DS37" s="229">
        <v>2.8199999999999999E-2</v>
      </c>
      <c r="DT37" s="228">
        <v>400</v>
      </c>
      <c r="DU37" s="228">
        <v>380</v>
      </c>
      <c r="DV37" s="228">
        <v>0.52</v>
      </c>
      <c r="DW37" s="228">
        <v>0.63</v>
      </c>
      <c r="DX37" s="228">
        <v>-0.11</v>
      </c>
      <c r="DY37" s="229">
        <v>-0.17460000000000001</v>
      </c>
      <c r="DZ37" s="229">
        <v>3.3000000000000002E-2</v>
      </c>
      <c r="EA37" s="230">
        <v>1042800</v>
      </c>
      <c r="EB37" s="229">
        <v>4.7999999999999996E-3</v>
      </c>
      <c r="EC37" s="229">
        <v>3.3000000000000002E-2</v>
      </c>
      <c r="ED37" s="228">
        <v>2.0699999999999998</v>
      </c>
      <c r="EE37" s="229">
        <v>5.3E-3</v>
      </c>
      <c r="EF37" s="230">
        <v>3018233</v>
      </c>
      <c r="EG37" s="230">
        <v>1480339</v>
      </c>
      <c r="EH37" s="229">
        <v>1.0388999999999999</v>
      </c>
      <c r="EI37" s="229">
        <v>0.55149999999999999</v>
      </c>
      <c r="EJ37" s="231">
        <v>69551.11</v>
      </c>
      <c r="EK37" s="231">
        <v>33296.46</v>
      </c>
      <c r="EL37" s="231">
        <v>15418.26</v>
      </c>
      <c r="EM37" s="231">
        <v>3174</v>
      </c>
      <c r="EN37" s="231">
        <v>118265.83</v>
      </c>
      <c r="EO37" s="231">
        <v>97394.4</v>
      </c>
      <c r="EP37" s="231">
        <v>20871.43</v>
      </c>
      <c r="EQ37" s="229">
        <v>0.21429999999999999</v>
      </c>
      <c r="ER37" s="231">
        <v>74334</v>
      </c>
      <c r="ES37" s="231">
        <v>49330</v>
      </c>
      <c r="ET37" s="231">
        <v>134613</v>
      </c>
      <c r="EU37" s="231">
        <v>306020745</v>
      </c>
      <c r="EV37" s="231">
        <v>258277</v>
      </c>
      <c r="EW37" s="231">
        <v>245864</v>
      </c>
      <c r="EX37" s="231">
        <v>12413</v>
      </c>
      <c r="EY37" s="229">
        <v>5.0500000000000003E-2</v>
      </c>
      <c r="EZ37" s="229">
        <v>0.2213</v>
      </c>
      <c r="FA37" s="227" t="s">
        <v>556</v>
      </c>
      <c r="FB37" s="161">
        <f t="shared" si="0"/>
        <v>1145500</v>
      </c>
    </row>
    <row r="38" spans="1:158" ht="17.25" hidden="1" thickBot="1" x14ac:dyDescent="0.3">
      <c r="A38" s="226">
        <v>46064</v>
      </c>
      <c r="B38" s="227" t="s">
        <v>168</v>
      </c>
      <c r="C38" s="227" t="s">
        <v>195</v>
      </c>
      <c r="D38" s="228">
        <v>125</v>
      </c>
      <c r="E38" s="231">
        <v>6039.5</v>
      </c>
      <c r="F38" s="231">
        <v>5879.5</v>
      </c>
      <c r="G38" s="228">
        <v>160</v>
      </c>
      <c r="H38" s="229">
        <v>2.7199999999999998E-2</v>
      </c>
      <c r="I38" s="231">
        <v>6019</v>
      </c>
      <c r="J38" s="231">
        <v>5873.5</v>
      </c>
      <c r="K38" s="228">
        <v>145.5</v>
      </c>
      <c r="L38" s="229">
        <v>2.4799999999999999E-2</v>
      </c>
      <c r="M38" s="231">
        <v>6039.5</v>
      </c>
      <c r="N38" s="231">
        <v>5879.5</v>
      </c>
      <c r="O38" s="228">
        <v>160</v>
      </c>
      <c r="P38" s="229">
        <v>2.7199999999999998E-2</v>
      </c>
      <c r="Q38" s="231">
        <v>6076.5</v>
      </c>
      <c r="R38" s="231">
        <v>5919.5</v>
      </c>
      <c r="S38" s="228">
        <v>157</v>
      </c>
      <c r="T38" s="229">
        <v>2.6499999999999999E-2</v>
      </c>
      <c r="U38" s="231">
        <v>6100</v>
      </c>
      <c r="V38" s="231">
        <v>5960</v>
      </c>
      <c r="W38" s="228">
        <v>140</v>
      </c>
      <c r="X38" s="229">
        <v>2.35E-2</v>
      </c>
      <c r="Y38" s="228">
        <v>20.5</v>
      </c>
      <c r="Z38" s="228">
        <v>6</v>
      </c>
      <c r="AA38" s="228">
        <v>14.5</v>
      </c>
      <c r="AB38" s="229">
        <v>3.3999999999999998E-3</v>
      </c>
      <c r="AC38" s="228">
        <v>20.5</v>
      </c>
      <c r="AD38" s="228">
        <v>6</v>
      </c>
      <c r="AE38" s="228">
        <v>14.5</v>
      </c>
      <c r="AF38" s="229">
        <v>3.3999999999999998E-3</v>
      </c>
      <c r="AG38" s="228">
        <v>57.5</v>
      </c>
      <c r="AH38" s="228">
        <v>46</v>
      </c>
      <c r="AI38" s="228">
        <v>11.5</v>
      </c>
      <c r="AJ38" s="229">
        <v>9.5999999999999992E-3</v>
      </c>
      <c r="AK38" s="228">
        <v>81</v>
      </c>
      <c r="AL38" s="228">
        <v>86.5</v>
      </c>
      <c r="AM38" s="228">
        <v>-5.5</v>
      </c>
      <c r="AN38" s="229">
        <v>1.35E-2</v>
      </c>
      <c r="AO38" s="231">
        <v>6095.79</v>
      </c>
      <c r="AP38" s="231">
        <v>6136.6</v>
      </c>
      <c r="AQ38" s="228">
        <v>0</v>
      </c>
      <c r="AR38" s="230">
        <v>1357500</v>
      </c>
      <c r="AS38" s="230">
        <v>415625</v>
      </c>
      <c r="AT38" s="230">
        <v>941875</v>
      </c>
      <c r="AU38" s="229">
        <v>2.2662</v>
      </c>
      <c r="AV38" s="230">
        <v>1320875</v>
      </c>
      <c r="AW38" s="230">
        <v>399875</v>
      </c>
      <c r="AX38" s="230">
        <v>921000</v>
      </c>
      <c r="AY38" s="229">
        <v>2.3031999999999999</v>
      </c>
      <c r="AZ38" s="230">
        <v>33125</v>
      </c>
      <c r="BA38" s="230">
        <v>15125</v>
      </c>
      <c r="BB38" s="230">
        <v>18000</v>
      </c>
      <c r="BC38" s="229">
        <v>1.1900999999999999</v>
      </c>
      <c r="BD38" s="230">
        <v>3500</v>
      </c>
      <c r="BE38" s="228">
        <v>625</v>
      </c>
      <c r="BF38" s="230">
        <v>2875</v>
      </c>
      <c r="BG38" s="229">
        <v>4.5999999999999996</v>
      </c>
      <c r="BH38" s="230">
        <v>8715000</v>
      </c>
      <c r="BI38" s="230">
        <v>1922250</v>
      </c>
      <c r="BJ38" s="230">
        <v>6792750</v>
      </c>
      <c r="BK38" s="229">
        <v>3.5337000000000001</v>
      </c>
      <c r="BL38" s="230">
        <v>4104250</v>
      </c>
      <c r="BM38" s="230">
        <v>871000</v>
      </c>
      <c r="BN38" s="230">
        <v>3233250</v>
      </c>
      <c r="BO38" s="229">
        <v>3.7121</v>
      </c>
      <c r="BP38" s="230">
        <v>14176750</v>
      </c>
      <c r="BQ38" s="230">
        <v>3208875</v>
      </c>
      <c r="BR38" s="230">
        <v>10967875</v>
      </c>
      <c r="BS38" s="229">
        <v>3.4180000000000001</v>
      </c>
      <c r="BT38" s="230">
        <v>795754</v>
      </c>
      <c r="BU38" s="230">
        <v>280184</v>
      </c>
      <c r="BV38" s="230">
        <v>515570</v>
      </c>
      <c r="BW38" s="229">
        <v>1.8401000000000001</v>
      </c>
      <c r="BX38" s="230">
        <v>3606625</v>
      </c>
      <c r="BY38" s="230">
        <v>3539750</v>
      </c>
      <c r="BZ38" s="230">
        <v>66875</v>
      </c>
      <c r="CA38" s="229">
        <v>1.89E-2</v>
      </c>
      <c r="CB38" s="230">
        <v>3581750</v>
      </c>
      <c r="CC38" s="230">
        <v>3518750</v>
      </c>
      <c r="CD38" s="230">
        <v>63000</v>
      </c>
      <c r="CE38" s="229">
        <v>1.7899999999999999E-2</v>
      </c>
      <c r="CF38" s="230">
        <v>22500</v>
      </c>
      <c r="CG38" s="230">
        <v>18875</v>
      </c>
      <c r="CH38" s="230">
        <v>3625</v>
      </c>
      <c r="CI38" s="229">
        <v>0.19209999999999999</v>
      </c>
      <c r="CJ38" s="230">
        <v>2375</v>
      </c>
      <c r="CK38" s="230">
        <v>2125</v>
      </c>
      <c r="CL38" s="228">
        <v>250</v>
      </c>
      <c r="CM38" s="229">
        <v>0.1176</v>
      </c>
      <c r="CN38" s="230">
        <v>1611000</v>
      </c>
      <c r="CO38" s="230">
        <v>1274125</v>
      </c>
      <c r="CP38" s="230">
        <v>336875</v>
      </c>
      <c r="CQ38" s="229">
        <v>0.26440000000000002</v>
      </c>
      <c r="CR38" s="230">
        <v>880250</v>
      </c>
      <c r="CS38" s="230">
        <v>645000</v>
      </c>
      <c r="CT38" s="230">
        <v>235250</v>
      </c>
      <c r="CU38" s="229">
        <v>0.36470000000000002</v>
      </c>
      <c r="CV38" s="230">
        <v>6097875</v>
      </c>
      <c r="CW38" s="230">
        <v>5458875</v>
      </c>
      <c r="CX38" s="230">
        <v>639000</v>
      </c>
      <c r="CY38" s="229">
        <v>0.1171</v>
      </c>
      <c r="CZ38" s="228">
        <v>24.33</v>
      </c>
      <c r="DA38" s="228">
        <v>33.4</v>
      </c>
      <c r="DB38" s="228">
        <v>-9.07</v>
      </c>
      <c r="DC38" s="228">
        <v>-9.07</v>
      </c>
      <c r="DD38" s="228">
        <v>23.99</v>
      </c>
      <c r="DE38" s="228">
        <v>23.82</v>
      </c>
      <c r="DF38" s="228">
        <v>0.34</v>
      </c>
      <c r="DG38" s="228">
        <v>0.17</v>
      </c>
      <c r="DH38" s="228">
        <v>24.44</v>
      </c>
      <c r="DI38" s="228">
        <v>33.659999999999997</v>
      </c>
      <c r="DJ38" s="228">
        <v>-9.2200000000000006</v>
      </c>
      <c r="DK38" s="228">
        <v>-9.2200000000000006</v>
      </c>
      <c r="DL38" s="228">
        <v>24.11</v>
      </c>
      <c r="DM38" s="228">
        <v>32.82</v>
      </c>
      <c r="DN38" s="228">
        <v>-8.7100000000000009</v>
      </c>
      <c r="DO38" s="228">
        <v>-8.7100000000000009</v>
      </c>
      <c r="DP38" s="228">
        <v>0.55000000000000004</v>
      </c>
      <c r="DQ38" s="228">
        <v>0.51</v>
      </c>
      <c r="DR38" s="228">
        <v>0.04</v>
      </c>
      <c r="DS38" s="229">
        <v>7.8399999999999997E-2</v>
      </c>
      <c r="DT38" s="231">
        <v>6500</v>
      </c>
      <c r="DU38" s="231">
        <v>5800</v>
      </c>
      <c r="DV38" s="228">
        <v>0.47</v>
      </c>
      <c r="DW38" s="228">
        <v>0.45</v>
      </c>
      <c r="DX38" s="228">
        <v>0.02</v>
      </c>
      <c r="DY38" s="229">
        <v>4.4400000000000002E-2</v>
      </c>
      <c r="DZ38" s="229">
        <v>6.8999999999999999E-3</v>
      </c>
      <c r="EA38" s="230">
        <v>21000</v>
      </c>
      <c r="EB38" s="229">
        <v>6.1000000000000004E-3</v>
      </c>
      <c r="EC38" s="229">
        <v>6.8999999999999999E-3</v>
      </c>
      <c r="ED38" s="228">
        <v>40.81</v>
      </c>
      <c r="EE38" s="229">
        <v>6.7000000000000002E-3</v>
      </c>
      <c r="EF38" s="230">
        <v>377975</v>
      </c>
      <c r="EG38" s="230">
        <v>164358</v>
      </c>
      <c r="EH38" s="229">
        <v>1.2997000000000001</v>
      </c>
      <c r="EI38" s="229">
        <v>0.47499999999999998</v>
      </c>
      <c r="EJ38" s="231">
        <v>550011.37</v>
      </c>
      <c r="EK38" s="231">
        <v>242613.51</v>
      </c>
      <c r="EL38" s="231">
        <v>82766.62</v>
      </c>
      <c r="EM38" s="231">
        <v>2363</v>
      </c>
      <c r="EN38" s="231">
        <v>875391.5</v>
      </c>
      <c r="EO38" s="231">
        <v>192994.78</v>
      </c>
      <c r="EP38" s="231">
        <v>682396.72</v>
      </c>
      <c r="EQ38" s="229">
        <v>3.5358000000000001</v>
      </c>
      <c r="ER38" s="231">
        <v>101308</v>
      </c>
      <c r="ES38" s="231">
        <v>50158</v>
      </c>
      <c r="ET38" s="231">
        <v>217832</v>
      </c>
      <c r="EU38" s="231">
        <v>16370935</v>
      </c>
      <c r="EV38" s="231">
        <v>369298</v>
      </c>
      <c r="EW38" s="231">
        <v>323714</v>
      </c>
      <c r="EX38" s="231">
        <v>45584</v>
      </c>
      <c r="EY38" s="229">
        <v>0.14080000000000001</v>
      </c>
      <c r="EZ38" s="229">
        <v>0.3725</v>
      </c>
      <c r="FA38" s="227" t="s">
        <v>555</v>
      </c>
      <c r="FB38" s="161">
        <f t="shared" si="0"/>
        <v>24875</v>
      </c>
    </row>
    <row r="39" spans="1:158" ht="17.25" hidden="1" thickBot="1" x14ac:dyDescent="0.3">
      <c r="A39" s="226">
        <v>46064</v>
      </c>
      <c r="B39" s="227" t="s">
        <v>175</v>
      </c>
      <c r="C39" s="227" t="s">
        <v>584</v>
      </c>
      <c r="D39" s="228">
        <v>375</v>
      </c>
      <c r="E39" s="231">
        <v>3179.8</v>
      </c>
      <c r="F39" s="231">
        <v>3185.4</v>
      </c>
      <c r="G39" s="228">
        <v>-5.6</v>
      </c>
      <c r="H39" s="229">
        <v>-1.8E-3</v>
      </c>
      <c r="I39" s="231">
        <v>3177.1</v>
      </c>
      <c r="J39" s="231">
        <v>3174.2</v>
      </c>
      <c r="K39" s="228">
        <v>2.9</v>
      </c>
      <c r="L39" s="229">
        <v>8.9999999999999998E-4</v>
      </c>
      <c r="M39" s="231">
        <v>3179.8</v>
      </c>
      <c r="N39" s="231">
        <v>3185.4</v>
      </c>
      <c r="O39" s="228">
        <v>-5.6</v>
      </c>
      <c r="P39" s="229">
        <v>-1.8E-3</v>
      </c>
      <c r="Q39" s="231">
        <v>3198.5</v>
      </c>
      <c r="R39" s="231">
        <v>3202.2</v>
      </c>
      <c r="S39" s="228">
        <v>-3.7</v>
      </c>
      <c r="T39" s="229">
        <v>-1.1999999999999999E-3</v>
      </c>
      <c r="U39" s="231">
        <v>3213.7</v>
      </c>
      <c r="V39" s="231">
        <v>3217.8</v>
      </c>
      <c r="W39" s="228">
        <v>-4.0999999999999996</v>
      </c>
      <c r="X39" s="229">
        <v>-1.2999999999999999E-3</v>
      </c>
      <c r="Y39" s="228">
        <v>2.7</v>
      </c>
      <c r="Z39" s="228">
        <v>11.2</v>
      </c>
      <c r="AA39" s="228">
        <v>-8.5</v>
      </c>
      <c r="AB39" s="229">
        <v>8.0000000000000004E-4</v>
      </c>
      <c r="AC39" s="228">
        <v>2.7</v>
      </c>
      <c r="AD39" s="228">
        <v>11.2</v>
      </c>
      <c r="AE39" s="228">
        <v>-8.5</v>
      </c>
      <c r="AF39" s="229">
        <v>8.0000000000000004E-4</v>
      </c>
      <c r="AG39" s="228">
        <v>21.4</v>
      </c>
      <c r="AH39" s="228">
        <v>28</v>
      </c>
      <c r="AI39" s="228">
        <v>-6.6</v>
      </c>
      <c r="AJ39" s="229">
        <v>6.7000000000000002E-3</v>
      </c>
      <c r="AK39" s="228">
        <v>36.6</v>
      </c>
      <c r="AL39" s="228">
        <v>43.6</v>
      </c>
      <c r="AM39" s="228">
        <v>-7</v>
      </c>
      <c r="AN39" s="229">
        <v>1.15E-2</v>
      </c>
      <c r="AO39" s="231">
        <v>3180.39</v>
      </c>
      <c r="AP39" s="231">
        <v>3196.91</v>
      </c>
      <c r="AQ39" s="228">
        <v>0</v>
      </c>
      <c r="AR39" s="230">
        <v>4629375</v>
      </c>
      <c r="AS39" s="230">
        <v>15261750</v>
      </c>
      <c r="AT39" s="230">
        <v>-10632375</v>
      </c>
      <c r="AU39" s="229">
        <v>-0.69669999999999999</v>
      </c>
      <c r="AV39" s="230">
        <v>4123125</v>
      </c>
      <c r="AW39" s="230">
        <v>13839000</v>
      </c>
      <c r="AX39" s="230">
        <v>-9715875</v>
      </c>
      <c r="AY39" s="229">
        <v>-0.70209999999999995</v>
      </c>
      <c r="AZ39" s="230">
        <v>435000</v>
      </c>
      <c r="BA39" s="230">
        <v>1228125</v>
      </c>
      <c r="BB39" s="230">
        <v>-793125</v>
      </c>
      <c r="BC39" s="229">
        <v>-0.64580000000000004</v>
      </c>
      <c r="BD39" s="230">
        <v>71250</v>
      </c>
      <c r="BE39" s="230">
        <v>194625</v>
      </c>
      <c r="BF39" s="230">
        <v>-123375</v>
      </c>
      <c r="BG39" s="229">
        <v>-0.63390000000000002</v>
      </c>
      <c r="BH39" s="230">
        <v>20688000</v>
      </c>
      <c r="BI39" s="230">
        <v>92195250</v>
      </c>
      <c r="BJ39" s="230">
        <v>-71507250</v>
      </c>
      <c r="BK39" s="229">
        <v>-0.77559999999999996</v>
      </c>
      <c r="BL39" s="230">
        <v>16776750</v>
      </c>
      <c r="BM39" s="230">
        <v>47182500</v>
      </c>
      <c r="BN39" s="230">
        <v>-30405750</v>
      </c>
      <c r="BO39" s="229">
        <v>-0.64439999999999997</v>
      </c>
      <c r="BP39" s="230">
        <v>42094125</v>
      </c>
      <c r="BQ39" s="230">
        <v>154639500</v>
      </c>
      <c r="BR39" s="230">
        <v>-112545375</v>
      </c>
      <c r="BS39" s="229">
        <v>-0.7278</v>
      </c>
      <c r="BT39" s="230">
        <v>6100540</v>
      </c>
      <c r="BU39" s="230">
        <v>17810099</v>
      </c>
      <c r="BV39" s="230">
        <v>-11709559</v>
      </c>
      <c r="BW39" s="229">
        <v>-0.65749999999999997</v>
      </c>
      <c r="BX39" s="230">
        <v>10466625</v>
      </c>
      <c r="BY39" s="230">
        <v>10819500</v>
      </c>
      <c r="BZ39" s="230">
        <v>-352875</v>
      </c>
      <c r="CA39" s="229">
        <v>-3.2599999999999997E-2</v>
      </c>
      <c r="CB39" s="230">
        <v>9522000</v>
      </c>
      <c r="CC39" s="230">
        <v>9846000</v>
      </c>
      <c r="CD39" s="230">
        <v>-324000</v>
      </c>
      <c r="CE39" s="229">
        <v>-3.2899999999999999E-2</v>
      </c>
      <c r="CF39" s="230">
        <v>771000</v>
      </c>
      <c r="CG39" s="230">
        <v>808875</v>
      </c>
      <c r="CH39" s="230">
        <v>-37875</v>
      </c>
      <c r="CI39" s="229">
        <v>-4.6800000000000001E-2</v>
      </c>
      <c r="CJ39" s="230">
        <v>173625</v>
      </c>
      <c r="CK39" s="230">
        <v>164625</v>
      </c>
      <c r="CL39" s="230">
        <v>9000</v>
      </c>
      <c r="CM39" s="229">
        <v>5.4699999999999999E-2</v>
      </c>
      <c r="CN39" s="230">
        <v>9112875</v>
      </c>
      <c r="CO39" s="230">
        <v>9389250</v>
      </c>
      <c r="CP39" s="230">
        <v>-276375</v>
      </c>
      <c r="CQ39" s="229">
        <v>-2.9399999999999999E-2</v>
      </c>
      <c r="CR39" s="230">
        <v>8931750</v>
      </c>
      <c r="CS39" s="230">
        <v>9057750</v>
      </c>
      <c r="CT39" s="230">
        <v>-126000</v>
      </c>
      <c r="CU39" s="229">
        <v>-1.3899999999999999E-2</v>
      </c>
      <c r="CV39" s="230">
        <v>28511250</v>
      </c>
      <c r="CW39" s="230">
        <v>29266500</v>
      </c>
      <c r="CX39" s="230">
        <v>-755250</v>
      </c>
      <c r="CY39" s="229">
        <v>-2.58E-2</v>
      </c>
      <c r="CZ39" s="228">
        <v>42.33</v>
      </c>
      <c r="DA39" s="228">
        <v>43.22</v>
      </c>
      <c r="DB39" s="228">
        <v>-0.89</v>
      </c>
      <c r="DC39" s="228">
        <v>-0.89</v>
      </c>
      <c r="DD39" s="228">
        <v>59.33</v>
      </c>
      <c r="DE39" s="228">
        <v>59.47</v>
      </c>
      <c r="DF39" s="228">
        <v>-17</v>
      </c>
      <c r="DG39" s="228">
        <v>-0.14000000000000001</v>
      </c>
      <c r="DH39" s="228">
        <v>41.08</v>
      </c>
      <c r="DI39" s="228">
        <v>41.74</v>
      </c>
      <c r="DJ39" s="228">
        <v>-0.66</v>
      </c>
      <c r="DK39" s="228">
        <v>-0.66</v>
      </c>
      <c r="DL39" s="228">
        <v>43.88</v>
      </c>
      <c r="DM39" s="228">
        <v>46.12</v>
      </c>
      <c r="DN39" s="228">
        <v>-2.2400000000000002</v>
      </c>
      <c r="DO39" s="228">
        <v>-2.2400000000000002</v>
      </c>
      <c r="DP39" s="228">
        <v>0.98</v>
      </c>
      <c r="DQ39" s="228">
        <v>0.96</v>
      </c>
      <c r="DR39" s="228">
        <v>0.02</v>
      </c>
      <c r="DS39" s="229">
        <v>2.0799999999999999E-2</v>
      </c>
      <c r="DT39" s="231">
        <v>3200</v>
      </c>
      <c r="DU39" s="231">
        <v>2800</v>
      </c>
      <c r="DV39" s="228">
        <v>0.81</v>
      </c>
      <c r="DW39" s="228">
        <v>0.51</v>
      </c>
      <c r="DX39" s="228">
        <v>0.3</v>
      </c>
      <c r="DY39" s="229">
        <v>0.58819999999999995</v>
      </c>
      <c r="DZ39" s="229">
        <v>9.0300000000000005E-2</v>
      </c>
      <c r="EA39" s="230">
        <v>973500</v>
      </c>
      <c r="EB39" s="229">
        <v>5.8999999999999999E-3</v>
      </c>
      <c r="EC39" s="229">
        <v>9.0300000000000005E-2</v>
      </c>
      <c r="ED39" s="228">
        <v>16.52</v>
      </c>
      <c r="EE39" s="229">
        <v>5.1999999999999998E-3</v>
      </c>
      <c r="EF39" s="230">
        <v>1336839</v>
      </c>
      <c r="EG39" s="230">
        <v>3479091</v>
      </c>
      <c r="EH39" s="229">
        <v>-0.61580000000000001</v>
      </c>
      <c r="EI39" s="229">
        <v>0.21909999999999999</v>
      </c>
      <c r="EJ39" s="231">
        <v>692009.96</v>
      </c>
      <c r="EK39" s="231">
        <v>517895</v>
      </c>
      <c r="EL39" s="231">
        <v>147325.68</v>
      </c>
      <c r="EM39" s="231">
        <v>17469</v>
      </c>
      <c r="EN39" s="231">
        <v>1357230.64</v>
      </c>
      <c r="EO39" s="231">
        <v>4961078.99</v>
      </c>
      <c r="EP39" s="231">
        <v>-3603848.35</v>
      </c>
      <c r="EQ39" s="229">
        <v>-0.72640000000000005</v>
      </c>
      <c r="ER39" s="231">
        <v>284118</v>
      </c>
      <c r="ES39" s="231">
        <v>251236</v>
      </c>
      <c r="ET39" s="231">
        <v>333021</v>
      </c>
      <c r="EU39" s="231">
        <v>61094861</v>
      </c>
      <c r="EV39" s="231">
        <v>868375</v>
      </c>
      <c r="EW39" s="231">
        <v>891978</v>
      </c>
      <c r="EX39" s="231">
        <v>-23603</v>
      </c>
      <c r="EY39" s="229">
        <v>-2.6499999999999999E-2</v>
      </c>
      <c r="EZ39" s="229">
        <v>0.4667</v>
      </c>
      <c r="FA39" s="227" t="s">
        <v>568</v>
      </c>
      <c r="FB39" s="161">
        <f t="shared" si="0"/>
        <v>944625</v>
      </c>
    </row>
    <row r="40" spans="1:158" ht="17.25" hidden="1" thickBot="1" x14ac:dyDescent="0.3">
      <c r="A40" s="226">
        <v>46064</v>
      </c>
      <c r="B40" s="227" t="s">
        <v>175</v>
      </c>
      <c r="C40" s="227" t="s">
        <v>611</v>
      </c>
      <c r="D40" s="228">
        <v>750</v>
      </c>
      <c r="E40" s="228">
        <v>747.95</v>
      </c>
      <c r="F40" s="228">
        <v>745.2</v>
      </c>
      <c r="G40" s="228">
        <v>2.75</v>
      </c>
      <c r="H40" s="229">
        <v>3.7000000000000002E-3</v>
      </c>
      <c r="I40" s="228">
        <v>747.1</v>
      </c>
      <c r="J40" s="228">
        <v>742.6</v>
      </c>
      <c r="K40" s="228">
        <v>4.5</v>
      </c>
      <c r="L40" s="229">
        <v>6.1000000000000004E-3</v>
      </c>
      <c r="M40" s="228">
        <v>747.95</v>
      </c>
      <c r="N40" s="228">
        <v>745.2</v>
      </c>
      <c r="O40" s="228">
        <v>2.75</v>
      </c>
      <c r="P40" s="229">
        <v>3.7000000000000002E-3</v>
      </c>
      <c r="Q40" s="228">
        <v>749.6</v>
      </c>
      <c r="R40" s="228">
        <v>746.2</v>
      </c>
      <c r="S40" s="228">
        <v>3.4</v>
      </c>
      <c r="T40" s="229">
        <v>4.5999999999999999E-3</v>
      </c>
      <c r="U40" s="228">
        <v>751.25</v>
      </c>
      <c r="V40" s="228">
        <v>748.15</v>
      </c>
      <c r="W40" s="228">
        <v>3.1</v>
      </c>
      <c r="X40" s="229">
        <v>4.1000000000000003E-3</v>
      </c>
      <c r="Y40" s="228">
        <v>0.85</v>
      </c>
      <c r="Z40" s="228">
        <v>2.6</v>
      </c>
      <c r="AA40" s="228">
        <v>-1.75</v>
      </c>
      <c r="AB40" s="229">
        <v>1.1000000000000001E-3</v>
      </c>
      <c r="AC40" s="228">
        <v>0.85</v>
      </c>
      <c r="AD40" s="228">
        <v>2.6</v>
      </c>
      <c r="AE40" s="228">
        <v>-1.75</v>
      </c>
      <c r="AF40" s="229">
        <v>1.1000000000000001E-3</v>
      </c>
      <c r="AG40" s="228">
        <v>2.5</v>
      </c>
      <c r="AH40" s="228">
        <v>3.6</v>
      </c>
      <c r="AI40" s="228">
        <v>-1.1000000000000001</v>
      </c>
      <c r="AJ40" s="229">
        <v>3.3E-3</v>
      </c>
      <c r="AK40" s="228">
        <v>4.1500000000000004</v>
      </c>
      <c r="AL40" s="228">
        <v>5.55</v>
      </c>
      <c r="AM40" s="228">
        <v>-1.4</v>
      </c>
      <c r="AN40" s="229">
        <v>5.5999999999999999E-3</v>
      </c>
      <c r="AO40" s="228">
        <v>746.87</v>
      </c>
      <c r="AP40" s="228">
        <v>748.14</v>
      </c>
      <c r="AQ40" s="228">
        <v>0</v>
      </c>
      <c r="AR40" s="230">
        <v>1123500</v>
      </c>
      <c r="AS40" s="230">
        <v>2178000</v>
      </c>
      <c r="AT40" s="230">
        <v>-1054500</v>
      </c>
      <c r="AU40" s="229">
        <v>-0.48420000000000002</v>
      </c>
      <c r="AV40" s="230">
        <v>1020000</v>
      </c>
      <c r="AW40" s="230">
        <v>1995000</v>
      </c>
      <c r="AX40" s="230">
        <v>-975000</v>
      </c>
      <c r="AY40" s="229">
        <v>-0.48870000000000002</v>
      </c>
      <c r="AZ40" s="230">
        <v>91500</v>
      </c>
      <c r="BA40" s="230">
        <v>161250</v>
      </c>
      <c r="BB40" s="230">
        <v>-69750</v>
      </c>
      <c r="BC40" s="229">
        <v>-0.43259999999999998</v>
      </c>
      <c r="BD40" s="230">
        <v>12000</v>
      </c>
      <c r="BE40" s="230">
        <v>21750</v>
      </c>
      <c r="BF40" s="230">
        <v>-9750</v>
      </c>
      <c r="BG40" s="229">
        <v>-0.44829999999999998</v>
      </c>
      <c r="BH40" s="230">
        <v>2079000</v>
      </c>
      <c r="BI40" s="230">
        <v>4522500</v>
      </c>
      <c r="BJ40" s="230">
        <v>-2443500</v>
      </c>
      <c r="BK40" s="229">
        <v>-0.5403</v>
      </c>
      <c r="BL40" s="230">
        <v>804750</v>
      </c>
      <c r="BM40" s="230">
        <v>1437000</v>
      </c>
      <c r="BN40" s="230">
        <v>-632250</v>
      </c>
      <c r="BO40" s="229">
        <v>-0.44</v>
      </c>
      <c r="BP40" s="230">
        <v>4007250</v>
      </c>
      <c r="BQ40" s="230">
        <v>8137500</v>
      </c>
      <c r="BR40" s="230">
        <v>-4130250</v>
      </c>
      <c r="BS40" s="229">
        <v>-0.50760000000000005</v>
      </c>
      <c r="BT40" s="230">
        <v>637882</v>
      </c>
      <c r="BU40" s="230">
        <v>872659</v>
      </c>
      <c r="BV40" s="230">
        <v>-234777</v>
      </c>
      <c r="BW40" s="229">
        <v>-0.26900000000000002</v>
      </c>
      <c r="BX40" s="230">
        <v>7368000</v>
      </c>
      <c r="BY40" s="230">
        <v>7335750</v>
      </c>
      <c r="BZ40" s="230">
        <v>32250</v>
      </c>
      <c r="CA40" s="229">
        <v>4.4000000000000003E-3</v>
      </c>
      <c r="CB40" s="230">
        <v>6904500</v>
      </c>
      <c r="CC40" s="230">
        <v>6883500</v>
      </c>
      <c r="CD40" s="230">
        <v>21000</v>
      </c>
      <c r="CE40" s="229">
        <v>3.0999999999999999E-3</v>
      </c>
      <c r="CF40" s="230">
        <v>407250</v>
      </c>
      <c r="CG40" s="230">
        <v>399750</v>
      </c>
      <c r="CH40" s="230">
        <v>7500</v>
      </c>
      <c r="CI40" s="229">
        <v>1.8800000000000001E-2</v>
      </c>
      <c r="CJ40" s="230">
        <v>56250</v>
      </c>
      <c r="CK40" s="230">
        <v>52500</v>
      </c>
      <c r="CL40" s="230">
        <v>3750</v>
      </c>
      <c r="CM40" s="229">
        <v>7.1400000000000005E-2</v>
      </c>
      <c r="CN40" s="230">
        <v>2858250</v>
      </c>
      <c r="CO40" s="230">
        <v>2781000</v>
      </c>
      <c r="CP40" s="230">
        <v>77250</v>
      </c>
      <c r="CQ40" s="229">
        <v>2.7799999999999998E-2</v>
      </c>
      <c r="CR40" s="230">
        <v>3017250</v>
      </c>
      <c r="CS40" s="230">
        <v>3015000</v>
      </c>
      <c r="CT40" s="230">
        <v>2250</v>
      </c>
      <c r="CU40" s="229">
        <v>6.9999999999999999E-4</v>
      </c>
      <c r="CV40" s="230">
        <v>13243500</v>
      </c>
      <c r="CW40" s="230">
        <v>13131750</v>
      </c>
      <c r="CX40" s="230">
        <v>111750</v>
      </c>
      <c r="CY40" s="229">
        <v>8.5000000000000006E-3</v>
      </c>
      <c r="CZ40" s="228">
        <v>30.23</v>
      </c>
      <c r="DA40" s="228">
        <v>30.53</v>
      </c>
      <c r="DB40" s="228">
        <v>-0.3</v>
      </c>
      <c r="DC40" s="228">
        <v>-0.3</v>
      </c>
      <c r="DD40" s="228">
        <v>39.909999999999997</v>
      </c>
      <c r="DE40" s="228">
        <v>40.01</v>
      </c>
      <c r="DF40" s="228">
        <v>-9.68</v>
      </c>
      <c r="DG40" s="228">
        <v>-0.1</v>
      </c>
      <c r="DH40" s="228">
        <v>28.84</v>
      </c>
      <c r="DI40" s="228">
        <v>29.28</v>
      </c>
      <c r="DJ40" s="228">
        <v>-0.44</v>
      </c>
      <c r="DK40" s="228">
        <v>-0.44</v>
      </c>
      <c r="DL40" s="228">
        <v>33.81</v>
      </c>
      <c r="DM40" s="228">
        <v>34.49</v>
      </c>
      <c r="DN40" s="228">
        <v>-0.68</v>
      </c>
      <c r="DO40" s="228">
        <v>-0.68</v>
      </c>
      <c r="DP40" s="228">
        <v>1.06</v>
      </c>
      <c r="DQ40" s="228">
        <v>1.08</v>
      </c>
      <c r="DR40" s="228">
        <v>-0.02</v>
      </c>
      <c r="DS40" s="229">
        <v>-1.8499999999999999E-2</v>
      </c>
      <c r="DT40" s="228">
        <v>750</v>
      </c>
      <c r="DU40" s="228">
        <v>700</v>
      </c>
      <c r="DV40" s="228">
        <v>0.39</v>
      </c>
      <c r="DW40" s="228">
        <v>0.32</v>
      </c>
      <c r="DX40" s="228">
        <v>7.0000000000000007E-2</v>
      </c>
      <c r="DY40" s="229">
        <v>0.21879999999999999</v>
      </c>
      <c r="DZ40" s="229">
        <v>6.2899999999999998E-2</v>
      </c>
      <c r="EA40" s="230">
        <v>452250</v>
      </c>
      <c r="EB40" s="229">
        <v>2.2000000000000001E-3</v>
      </c>
      <c r="EC40" s="229">
        <v>6.2899999999999998E-2</v>
      </c>
      <c r="ED40" s="228">
        <v>1.27</v>
      </c>
      <c r="EE40" s="229">
        <v>1.6999999999999999E-3</v>
      </c>
      <c r="EF40" s="230">
        <v>282913</v>
      </c>
      <c r="EG40" s="230">
        <v>406994</v>
      </c>
      <c r="EH40" s="229">
        <v>-0.3049</v>
      </c>
      <c r="EI40" s="229">
        <v>0.44350000000000001</v>
      </c>
      <c r="EJ40" s="231">
        <v>16061.07</v>
      </c>
      <c r="EK40" s="231">
        <v>5846.64</v>
      </c>
      <c r="EL40" s="231">
        <v>8392.5400000000009</v>
      </c>
      <c r="EM40" s="231">
        <v>2242</v>
      </c>
      <c r="EN40" s="231">
        <v>30300.25</v>
      </c>
      <c r="EO40" s="231">
        <v>61304.55</v>
      </c>
      <c r="EP40" s="231">
        <v>-31004.3</v>
      </c>
      <c r="EQ40" s="229">
        <v>-0.50570000000000004</v>
      </c>
      <c r="ER40" s="231">
        <v>21479</v>
      </c>
      <c r="ES40" s="231">
        <v>21067</v>
      </c>
      <c r="ET40" s="231">
        <v>55118</v>
      </c>
      <c r="EU40" s="231">
        <v>37122288</v>
      </c>
      <c r="EV40" s="231">
        <v>97663</v>
      </c>
      <c r="EW40" s="231">
        <v>96569</v>
      </c>
      <c r="EX40" s="231">
        <v>1094</v>
      </c>
      <c r="EY40" s="229">
        <v>1.1299999999999999E-2</v>
      </c>
      <c r="EZ40" s="229">
        <v>0.35680000000000001</v>
      </c>
      <c r="FA40" s="227" t="s">
        <v>555</v>
      </c>
      <c r="FB40" s="161">
        <f t="shared" si="0"/>
        <v>463500</v>
      </c>
    </row>
    <row r="41" spans="1:158" ht="17.25" hidden="1" thickBot="1" x14ac:dyDescent="0.3">
      <c r="A41" s="226">
        <v>46064</v>
      </c>
      <c r="B41" s="227" t="s">
        <v>172</v>
      </c>
      <c r="C41" s="227" t="s">
        <v>196</v>
      </c>
      <c r="D41" s="228">
        <v>6750</v>
      </c>
      <c r="E41" s="228">
        <v>146</v>
      </c>
      <c r="F41" s="228">
        <v>147.35</v>
      </c>
      <c r="G41" s="228">
        <v>-1.35</v>
      </c>
      <c r="H41" s="229">
        <v>-9.1999999999999998E-3</v>
      </c>
      <c r="I41" s="228">
        <v>145.51</v>
      </c>
      <c r="J41" s="228">
        <v>146.83000000000001</v>
      </c>
      <c r="K41" s="228">
        <v>-1.32</v>
      </c>
      <c r="L41" s="229">
        <v>-8.9999999999999993E-3</v>
      </c>
      <c r="M41" s="228">
        <v>146</v>
      </c>
      <c r="N41" s="228">
        <v>147.35</v>
      </c>
      <c r="O41" s="228">
        <v>-1.35</v>
      </c>
      <c r="P41" s="229">
        <v>-9.1999999999999998E-3</v>
      </c>
      <c r="Q41" s="228">
        <v>146.66999999999999</v>
      </c>
      <c r="R41" s="228">
        <v>147.91999999999999</v>
      </c>
      <c r="S41" s="228">
        <v>-1.25</v>
      </c>
      <c r="T41" s="229">
        <v>-8.5000000000000006E-3</v>
      </c>
      <c r="U41" s="228">
        <v>147.52000000000001</v>
      </c>
      <c r="V41" s="228">
        <v>148.75</v>
      </c>
      <c r="W41" s="228">
        <v>-1.23</v>
      </c>
      <c r="X41" s="229">
        <v>-8.3000000000000001E-3</v>
      </c>
      <c r="Y41" s="228">
        <v>0.49</v>
      </c>
      <c r="Z41" s="228">
        <v>0.52</v>
      </c>
      <c r="AA41" s="228">
        <v>-0.03</v>
      </c>
      <c r="AB41" s="229">
        <v>3.3999999999999998E-3</v>
      </c>
      <c r="AC41" s="228">
        <v>0.49</v>
      </c>
      <c r="AD41" s="228">
        <v>0.52</v>
      </c>
      <c r="AE41" s="228">
        <v>-0.03</v>
      </c>
      <c r="AF41" s="229">
        <v>3.3999999999999998E-3</v>
      </c>
      <c r="AG41" s="228">
        <v>1.1599999999999999</v>
      </c>
      <c r="AH41" s="228">
        <v>1.0900000000000001</v>
      </c>
      <c r="AI41" s="228">
        <v>7.0000000000000007E-2</v>
      </c>
      <c r="AJ41" s="229">
        <v>8.0000000000000002E-3</v>
      </c>
      <c r="AK41" s="228">
        <v>2.0099999999999998</v>
      </c>
      <c r="AL41" s="228">
        <v>1.92</v>
      </c>
      <c r="AM41" s="228">
        <v>0.09</v>
      </c>
      <c r="AN41" s="229">
        <v>1.38E-2</v>
      </c>
      <c r="AO41" s="228">
        <v>145.84</v>
      </c>
      <c r="AP41" s="228">
        <v>146.28</v>
      </c>
      <c r="AQ41" s="228">
        <v>0</v>
      </c>
      <c r="AR41" s="230">
        <v>55113750</v>
      </c>
      <c r="AS41" s="230">
        <v>26952750</v>
      </c>
      <c r="AT41" s="230">
        <v>28161000</v>
      </c>
      <c r="AU41" s="229">
        <v>1.0448</v>
      </c>
      <c r="AV41" s="230">
        <v>48215250</v>
      </c>
      <c r="AW41" s="230">
        <v>23301000</v>
      </c>
      <c r="AX41" s="230">
        <v>24914250</v>
      </c>
      <c r="AY41" s="229">
        <v>1.0691999999999999</v>
      </c>
      <c r="AZ41" s="230">
        <v>6149250</v>
      </c>
      <c r="BA41" s="230">
        <v>3388500</v>
      </c>
      <c r="BB41" s="230">
        <v>2760750</v>
      </c>
      <c r="BC41" s="229">
        <v>0.81469999999999998</v>
      </c>
      <c r="BD41" s="230">
        <v>749250</v>
      </c>
      <c r="BE41" s="230">
        <v>263250</v>
      </c>
      <c r="BF41" s="230">
        <v>486000</v>
      </c>
      <c r="BG41" s="229">
        <v>1.8462000000000001</v>
      </c>
      <c r="BH41" s="230">
        <v>168912000</v>
      </c>
      <c r="BI41" s="230">
        <v>75674250</v>
      </c>
      <c r="BJ41" s="230">
        <v>93237750</v>
      </c>
      <c r="BK41" s="229">
        <v>1.2321</v>
      </c>
      <c r="BL41" s="230">
        <v>64246500</v>
      </c>
      <c r="BM41" s="230">
        <v>24556500</v>
      </c>
      <c r="BN41" s="230">
        <v>39690000</v>
      </c>
      <c r="BO41" s="229">
        <v>1.6163000000000001</v>
      </c>
      <c r="BP41" s="230">
        <v>288272250</v>
      </c>
      <c r="BQ41" s="230">
        <v>127183500</v>
      </c>
      <c r="BR41" s="230">
        <v>161088750</v>
      </c>
      <c r="BS41" s="229">
        <v>1.2665999999999999</v>
      </c>
      <c r="BT41" s="230">
        <v>32128525</v>
      </c>
      <c r="BU41" s="230">
        <v>19256666</v>
      </c>
      <c r="BV41" s="230">
        <v>12871859</v>
      </c>
      <c r="BW41" s="229">
        <v>0.66839999999999999</v>
      </c>
      <c r="BX41" s="230">
        <v>196080750</v>
      </c>
      <c r="BY41" s="230">
        <v>185334750</v>
      </c>
      <c r="BZ41" s="230">
        <v>10746000</v>
      </c>
      <c r="CA41" s="229">
        <v>5.8000000000000003E-2</v>
      </c>
      <c r="CB41" s="230">
        <v>178362000</v>
      </c>
      <c r="CC41" s="230">
        <v>169377750</v>
      </c>
      <c r="CD41" s="230">
        <v>8984250</v>
      </c>
      <c r="CE41" s="229">
        <v>5.2999999999999999E-2</v>
      </c>
      <c r="CF41" s="230">
        <v>15099750</v>
      </c>
      <c r="CG41" s="230">
        <v>13601250</v>
      </c>
      <c r="CH41" s="230">
        <v>1498500</v>
      </c>
      <c r="CI41" s="229">
        <v>0.11020000000000001</v>
      </c>
      <c r="CJ41" s="230">
        <v>2619000</v>
      </c>
      <c r="CK41" s="230">
        <v>2355750</v>
      </c>
      <c r="CL41" s="230">
        <v>263250</v>
      </c>
      <c r="CM41" s="229">
        <v>0.11169999999999999</v>
      </c>
      <c r="CN41" s="230">
        <v>182108250</v>
      </c>
      <c r="CO41" s="230">
        <v>173076750</v>
      </c>
      <c r="CP41" s="230">
        <v>9031500</v>
      </c>
      <c r="CQ41" s="229">
        <v>5.2200000000000003E-2</v>
      </c>
      <c r="CR41" s="230">
        <v>91935000</v>
      </c>
      <c r="CS41" s="230">
        <v>89532000</v>
      </c>
      <c r="CT41" s="230">
        <v>2403000</v>
      </c>
      <c r="CU41" s="229">
        <v>2.6800000000000001E-2</v>
      </c>
      <c r="CV41" s="230">
        <v>470124000</v>
      </c>
      <c r="CW41" s="230">
        <v>447943500</v>
      </c>
      <c r="CX41" s="230">
        <v>22180500</v>
      </c>
      <c r="CY41" s="229">
        <v>4.9500000000000002E-2</v>
      </c>
      <c r="CZ41" s="228">
        <v>33.79</v>
      </c>
      <c r="DA41" s="228">
        <v>33.590000000000003</v>
      </c>
      <c r="DB41" s="228">
        <v>0.2</v>
      </c>
      <c r="DC41" s="228">
        <v>0.2</v>
      </c>
      <c r="DD41" s="228">
        <v>35.65</v>
      </c>
      <c r="DE41" s="228">
        <v>35.72</v>
      </c>
      <c r="DF41" s="228">
        <v>-1.86</v>
      </c>
      <c r="DG41" s="228">
        <v>-7.0000000000000007E-2</v>
      </c>
      <c r="DH41" s="228">
        <v>34.44</v>
      </c>
      <c r="DI41" s="228">
        <v>34.4</v>
      </c>
      <c r="DJ41" s="228">
        <v>0.04</v>
      </c>
      <c r="DK41" s="228">
        <v>0.04</v>
      </c>
      <c r="DL41" s="228">
        <v>32.090000000000003</v>
      </c>
      <c r="DM41" s="228">
        <v>31.11</v>
      </c>
      <c r="DN41" s="228">
        <v>0.98</v>
      </c>
      <c r="DO41" s="228">
        <v>0.98</v>
      </c>
      <c r="DP41" s="228">
        <v>0.5</v>
      </c>
      <c r="DQ41" s="228">
        <v>0.52</v>
      </c>
      <c r="DR41" s="228">
        <v>-0.02</v>
      </c>
      <c r="DS41" s="229">
        <v>-3.85E-2</v>
      </c>
      <c r="DT41" s="228">
        <v>160</v>
      </c>
      <c r="DU41" s="228">
        <v>140</v>
      </c>
      <c r="DV41" s="228">
        <v>0.38</v>
      </c>
      <c r="DW41" s="228">
        <v>0.32</v>
      </c>
      <c r="DX41" s="228">
        <v>0.06</v>
      </c>
      <c r="DY41" s="229">
        <v>0.1875</v>
      </c>
      <c r="DZ41" s="229">
        <v>9.0399999999999994E-2</v>
      </c>
      <c r="EA41" s="230">
        <v>15957000</v>
      </c>
      <c r="EB41" s="229">
        <v>4.5999999999999999E-3</v>
      </c>
      <c r="EC41" s="229">
        <v>9.0399999999999994E-2</v>
      </c>
      <c r="ED41" s="228">
        <v>0.44</v>
      </c>
      <c r="EE41" s="229">
        <v>3.0000000000000001E-3</v>
      </c>
      <c r="EF41" s="230">
        <v>18043961</v>
      </c>
      <c r="EG41" s="230">
        <v>11008527</v>
      </c>
      <c r="EH41" s="229">
        <v>0.6391</v>
      </c>
      <c r="EI41" s="229">
        <v>0.56159999999999999</v>
      </c>
      <c r="EJ41" s="231">
        <v>261969.17</v>
      </c>
      <c r="EK41" s="231">
        <v>93553.55</v>
      </c>
      <c r="EL41" s="231">
        <v>80415.42</v>
      </c>
      <c r="EM41" s="231">
        <v>6521</v>
      </c>
      <c r="EN41" s="231">
        <v>435938.14</v>
      </c>
      <c r="EO41" s="231">
        <v>194759.43</v>
      </c>
      <c r="EP41" s="231">
        <v>241178.71</v>
      </c>
      <c r="EQ41" s="229">
        <v>1.2383</v>
      </c>
      <c r="ER41" s="231">
        <v>287578</v>
      </c>
      <c r="ES41" s="231">
        <v>134174</v>
      </c>
      <c r="ET41" s="231">
        <v>286419</v>
      </c>
      <c r="EU41" s="231">
        <v>504315430</v>
      </c>
      <c r="EV41" s="231">
        <v>708171</v>
      </c>
      <c r="EW41" s="231">
        <v>678574</v>
      </c>
      <c r="EX41" s="231">
        <v>29597</v>
      </c>
      <c r="EY41" s="229">
        <v>4.36E-2</v>
      </c>
      <c r="EZ41" s="229">
        <v>0.93220000000000003</v>
      </c>
      <c r="FA41" s="227" t="s">
        <v>567</v>
      </c>
      <c r="FB41" s="161">
        <f t="shared" si="0"/>
        <v>17718750</v>
      </c>
    </row>
    <row r="42" spans="1:158" ht="17.25" hidden="1" thickBot="1" x14ac:dyDescent="0.3">
      <c r="A42" s="226">
        <v>46064</v>
      </c>
      <c r="B42" s="227" t="s">
        <v>175</v>
      </c>
      <c r="C42" s="227" t="s">
        <v>597</v>
      </c>
      <c r="D42" s="228">
        <v>475</v>
      </c>
      <c r="E42" s="231">
        <v>1398.9</v>
      </c>
      <c r="F42" s="231">
        <v>1401.1</v>
      </c>
      <c r="G42" s="228">
        <v>-2.2000000000000002</v>
      </c>
      <c r="H42" s="229">
        <v>-1.6000000000000001E-3</v>
      </c>
      <c r="I42" s="231">
        <v>1397.2</v>
      </c>
      <c r="J42" s="231">
        <v>1400.9</v>
      </c>
      <c r="K42" s="228">
        <v>-3.7</v>
      </c>
      <c r="L42" s="229">
        <v>-2.5999999999999999E-3</v>
      </c>
      <c r="M42" s="231">
        <v>1398.9</v>
      </c>
      <c r="N42" s="231">
        <v>1401.1</v>
      </c>
      <c r="O42" s="228">
        <v>-2.2000000000000002</v>
      </c>
      <c r="P42" s="229">
        <v>-1.6000000000000001E-3</v>
      </c>
      <c r="Q42" s="231">
        <v>1398</v>
      </c>
      <c r="R42" s="231">
        <v>1399.5</v>
      </c>
      <c r="S42" s="228">
        <v>-1.5</v>
      </c>
      <c r="T42" s="229">
        <v>-1.1000000000000001E-3</v>
      </c>
      <c r="U42" s="231">
        <v>1399.8</v>
      </c>
      <c r="V42" s="231">
        <v>1401.2</v>
      </c>
      <c r="W42" s="228">
        <v>-1.4</v>
      </c>
      <c r="X42" s="229">
        <v>-1E-3</v>
      </c>
      <c r="Y42" s="228">
        <v>1.7</v>
      </c>
      <c r="Z42" s="228">
        <v>0.2</v>
      </c>
      <c r="AA42" s="228">
        <v>1.5</v>
      </c>
      <c r="AB42" s="229">
        <v>1.1999999999999999E-3</v>
      </c>
      <c r="AC42" s="228">
        <v>1.7</v>
      </c>
      <c r="AD42" s="228">
        <v>0.2</v>
      </c>
      <c r="AE42" s="228">
        <v>1.5</v>
      </c>
      <c r="AF42" s="229">
        <v>1.1999999999999999E-3</v>
      </c>
      <c r="AG42" s="228">
        <v>0.8</v>
      </c>
      <c r="AH42" s="228">
        <v>-1.4</v>
      </c>
      <c r="AI42" s="228">
        <v>2.2000000000000002</v>
      </c>
      <c r="AJ42" s="229">
        <v>5.9999999999999995E-4</v>
      </c>
      <c r="AK42" s="228">
        <v>2.6</v>
      </c>
      <c r="AL42" s="228">
        <v>0.3</v>
      </c>
      <c r="AM42" s="228">
        <v>2.2999999999999998</v>
      </c>
      <c r="AN42" s="229">
        <v>1.9E-3</v>
      </c>
      <c r="AO42" s="231">
        <v>1395.26</v>
      </c>
      <c r="AP42" s="231">
        <v>1394.26</v>
      </c>
      <c r="AQ42" s="228">
        <v>0</v>
      </c>
      <c r="AR42" s="230">
        <v>1936100</v>
      </c>
      <c r="AS42" s="230">
        <v>4282600</v>
      </c>
      <c r="AT42" s="230">
        <v>-2346500</v>
      </c>
      <c r="AU42" s="229">
        <v>-0.54790000000000005</v>
      </c>
      <c r="AV42" s="230">
        <v>1422150</v>
      </c>
      <c r="AW42" s="230">
        <v>3405750</v>
      </c>
      <c r="AX42" s="230">
        <v>-1983600</v>
      </c>
      <c r="AY42" s="229">
        <v>-0.58240000000000003</v>
      </c>
      <c r="AZ42" s="230">
        <v>466450</v>
      </c>
      <c r="BA42" s="230">
        <v>765225</v>
      </c>
      <c r="BB42" s="230">
        <v>-298775</v>
      </c>
      <c r="BC42" s="229">
        <v>-0.39040000000000002</v>
      </c>
      <c r="BD42" s="230">
        <v>47500</v>
      </c>
      <c r="BE42" s="230">
        <v>111625</v>
      </c>
      <c r="BF42" s="230">
        <v>-64125</v>
      </c>
      <c r="BG42" s="229">
        <v>-0.57450000000000001</v>
      </c>
      <c r="BH42" s="230">
        <v>10005875</v>
      </c>
      <c r="BI42" s="230">
        <v>24773625</v>
      </c>
      <c r="BJ42" s="230">
        <v>-14767750</v>
      </c>
      <c r="BK42" s="229">
        <v>-0.59609999999999996</v>
      </c>
      <c r="BL42" s="230">
        <v>3913525</v>
      </c>
      <c r="BM42" s="230">
        <v>7597150</v>
      </c>
      <c r="BN42" s="230">
        <v>-3683625</v>
      </c>
      <c r="BO42" s="229">
        <v>-0.4849</v>
      </c>
      <c r="BP42" s="230">
        <v>15855500</v>
      </c>
      <c r="BQ42" s="230">
        <v>36653375</v>
      </c>
      <c r="BR42" s="230">
        <v>-20797875</v>
      </c>
      <c r="BS42" s="229">
        <v>-0.56740000000000002</v>
      </c>
      <c r="BT42" s="230">
        <v>1302246</v>
      </c>
      <c r="BU42" s="230">
        <v>2540851</v>
      </c>
      <c r="BV42" s="230">
        <v>-1238605</v>
      </c>
      <c r="BW42" s="229">
        <v>-0.48749999999999999</v>
      </c>
      <c r="BX42" s="230">
        <v>11775250</v>
      </c>
      <c r="BY42" s="230">
        <v>11576700</v>
      </c>
      <c r="BZ42" s="230">
        <v>198550</v>
      </c>
      <c r="CA42" s="229">
        <v>1.72E-2</v>
      </c>
      <c r="CB42" s="230">
        <v>9573150</v>
      </c>
      <c r="CC42" s="230">
        <v>9516150</v>
      </c>
      <c r="CD42" s="230">
        <v>57000</v>
      </c>
      <c r="CE42" s="229">
        <v>6.0000000000000001E-3</v>
      </c>
      <c r="CF42" s="230">
        <v>1981700</v>
      </c>
      <c r="CG42" s="230">
        <v>1853450</v>
      </c>
      <c r="CH42" s="230">
        <v>128250</v>
      </c>
      <c r="CI42" s="229">
        <v>6.9199999999999998E-2</v>
      </c>
      <c r="CJ42" s="230">
        <v>220400</v>
      </c>
      <c r="CK42" s="230">
        <v>207100</v>
      </c>
      <c r="CL42" s="230">
        <v>13300</v>
      </c>
      <c r="CM42" s="229">
        <v>6.4199999999999993E-2</v>
      </c>
      <c r="CN42" s="230">
        <v>8652600</v>
      </c>
      <c r="CO42" s="230">
        <v>8388025</v>
      </c>
      <c r="CP42" s="230">
        <v>264575</v>
      </c>
      <c r="CQ42" s="229">
        <v>3.15E-2</v>
      </c>
      <c r="CR42" s="230">
        <v>6025375</v>
      </c>
      <c r="CS42" s="230">
        <v>5895700</v>
      </c>
      <c r="CT42" s="230">
        <v>129675</v>
      </c>
      <c r="CU42" s="229">
        <v>2.1999999999999999E-2</v>
      </c>
      <c r="CV42" s="230">
        <v>26453225</v>
      </c>
      <c r="CW42" s="230">
        <v>25860425</v>
      </c>
      <c r="CX42" s="230">
        <v>592800</v>
      </c>
      <c r="CY42" s="229">
        <v>2.29E-2</v>
      </c>
      <c r="CZ42" s="228">
        <v>34.299999999999997</v>
      </c>
      <c r="DA42" s="228">
        <v>34.22</v>
      </c>
      <c r="DB42" s="228">
        <v>0.08</v>
      </c>
      <c r="DC42" s="228">
        <v>0.08</v>
      </c>
      <c r="DD42" s="228">
        <v>45.55</v>
      </c>
      <c r="DE42" s="228">
        <v>45.66</v>
      </c>
      <c r="DF42" s="228">
        <v>-11.25</v>
      </c>
      <c r="DG42" s="228">
        <v>-0.11</v>
      </c>
      <c r="DH42" s="228">
        <v>33.729999999999997</v>
      </c>
      <c r="DI42" s="228">
        <v>33.57</v>
      </c>
      <c r="DJ42" s="228">
        <v>0.16</v>
      </c>
      <c r="DK42" s="228">
        <v>0.16</v>
      </c>
      <c r="DL42" s="228">
        <v>35.770000000000003</v>
      </c>
      <c r="DM42" s="228">
        <v>36.33</v>
      </c>
      <c r="DN42" s="228">
        <v>-0.56000000000000005</v>
      </c>
      <c r="DO42" s="228">
        <v>-0.56000000000000005</v>
      </c>
      <c r="DP42" s="228">
        <v>0.7</v>
      </c>
      <c r="DQ42" s="228">
        <v>0.7</v>
      </c>
      <c r="DR42" s="228">
        <v>0</v>
      </c>
      <c r="DS42" s="229">
        <v>0</v>
      </c>
      <c r="DT42" s="231">
        <v>1400</v>
      </c>
      <c r="DU42" s="231">
        <v>1400</v>
      </c>
      <c r="DV42" s="228">
        <v>0.39</v>
      </c>
      <c r="DW42" s="228">
        <v>0.31</v>
      </c>
      <c r="DX42" s="228">
        <v>0.08</v>
      </c>
      <c r="DY42" s="229">
        <v>0.2581</v>
      </c>
      <c r="DZ42" s="229">
        <v>0.187</v>
      </c>
      <c r="EA42" s="230">
        <v>2060550</v>
      </c>
      <c r="EB42" s="229">
        <v>-5.9999999999999995E-4</v>
      </c>
      <c r="EC42" s="229">
        <v>0.187</v>
      </c>
      <c r="ED42" s="228">
        <v>-1</v>
      </c>
      <c r="EE42" s="229">
        <v>-6.9999999999999999E-4</v>
      </c>
      <c r="EF42" s="230">
        <v>414549</v>
      </c>
      <c r="EG42" s="230">
        <v>686111</v>
      </c>
      <c r="EH42" s="229">
        <v>-0.39579999999999999</v>
      </c>
      <c r="EI42" s="229">
        <v>0.31830000000000003</v>
      </c>
      <c r="EJ42" s="231">
        <v>146745.60999999999</v>
      </c>
      <c r="EK42" s="231">
        <v>53623.48</v>
      </c>
      <c r="EL42" s="231">
        <v>27009.41</v>
      </c>
      <c r="EM42" s="231">
        <v>6421</v>
      </c>
      <c r="EN42" s="231">
        <v>227378.5</v>
      </c>
      <c r="EO42" s="231">
        <v>526015.03</v>
      </c>
      <c r="EP42" s="231">
        <v>-298636.53000000003</v>
      </c>
      <c r="EQ42" s="229">
        <v>-0.56769999999999998</v>
      </c>
      <c r="ER42" s="231">
        <v>122963</v>
      </c>
      <c r="ES42" s="231">
        <v>80915</v>
      </c>
      <c r="ET42" s="231">
        <v>164708</v>
      </c>
      <c r="EU42" s="231">
        <v>26647500</v>
      </c>
      <c r="EV42" s="231">
        <v>368586</v>
      </c>
      <c r="EW42" s="231">
        <v>360160</v>
      </c>
      <c r="EX42" s="231">
        <v>8426</v>
      </c>
      <c r="EY42" s="229">
        <v>2.3400000000000001E-2</v>
      </c>
      <c r="EZ42" s="229">
        <v>0.99270000000000003</v>
      </c>
      <c r="FA42" s="227" t="s">
        <v>567</v>
      </c>
      <c r="FB42" s="161">
        <f t="shared" si="0"/>
        <v>2202100</v>
      </c>
    </row>
    <row r="43" spans="1:158" ht="17.25" hidden="1" thickBot="1" x14ac:dyDescent="0.3">
      <c r="A43" s="226">
        <v>46064</v>
      </c>
      <c r="B43" s="227" t="s">
        <v>161</v>
      </c>
      <c r="C43" s="227" t="s">
        <v>612</v>
      </c>
      <c r="D43" s="228">
        <v>850</v>
      </c>
      <c r="E43" s="228">
        <v>684.75</v>
      </c>
      <c r="F43" s="228">
        <v>682</v>
      </c>
      <c r="G43" s="228">
        <v>2.75</v>
      </c>
      <c r="H43" s="229">
        <v>4.0000000000000001E-3</v>
      </c>
      <c r="I43" s="228">
        <v>685.6</v>
      </c>
      <c r="J43" s="228">
        <v>681.55</v>
      </c>
      <c r="K43" s="228">
        <v>4.05</v>
      </c>
      <c r="L43" s="229">
        <v>5.8999999999999999E-3</v>
      </c>
      <c r="M43" s="228">
        <v>684.75</v>
      </c>
      <c r="N43" s="228">
        <v>682</v>
      </c>
      <c r="O43" s="228">
        <v>2.75</v>
      </c>
      <c r="P43" s="229">
        <v>4.0000000000000001E-3</v>
      </c>
      <c r="Q43" s="228">
        <v>687.55</v>
      </c>
      <c r="R43" s="228">
        <v>685.2</v>
      </c>
      <c r="S43" s="228">
        <v>2.35</v>
      </c>
      <c r="T43" s="229">
        <v>3.3999999999999998E-3</v>
      </c>
      <c r="U43" s="228">
        <v>692.7</v>
      </c>
      <c r="V43" s="228">
        <v>688.1</v>
      </c>
      <c r="W43" s="228">
        <v>4.5999999999999996</v>
      </c>
      <c r="X43" s="229">
        <v>6.7000000000000002E-3</v>
      </c>
      <c r="Y43" s="228">
        <v>-0.85</v>
      </c>
      <c r="Z43" s="228">
        <v>0.45</v>
      </c>
      <c r="AA43" s="228">
        <v>-1.3</v>
      </c>
      <c r="AB43" s="229">
        <v>-1.1999999999999999E-3</v>
      </c>
      <c r="AC43" s="228">
        <v>-0.85</v>
      </c>
      <c r="AD43" s="228">
        <v>0.45</v>
      </c>
      <c r="AE43" s="228">
        <v>-1.3</v>
      </c>
      <c r="AF43" s="229">
        <v>-1.1999999999999999E-3</v>
      </c>
      <c r="AG43" s="228">
        <v>1.95</v>
      </c>
      <c r="AH43" s="228">
        <v>3.65</v>
      </c>
      <c r="AI43" s="228">
        <v>-1.7</v>
      </c>
      <c r="AJ43" s="229">
        <v>2.8E-3</v>
      </c>
      <c r="AK43" s="228">
        <v>7.1</v>
      </c>
      <c r="AL43" s="228">
        <v>6.55</v>
      </c>
      <c r="AM43" s="228">
        <v>0.55000000000000004</v>
      </c>
      <c r="AN43" s="229">
        <v>1.04E-2</v>
      </c>
      <c r="AO43" s="228">
        <v>681.7</v>
      </c>
      <c r="AP43" s="228">
        <v>683.56</v>
      </c>
      <c r="AQ43" s="228">
        <v>0</v>
      </c>
      <c r="AR43" s="230">
        <v>2113100</v>
      </c>
      <c r="AS43" s="230">
        <v>2895100</v>
      </c>
      <c r="AT43" s="230">
        <v>-782000</v>
      </c>
      <c r="AU43" s="229">
        <v>-0.27010000000000001</v>
      </c>
      <c r="AV43" s="230">
        <v>2006850</v>
      </c>
      <c r="AW43" s="230">
        <v>2618000</v>
      </c>
      <c r="AX43" s="230">
        <v>-611150</v>
      </c>
      <c r="AY43" s="229">
        <v>-0.2334</v>
      </c>
      <c r="AZ43" s="230">
        <v>91800</v>
      </c>
      <c r="BA43" s="230">
        <v>227800</v>
      </c>
      <c r="BB43" s="230">
        <v>-136000</v>
      </c>
      <c r="BC43" s="229">
        <v>-0.59699999999999998</v>
      </c>
      <c r="BD43" s="230">
        <v>14450</v>
      </c>
      <c r="BE43" s="230">
        <v>49300</v>
      </c>
      <c r="BF43" s="230">
        <v>-34850</v>
      </c>
      <c r="BG43" s="229">
        <v>-0.70689999999999997</v>
      </c>
      <c r="BH43" s="230">
        <v>5136550</v>
      </c>
      <c r="BI43" s="230">
        <v>8301950</v>
      </c>
      <c r="BJ43" s="230">
        <v>-3165400</v>
      </c>
      <c r="BK43" s="229">
        <v>-0.38129999999999997</v>
      </c>
      <c r="BL43" s="230">
        <v>2812650</v>
      </c>
      <c r="BM43" s="230">
        <v>6173550</v>
      </c>
      <c r="BN43" s="230">
        <v>-3360900</v>
      </c>
      <c r="BO43" s="229">
        <v>-0.5444</v>
      </c>
      <c r="BP43" s="230">
        <v>10062300</v>
      </c>
      <c r="BQ43" s="230">
        <v>17370600</v>
      </c>
      <c r="BR43" s="230">
        <v>-7308300</v>
      </c>
      <c r="BS43" s="229">
        <v>-0.42070000000000002</v>
      </c>
      <c r="BT43" s="230">
        <v>2210755</v>
      </c>
      <c r="BU43" s="230">
        <v>3653066</v>
      </c>
      <c r="BV43" s="230">
        <v>-1442311</v>
      </c>
      <c r="BW43" s="229">
        <v>-0.39479999999999998</v>
      </c>
      <c r="BX43" s="230">
        <v>14870750</v>
      </c>
      <c r="BY43" s="230">
        <v>14892000</v>
      </c>
      <c r="BZ43" s="230">
        <v>-21250</v>
      </c>
      <c r="CA43" s="229">
        <v>-1.4E-3</v>
      </c>
      <c r="CB43" s="230">
        <v>14315700</v>
      </c>
      <c r="CC43" s="230">
        <v>14345450</v>
      </c>
      <c r="CD43" s="230">
        <v>-29750</v>
      </c>
      <c r="CE43" s="229">
        <v>-2.0999999999999999E-3</v>
      </c>
      <c r="CF43" s="230">
        <v>511700</v>
      </c>
      <c r="CG43" s="230">
        <v>506600</v>
      </c>
      <c r="CH43" s="230">
        <v>5100</v>
      </c>
      <c r="CI43" s="229">
        <v>1.01E-2</v>
      </c>
      <c r="CJ43" s="230">
        <v>43350</v>
      </c>
      <c r="CK43" s="230">
        <v>39950</v>
      </c>
      <c r="CL43" s="230">
        <v>3400</v>
      </c>
      <c r="CM43" s="229">
        <v>8.5099999999999995E-2</v>
      </c>
      <c r="CN43" s="230">
        <v>7523350</v>
      </c>
      <c r="CO43" s="230">
        <v>7969600</v>
      </c>
      <c r="CP43" s="230">
        <v>-446250</v>
      </c>
      <c r="CQ43" s="229">
        <v>-5.6000000000000001E-2</v>
      </c>
      <c r="CR43" s="230">
        <v>6673350</v>
      </c>
      <c r="CS43" s="230">
        <v>6608750</v>
      </c>
      <c r="CT43" s="230">
        <v>64600</v>
      </c>
      <c r="CU43" s="229">
        <v>9.7999999999999997E-3</v>
      </c>
      <c r="CV43" s="230">
        <v>29067450</v>
      </c>
      <c r="CW43" s="230">
        <v>29470350</v>
      </c>
      <c r="CX43" s="230">
        <v>-402900</v>
      </c>
      <c r="CY43" s="229">
        <v>-1.37E-2</v>
      </c>
      <c r="CZ43" s="228">
        <v>34.26</v>
      </c>
      <c r="DA43" s="228">
        <v>34.5</v>
      </c>
      <c r="DB43" s="228">
        <v>-0.24</v>
      </c>
      <c r="DC43" s="228">
        <v>-0.24</v>
      </c>
      <c r="DD43" s="228">
        <v>42.01</v>
      </c>
      <c r="DE43" s="228">
        <v>42.11</v>
      </c>
      <c r="DF43" s="228">
        <v>-7.75</v>
      </c>
      <c r="DG43" s="228">
        <v>-0.1</v>
      </c>
      <c r="DH43" s="228">
        <v>32.57</v>
      </c>
      <c r="DI43" s="228">
        <v>33.31</v>
      </c>
      <c r="DJ43" s="228">
        <v>-0.74</v>
      </c>
      <c r="DK43" s="228">
        <v>-0.74</v>
      </c>
      <c r="DL43" s="228">
        <v>37.35</v>
      </c>
      <c r="DM43" s="228">
        <v>36.090000000000003</v>
      </c>
      <c r="DN43" s="228">
        <v>1.26</v>
      </c>
      <c r="DO43" s="228">
        <v>1.26</v>
      </c>
      <c r="DP43" s="228">
        <v>0.89</v>
      </c>
      <c r="DQ43" s="228">
        <v>0.83</v>
      </c>
      <c r="DR43" s="228">
        <v>0.06</v>
      </c>
      <c r="DS43" s="229">
        <v>7.2300000000000003E-2</v>
      </c>
      <c r="DT43" s="228">
        <v>700</v>
      </c>
      <c r="DU43" s="228">
        <v>650</v>
      </c>
      <c r="DV43" s="228">
        <v>0.55000000000000004</v>
      </c>
      <c r="DW43" s="228">
        <v>0.74</v>
      </c>
      <c r="DX43" s="228">
        <v>-0.19</v>
      </c>
      <c r="DY43" s="229">
        <v>-0.25679999999999997</v>
      </c>
      <c r="DZ43" s="229">
        <v>3.73E-2</v>
      </c>
      <c r="EA43" s="230">
        <v>546550</v>
      </c>
      <c r="EB43" s="229">
        <v>4.1000000000000003E-3</v>
      </c>
      <c r="EC43" s="229">
        <v>3.73E-2</v>
      </c>
      <c r="ED43" s="228">
        <v>1.86</v>
      </c>
      <c r="EE43" s="229">
        <v>2.7000000000000001E-3</v>
      </c>
      <c r="EF43" s="230">
        <v>1260231</v>
      </c>
      <c r="EG43" s="230">
        <v>1862221</v>
      </c>
      <c r="EH43" s="229">
        <v>-0.32329999999999998</v>
      </c>
      <c r="EI43" s="229">
        <v>0.56999999999999995</v>
      </c>
      <c r="EJ43" s="231">
        <v>36418.74</v>
      </c>
      <c r="EK43" s="231">
        <v>18481.71</v>
      </c>
      <c r="EL43" s="231">
        <v>14407.62</v>
      </c>
      <c r="EM43" s="231">
        <v>3688</v>
      </c>
      <c r="EN43" s="231">
        <v>69308.070000000007</v>
      </c>
      <c r="EO43" s="231">
        <v>119763.82</v>
      </c>
      <c r="EP43" s="231">
        <v>-50455.75</v>
      </c>
      <c r="EQ43" s="229">
        <v>-0.42130000000000001</v>
      </c>
      <c r="ER43" s="231">
        <v>49809</v>
      </c>
      <c r="ES43" s="231">
        <v>40507</v>
      </c>
      <c r="ET43" s="231">
        <v>101845</v>
      </c>
      <c r="EU43" s="231">
        <v>103060454</v>
      </c>
      <c r="EV43" s="231">
        <v>192161</v>
      </c>
      <c r="EW43" s="231">
        <v>194393</v>
      </c>
      <c r="EX43" s="231">
        <v>-2232</v>
      </c>
      <c r="EY43" s="229">
        <v>-1.15E-2</v>
      </c>
      <c r="EZ43" s="229">
        <v>0.28199999999999997</v>
      </c>
      <c r="FA43" s="227" t="s">
        <v>556</v>
      </c>
      <c r="FB43" s="161">
        <f t="shared" si="0"/>
        <v>555050</v>
      </c>
    </row>
    <row r="44" spans="1:158" ht="17.25" hidden="1" thickBot="1" x14ac:dyDescent="0.3">
      <c r="A44" s="226">
        <v>46064</v>
      </c>
      <c r="B44" s="227" t="s">
        <v>175</v>
      </c>
      <c r="C44" s="227" t="s">
        <v>198</v>
      </c>
      <c r="D44" s="228">
        <v>625</v>
      </c>
      <c r="E44" s="231">
        <v>1724.6</v>
      </c>
      <c r="F44" s="231">
        <v>1731.9</v>
      </c>
      <c r="G44" s="228">
        <v>-7.3</v>
      </c>
      <c r="H44" s="229">
        <v>-4.1999999999999997E-3</v>
      </c>
      <c r="I44" s="231">
        <v>1723</v>
      </c>
      <c r="J44" s="231">
        <v>1726.2</v>
      </c>
      <c r="K44" s="228">
        <v>-3.2</v>
      </c>
      <c r="L44" s="229">
        <v>-1.9E-3</v>
      </c>
      <c r="M44" s="231">
        <v>1724.6</v>
      </c>
      <c r="N44" s="231">
        <v>1731.9</v>
      </c>
      <c r="O44" s="228">
        <v>-7.3</v>
      </c>
      <c r="P44" s="229">
        <v>-4.1999999999999997E-3</v>
      </c>
      <c r="Q44" s="231">
        <v>1731.4</v>
      </c>
      <c r="R44" s="231">
        <v>1739.6</v>
      </c>
      <c r="S44" s="228">
        <v>-8.1999999999999993</v>
      </c>
      <c r="T44" s="229">
        <v>-4.7000000000000002E-3</v>
      </c>
      <c r="U44" s="231">
        <v>1750</v>
      </c>
      <c r="V44" s="231">
        <v>1746.5</v>
      </c>
      <c r="W44" s="228">
        <v>3.5</v>
      </c>
      <c r="X44" s="229">
        <v>2E-3</v>
      </c>
      <c r="Y44" s="228">
        <v>1.6</v>
      </c>
      <c r="Z44" s="228">
        <v>5.7</v>
      </c>
      <c r="AA44" s="228">
        <v>-4.0999999999999996</v>
      </c>
      <c r="AB44" s="229">
        <v>8.9999999999999998E-4</v>
      </c>
      <c r="AC44" s="228">
        <v>1.6</v>
      </c>
      <c r="AD44" s="228">
        <v>5.7</v>
      </c>
      <c r="AE44" s="228">
        <v>-4.0999999999999996</v>
      </c>
      <c r="AF44" s="229">
        <v>8.9999999999999998E-4</v>
      </c>
      <c r="AG44" s="228">
        <v>8.4</v>
      </c>
      <c r="AH44" s="228">
        <v>13.4</v>
      </c>
      <c r="AI44" s="228">
        <v>-5</v>
      </c>
      <c r="AJ44" s="229">
        <v>4.8999999999999998E-3</v>
      </c>
      <c r="AK44" s="228">
        <v>27</v>
      </c>
      <c r="AL44" s="228">
        <v>20.3</v>
      </c>
      <c r="AM44" s="228">
        <v>6.7</v>
      </c>
      <c r="AN44" s="229">
        <v>1.5699999999999999E-2</v>
      </c>
      <c r="AO44" s="231">
        <v>1727.66</v>
      </c>
      <c r="AP44" s="231">
        <v>1735.98</v>
      </c>
      <c r="AQ44" s="228">
        <v>0</v>
      </c>
      <c r="AR44" s="230">
        <v>946250</v>
      </c>
      <c r="AS44" s="230">
        <v>1742500</v>
      </c>
      <c r="AT44" s="230">
        <v>-796250</v>
      </c>
      <c r="AU44" s="229">
        <v>-0.45700000000000002</v>
      </c>
      <c r="AV44" s="230">
        <v>897500</v>
      </c>
      <c r="AW44" s="230">
        <v>1623750</v>
      </c>
      <c r="AX44" s="230">
        <v>-726250</v>
      </c>
      <c r="AY44" s="229">
        <v>-0.44729999999999998</v>
      </c>
      <c r="AZ44" s="230">
        <v>46875</v>
      </c>
      <c r="BA44" s="230">
        <v>108750</v>
      </c>
      <c r="BB44" s="230">
        <v>-61875</v>
      </c>
      <c r="BC44" s="229">
        <v>-0.56899999999999995</v>
      </c>
      <c r="BD44" s="230">
        <v>1875</v>
      </c>
      <c r="BE44" s="230">
        <v>10000</v>
      </c>
      <c r="BF44" s="230">
        <v>-8125</v>
      </c>
      <c r="BG44" s="229">
        <v>-0.8125</v>
      </c>
      <c r="BH44" s="230">
        <v>1798125</v>
      </c>
      <c r="BI44" s="230">
        <v>3719375</v>
      </c>
      <c r="BJ44" s="230">
        <v>-1921250</v>
      </c>
      <c r="BK44" s="229">
        <v>-0.51659999999999995</v>
      </c>
      <c r="BL44" s="230">
        <v>1008125</v>
      </c>
      <c r="BM44" s="230">
        <v>3110625</v>
      </c>
      <c r="BN44" s="230">
        <v>-2102500</v>
      </c>
      <c r="BO44" s="229">
        <v>-0.67589999999999995</v>
      </c>
      <c r="BP44" s="230">
        <v>3752500</v>
      </c>
      <c r="BQ44" s="230">
        <v>8572500</v>
      </c>
      <c r="BR44" s="230">
        <v>-4820000</v>
      </c>
      <c r="BS44" s="229">
        <v>-0.56230000000000002</v>
      </c>
      <c r="BT44" s="230">
        <v>332847</v>
      </c>
      <c r="BU44" s="230">
        <v>1182720</v>
      </c>
      <c r="BV44" s="230">
        <v>-849873</v>
      </c>
      <c r="BW44" s="229">
        <v>-0.71860000000000002</v>
      </c>
      <c r="BX44" s="230">
        <v>13004375</v>
      </c>
      <c r="BY44" s="230">
        <v>13161250</v>
      </c>
      <c r="BZ44" s="230">
        <v>-156875</v>
      </c>
      <c r="CA44" s="229">
        <v>-1.1900000000000001E-2</v>
      </c>
      <c r="CB44" s="230">
        <v>12790625</v>
      </c>
      <c r="CC44" s="230">
        <v>12960625</v>
      </c>
      <c r="CD44" s="230">
        <v>-170000</v>
      </c>
      <c r="CE44" s="229">
        <v>-1.3100000000000001E-2</v>
      </c>
      <c r="CF44" s="230">
        <v>195625</v>
      </c>
      <c r="CG44" s="230">
        <v>182500</v>
      </c>
      <c r="CH44" s="230">
        <v>13125</v>
      </c>
      <c r="CI44" s="229">
        <v>7.1900000000000006E-2</v>
      </c>
      <c r="CJ44" s="230">
        <v>18125</v>
      </c>
      <c r="CK44" s="230">
        <v>18125</v>
      </c>
      <c r="CL44" s="228">
        <v>0</v>
      </c>
      <c r="CM44" s="229">
        <v>0</v>
      </c>
      <c r="CN44" s="230">
        <v>3270000</v>
      </c>
      <c r="CO44" s="230">
        <v>3201250</v>
      </c>
      <c r="CP44" s="230">
        <v>68750</v>
      </c>
      <c r="CQ44" s="229">
        <v>2.1499999999999998E-2</v>
      </c>
      <c r="CR44" s="230">
        <v>2884375</v>
      </c>
      <c r="CS44" s="230">
        <v>2920000</v>
      </c>
      <c r="CT44" s="230">
        <v>-35625</v>
      </c>
      <c r="CU44" s="229">
        <v>-1.2200000000000001E-2</v>
      </c>
      <c r="CV44" s="230">
        <v>19158750</v>
      </c>
      <c r="CW44" s="230">
        <v>19282500</v>
      </c>
      <c r="CX44" s="230">
        <v>-123750</v>
      </c>
      <c r="CY44" s="229">
        <v>-6.4000000000000003E-3</v>
      </c>
      <c r="CZ44" s="228">
        <v>27.09</v>
      </c>
      <c r="DA44" s="228">
        <v>27.71</v>
      </c>
      <c r="DB44" s="228">
        <v>-0.62</v>
      </c>
      <c r="DC44" s="228">
        <v>-0.62</v>
      </c>
      <c r="DD44" s="228">
        <v>37.479999999999997</v>
      </c>
      <c r="DE44" s="228">
        <v>37.57</v>
      </c>
      <c r="DF44" s="228">
        <v>-10.39</v>
      </c>
      <c r="DG44" s="228">
        <v>-0.09</v>
      </c>
      <c r="DH44" s="228">
        <v>26.39</v>
      </c>
      <c r="DI44" s="228">
        <v>26.83</v>
      </c>
      <c r="DJ44" s="228">
        <v>-0.44</v>
      </c>
      <c r="DK44" s="228">
        <v>-0.44</v>
      </c>
      <c r="DL44" s="228">
        <v>28.34</v>
      </c>
      <c r="DM44" s="228">
        <v>28.77</v>
      </c>
      <c r="DN44" s="228">
        <v>-0.43</v>
      </c>
      <c r="DO44" s="228">
        <v>-0.43</v>
      </c>
      <c r="DP44" s="228">
        <v>0.88</v>
      </c>
      <c r="DQ44" s="228">
        <v>0.91</v>
      </c>
      <c r="DR44" s="228">
        <v>-0.03</v>
      </c>
      <c r="DS44" s="229">
        <v>-3.3000000000000002E-2</v>
      </c>
      <c r="DT44" s="231">
        <v>1840</v>
      </c>
      <c r="DU44" s="231">
        <v>1700</v>
      </c>
      <c r="DV44" s="228">
        <v>0.56000000000000005</v>
      </c>
      <c r="DW44" s="228">
        <v>0.84</v>
      </c>
      <c r="DX44" s="228">
        <v>-0.28000000000000003</v>
      </c>
      <c r="DY44" s="229">
        <v>-0.33329999999999999</v>
      </c>
      <c r="DZ44" s="229">
        <v>1.6400000000000001E-2</v>
      </c>
      <c r="EA44" s="230">
        <v>200625</v>
      </c>
      <c r="EB44" s="229">
        <v>3.8999999999999998E-3</v>
      </c>
      <c r="EC44" s="229">
        <v>1.6400000000000001E-2</v>
      </c>
      <c r="ED44" s="228">
        <v>8.32</v>
      </c>
      <c r="EE44" s="229">
        <v>4.7999999999999996E-3</v>
      </c>
      <c r="EF44" s="230">
        <v>169389</v>
      </c>
      <c r="EG44" s="230">
        <v>798063</v>
      </c>
      <c r="EH44" s="229">
        <v>-0.78769999999999996</v>
      </c>
      <c r="EI44" s="229">
        <v>0.50890000000000002</v>
      </c>
      <c r="EJ44" s="231">
        <v>32468.5</v>
      </c>
      <c r="EK44" s="231">
        <v>17085.259999999998</v>
      </c>
      <c r="EL44" s="231">
        <v>16352.21</v>
      </c>
      <c r="EM44" s="231">
        <v>3486</v>
      </c>
      <c r="EN44" s="231">
        <v>65905.97</v>
      </c>
      <c r="EO44" s="231">
        <v>150752.76999999999</v>
      </c>
      <c r="EP44" s="231">
        <v>-84846.8</v>
      </c>
      <c r="EQ44" s="229">
        <v>-0.56279999999999997</v>
      </c>
      <c r="ER44" s="231">
        <v>57514</v>
      </c>
      <c r="ES44" s="231">
        <v>46860</v>
      </c>
      <c r="ET44" s="231">
        <v>224291</v>
      </c>
      <c r="EU44" s="231">
        <v>63257923</v>
      </c>
      <c r="EV44" s="231">
        <v>328665</v>
      </c>
      <c r="EW44" s="231">
        <v>331742</v>
      </c>
      <c r="EX44" s="231">
        <v>-3077</v>
      </c>
      <c r="EY44" s="229">
        <v>-9.2999999999999992E-3</v>
      </c>
      <c r="EZ44" s="229">
        <v>0.3029</v>
      </c>
      <c r="FA44" s="227" t="s">
        <v>568</v>
      </c>
      <c r="FB44" s="161">
        <f t="shared" si="0"/>
        <v>213750</v>
      </c>
    </row>
    <row r="45" spans="1:158" ht="17.25" hidden="1" thickBot="1" x14ac:dyDescent="0.3">
      <c r="A45" s="226">
        <v>46064</v>
      </c>
      <c r="B45" s="227" t="s">
        <v>170</v>
      </c>
      <c r="C45" s="227" t="s">
        <v>199</v>
      </c>
      <c r="D45" s="228">
        <v>375</v>
      </c>
      <c r="E45" s="231">
        <v>1350.8</v>
      </c>
      <c r="F45" s="231">
        <v>1346.3</v>
      </c>
      <c r="G45" s="228">
        <v>4.5</v>
      </c>
      <c r="H45" s="229">
        <v>3.3E-3</v>
      </c>
      <c r="I45" s="231">
        <v>1349.9</v>
      </c>
      <c r="J45" s="231">
        <v>1342.1</v>
      </c>
      <c r="K45" s="228">
        <v>7.8</v>
      </c>
      <c r="L45" s="229">
        <v>5.7999999999999996E-3</v>
      </c>
      <c r="M45" s="231">
        <v>1350.8</v>
      </c>
      <c r="N45" s="231">
        <v>1346.3</v>
      </c>
      <c r="O45" s="228">
        <v>4.5</v>
      </c>
      <c r="P45" s="229">
        <v>3.3E-3</v>
      </c>
      <c r="Q45" s="231">
        <v>1360.2</v>
      </c>
      <c r="R45" s="231">
        <v>1354.6</v>
      </c>
      <c r="S45" s="228">
        <v>5.6</v>
      </c>
      <c r="T45" s="229">
        <v>4.1000000000000003E-3</v>
      </c>
      <c r="U45" s="231">
        <v>1368.2</v>
      </c>
      <c r="V45" s="231">
        <v>1362.5</v>
      </c>
      <c r="W45" s="228">
        <v>5.7</v>
      </c>
      <c r="X45" s="229">
        <v>4.1999999999999997E-3</v>
      </c>
      <c r="Y45" s="228">
        <v>0.9</v>
      </c>
      <c r="Z45" s="228">
        <v>4.2</v>
      </c>
      <c r="AA45" s="228">
        <v>-3.3</v>
      </c>
      <c r="AB45" s="229">
        <v>6.9999999999999999E-4</v>
      </c>
      <c r="AC45" s="228">
        <v>0.9</v>
      </c>
      <c r="AD45" s="228">
        <v>4.2</v>
      </c>
      <c r="AE45" s="228">
        <v>-3.3</v>
      </c>
      <c r="AF45" s="229">
        <v>6.9999999999999999E-4</v>
      </c>
      <c r="AG45" s="228">
        <v>10.3</v>
      </c>
      <c r="AH45" s="228">
        <v>12.5</v>
      </c>
      <c r="AI45" s="228">
        <v>-2.2000000000000002</v>
      </c>
      <c r="AJ45" s="229">
        <v>7.6E-3</v>
      </c>
      <c r="AK45" s="228">
        <v>18.3</v>
      </c>
      <c r="AL45" s="228">
        <v>20.399999999999999</v>
      </c>
      <c r="AM45" s="228">
        <v>-2.1</v>
      </c>
      <c r="AN45" s="229">
        <v>1.3599999999999999E-2</v>
      </c>
      <c r="AO45" s="231">
        <v>1348.75</v>
      </c>
      <c r="AP45" s="231">
        <v>1357.54</v>
      </c>
      <c r="AQ45" s="228">
        <v>0</v>
      </c>
      <c r="AR45" s="230">
        <v>781875</v>
      </c>
      <c r="AS45" s="230">
        <v>1328625</v>
      </c>
      <c r="AT45" s="230">
        <v>-546750</v>
      </c>
      <c r="AU45" s="229">
        <v>-0.41149999999999998</v>
      </c>
      <c r="AV45" s="230">
        <v>684000</v>
      </c>
      <c r="AW45" s="230">
        <v>1204875</v>
      </c>
      <c r="AX45" s="230">
        <v>-520875</v>
      </c>
      <c r="AY45" s="229">
        <v>-0.43230000000000002</v>
      </c>
      <c r="AZ45" s="230">
        <v>85125</v>
      </c>
      <c r="BA45" s="230">
        <v>109875</v>
      </c>
      <c r="BB45" s="230">
        <v>-24750</v>
      </c>
      <c r="BC45" s="229">
        <v>-0.2253</v>
      </c>
      <c r="BD45" s="230">
        <v>12750</v>
      </c>
      <c r="BE45" s="230">
        <v>13875</v>
      </c>
      <c r="BF45" s="230">
        <v>-1125</v>
      </c>
      <c r="BG45" s="229">
        <v>-8.1100000000000005E-2</v>
      </c>
      <c r="BH45" s="230">
        <v>4203000</v>
      </c>
      <c r="BI45" s="230">
        <v>9274875</v>
      </c>
      <c r="BJ45" s="230">
        <v>-5071875</v>
      </c>
      <c r="BK45" s="229">
        <v>-0.54679999999999995</v>
      </c>
      <c r="BL45" s="230">
        <v>1524375</v>
      </c>
      <c r="BM45" s="230">
        <v>2910750</v>
      </c>
      <c r="BN45" s="230">
        <v>-1386375</v>
      </c>
      <c r="BO45" s="229">
        <v>-0.4763</v>
      </c>
      <c r="BP45" s="230">
        <v>6509250</v>
      </c>
      <c r="BQ45" s="230">
        <v>13514250</v>
      </c>
      <c r="BR45" s="230">
        <v>-7005000</v>
      </c>
      <c r="BS45" s="229">
        <v>-0.51829999999999998</v>
      </c>
      <c r="BT45" s="230">
        <v>871586</v>
      </c>
      <c r="BU45" s="230">
        <v>1079464</v>
      </c>
      <c r="BV45" s="230">
        <v>-207878</v>
      </c>
      <c r="BW45" s="229">
        <v>-0.19259999999999999</v>
      </c>
      <c r="BX45" s="230">
        <v>14167875</v>
      </c>
      <c r="BY45" s="230">
        <v>14298000</v>
      </c>
      <c r="BZ45" s="230">
        <v>-130125</v>
      </c>
      <c r="CA45" s="229">
        <v>-9.1000000000000004E-3</v>
      </c>
      <c r="CB45" s="230">
        <v>13610250</v>
      </c>
      <c r="CC45" s="230">
        <v>13749000</v>
      </c>
      <c r="CD45" s="230">
        <v>-138750</v>
      </c>
      <c r="CE45" s="229">
        <v>-1.01E-2</v>
      </c>
      <c r="CF45" s="230">
        <v>514875</v>
      </c>
      <c r="CG45" s="230">
        <v>507750</v>
      </c>
      <c r="CH45" s="230">
        <v>7125</v>
      </c>
      <c r="CI45" s="229">
        <v>1.4E-2</v>
      </c>
      <c r="CJ45" s="230">
        <v>42750</v>
      </c>
      <c r="CK45" s="230">
        <v>41250</v>
      </c>
      <c r="CL45" s="230">
        <v>1500</v>
      </c>
      <c r="CM45" s="229">
        <v>3.6400000000000002E-2</v>
      </c>
      <c r="CN45" s="230">
        <v>6609000</v>
      </c>
      <c r="CO45" s="230">
        <v>6683625</v>
      </c>
      <c r="CP45" s="230">
        <v>-74625</v>
      </c>
      <c r="CQ45" s="229">
        <v>-1.12E-2</v>
      </c>
      <c r="CR45" s="230">
        <v>4147500</v>
      </c>
      <c r="CS45" s="230">
        <v>4144125</v>
      </c>
      <c r="CT45" s="230">
        <v>3375</v>
      </c>
      <c r="CU45" s="229">
        <v>8.0000000000000004E-4</v>
      </c>
      <c r="CV45" s="230">
        <v>24924375</v>
      </c>
      <c r="CW45" s="230">
        <v>25125750</v>
      </c>
      <c r="CX45" s="230">
        <v>-201375</v>
      </c>
      <c r="CY45" s="229">
        <v>-8.0000000000000002E-3</v>
      </c>
      <c r="CZ45" s="228">
        <v>21.69</v>
      </c>
      <c r="DA45" s="228">
        <v>21.71</v>
      </c>
      <c r="DB45" s="228">
        <v>-0.02</v>
      </c>
      <c r="DC45" s="228">
        <v>-0.02</v>
      </c>
      <c r="DD45" s="228">
        <v>25.49</v>
      </c>
      <c r="DE45" s="228">
        <v>25.55</v>
      </c>
      <c r="DF45" s="228">
        <v>-3.8</v>
      </c>
      <c r="DG45" s="228">
        <v>-0.06</v>
      </c>
      <c r="DH45" s="228">
        <v>21.6</v>
      </c>
      <c r="DI45" s="228">
        <v>21.49</v>
      </c>
      <c r="DJ45" s="228">
        <v>0.11</v>
      </c>
      <c r="DK45" s="228">
        <v>0.11</v>
      </c>
      <c r="DL45" s="228">
        <v>21.96</v>
      </c>
      <c r="DM45" s="228">
        <v>22.43</v>
      </c>
      <c r="DN45" s="228">
        <v>-0.47</v>
      </c>
      <c r="DO45" s="228">
        <v>-0.47</v>
      </c>
      <c r="DP45" s="228">
        <v>0.63</v>
      </c>
      <c r="DQ45" s="228">
        <v>0.62</v>
      </c>
      <c r="DR45" s="228">
        <v>0.01</v>
      </c>
      <c r="DS45" s="229">
        <v>1.61E-2</v>
      </c>
      <c r="DT45" s="231">
        <v>1400</v>
      </c>
      <c r="DU45" s="231">
        <v>1300</v>
      </c>
      <c r="DV45" s="228">
        <v>0.36</v>
      </c>
      <c r="DW45" s="228">
        <v>0.31</v>
      </c>
      <c r="DX45" s="228">
        <v>0.05</v>
      </c>
      <c r="DY45" s="229">
        <v>0.1613</v>
      </c>
      <c r="DZ45" s="229">
        <v>3.9399999999999998E-2</v>
      </c>
      <c r="EA45" s="230">
        <v>549000</v>
      </c>
      <c r="EB45" s="229">
        <v>7.0000000000000001E-3</v>
      </c>
      <c r="EC45" s="229">
        <v>3.9399999999999998E-2</v>
      </c>
      <c r="ED45" s="228">
        <v>8.7899999999999991</v>
      </c>
      <c r="EE45" s="229">
        <v>6.4999999999999997E-3</v>
      </c>
      <c r="EF45" s="230">
        <v>437513</v>
      </c>
      <c r="EG45" s="230">
        <v>464554</v>
      </c>
      <c r="EH45" s="229">
        <v>-5.8200000000000002E-2</v>
      </c>
      <c r="EI45" s="229">
        <v>0.502</v>
      </c>
      <c r="EJ45" s="231">
        <v>58392.98</v>
      </c>
      <c r="EK45" s="231">
        <v>20385.77</v>
      </c>
      <c r="EL45" s="231">
        <v>10555.07</v>
      </c>
      <c r="EM45" s="231">
        <v>3644</v>
      </c>
      <c r="EN45" s="231">
        <v>89333.82</v>
      </c>
      <c r="EO45" s="231">
        <v>185252.22</v>
      </c>
      <c r="EP45" s="231">
        <v>-95918.399999999994</v>
      </c>
      <c r="EQ45" s="229">
        <v>-0.51780000000000004</v>
      </c>
      <c r="ER45" s="231">
        <v>92788</v>
      </c>
      <c r="ES45" s="231">
        <v>54345</v>
      </c>
      <c r="ET45" s="231">
        <v>191435</v>
      </c>
      <c r="EU45" s="231">
        <v>59297360</v>
      </c>
      <c r="EV45" s="231">
        <v>338568</v>
      </c>
      <c r="EW45" s="231">
        <v>340568</v>
      </c>
      <c r="EX45" s="231">
        <v>-2000</v>
      </c>
      <c r="EY45" s="229">
        <v>-5.8999999999999999E-3</v>
      </c>
      <c r="EZ45" s="229">
        <v>0.42030000000000001</v>
      </c>
      <c r="FA45" s="227" t="s">
        <v>556</v>
      </c>
      <c r="FB45" s="161">
        <f t="shared" si="0"/>
        <v>557625</v>
      </c>
    </row>
    <row r="46" spans="1:158" ht="17.25" hidden="1" thickBot="1" x14ac:dyDescent="0.3">
      <c r="A46" s="226">
        <v>46064</v>
      </c>
      <c r="B46" s="227" t="s">
        <v>227</v>
      </c>
      <c r="C46" s="227" t="s">
        <v>200</v>
      </c>
      <c r="D46" s="228">
        <v>1350</v>
      </c>
      <c r="E46" s="228">
        <v>417.5</v>
      </c>
      <c r="F46" s="228">
        <v>427.35</v>
      </c>
      <c r="G46" s="228">
        <v>-9.85</v>
      </c>
      <c r="H46" s="229">
        <v>-2.3E-2</v>
      </c>
      <c r="I46" s="228">
        <v>423.25</v>
      </c>
      <c r="J46" s="228">
        <v>430.95</v>
      </c>
      <c r="K46" s="228">
        <v>-7.7</v>
      </c>
      <c r="L46" s="229">
        <v>-1.7899999999999999E-2</v>
      </c>
      <c r="M46" s="228">
        <v>417.5</v>
      </c>
      <c r="N46" s="228">
        <v>427.35</v>
      </c>
      <c r="O46" s="228">
        <v>-9.85</v>
      </c>
      <c r="P46" s="229">
        <v>-2.3E-2</v>
      </c>
      <c r="Q46" s="228">
        <v>420.35</v>
      </c>
      <c r="R46" s="228">
        <v>430.05</v>
      </c>
      <c r="S46" s="228">
        <v>-9.6999999999999993</v>
      </c>
      <c r="T46" s="229">
        <v>-2.2599999999999999E-2</v>
      </c>
      <c r="U46" s="228">
        <v>422.85</v>
      </c>
      <c r="V46" s="228">
        <v>432.7</v>
      </c>
      <c r="W46" s="228">
        <v>-9.85</v>
      </c>
      <c r="X46" s="229">
        <v>-2.2800000000000001E-2</v>
      </c>
      <c r="Y46" s="228">
        <v>-5.75</v>
      </c>
      <c r="Z46" s="228">
        <v>-3.6</v>
      </c>
      <c r="AA46" s="228">
        <v>-2.15</v>
      </c>
      <c r="AB46" s="229">
        <v>-1.3599999999999999E-2</v>
      </c>
      <c r="AC46" s="228">
        <v>-5.75</v>
      </c>
      <c r="AD46" s="228">
        <v>-3.6</v>
      </c>
      <c r="AE46" s="228">
        <v>-2.15</v>
      </c>
      <c r="AF46" s="229">
        <v>-1.3599999999999999E-2</v>
      </c>
      <c r="AG46" s="228">
        <v>-2.9</v>
      </c>
      <c r="AH46" s="228">
        <v>-0.9</v>
      </c>
      <c r="AI46" s="228">
        <v>-2</v>
      </c>
      <c r="AJ46" s="229">
        <v>-6.8999999999999999E-3</v>
      </c>
      <c r="AK46" s="228">
        <v>-0.4</v>
      </c>
      <c r="AL46" s="228">
        <v>1.75</v>
      </c>
      <c r="AM46" s="228">
        <v>-2.15</v>
      </c>
      <c r="AN46" s="229">
        <v>-8.9999999999999998E-4</v>
      </c>
      <c r="AO46" s="228">
        <v>417.61</v>
      </c>
      <c r="AP46" s="228">
        <v>420.23</v>
      </c>
      <c r="AQ46" s="228">
        <v>0</v>
      </c>
      <c r="AR46" s="230">
        <v>7911000</v>
      </c>
      <c r="AS46" s="230">
        <v>4857300</v>
      </c>
      <c r="AT46" s="230">
        <v>3053700</v>
      </c>
      <c r="AU46" s="229">
        <v>0.62870000000000004</v>
      </c>
      <c r="AV46" s="230">
        <v>6968700</v>
      </c>
      <c r="AW46" s="230">
        <v>4369950</v>
      </c>
      <c r="AX46" s="230">
        <v>2598750</v>
      </c>
      <c r="AY46" s="229">
        <v>0.59470000000000001</v>
      </c>
      <c r="AZ46" s="230">
        <v>843750</v>
      </c>
      <c r="BA46" s="230">
        <v>442800</v>
      </c>
      <c r="BB46" s="230">
        <v>400950</v>
      </c>
      <c r="BC46" s="229">
        <v>0.90549999999999997</v>
      </c>
      <c r="BD46" s="230">
        <v>98550</v>
      </c>
      <c r="BE46" s="230">
        <v>44550</v>
      </c>
      <c r="BF46" s="230">
        <v>54000</v>
      </c>
      <c r="BG46" s="229">
        <v>1.2121</v>
      </c>
      <c r="BH46" s="230">
        <v>40505400</v>
      </c>
      <c r="BI46" s="230">
        <v>17024850</v>
      </c>
      <c r="BJ46" s="230">
        <v>23480550</v>
      </c>
      <c r="BK46" s="229">
        <v>1.3792</v>
      </c>
      <c r="BL46" s="230">
        <v>18829800</v>
      </c>
      <c r="BM46" s="230">
        <v>5433750</v>
      </c>
      <c r="BN46" s="230">
        <v>13396050</v>
      </c>
      <c r="BO46" s="229">
        <v>2.4653</v>
      </c>
      <c r="BP46" s="230">
        <v>67246200</v>
      </c>
      <c r="BQ46" s="230">
        <v>27315900</v>
      </c>
      <c r="BR46" s="230">
        <v>39930300</v>
      </c>
      <c r="BS46" s="229">
        <v>1.4618</v>
      </c>
      <c r="BT46" s="230">
        <v>6334113</v>
      </c>
      <c r="BU46" s="230">
        <v>5251206</v>
      </c>
      <c r="BV46" s="230">
        <v>1082907</v>
      </c>
      <c r="BW46" s="229">
        <v>0.20619999999999999</v>
      </c>
      <c r="BX46" s="230">
        <v>50225400</v>
      </c>
      <c r="BY46" s="230">
        <v>48385350</v>
      </c>
      <c r="BZ46" s="230">
        <v>1840050</v>
      </c>
      <c r="CA46" s="229">
        <v>3.7999999999999999E-2</v>
      </c>
      <c r="CB46" s="230">
        <v>48035700</v>
      </c>
      <c r="CC46" s="230">
        <v>46479150</v>
      </c>
      <c r="CD46" s="230">
        <v>1556550</v>
      </c>
      <c r="CE46" s="229">
        <v>3.3500000000000002E-2</v>
      </c>
      <c r="CF46" s="230">
        <v>1883250</v>
      </c>
      <c r="CG46" s="230">
        <v>1633500</v>
      </c>
      <c r="CH46" s="230">
        <v>249750</v>
      </c>
      <c r="CI46" s="229">
        <v>0.15290000000000001</v>
      </c>
      <c r="CJ46" s="230">
        <v>306450</v>
      </c>
      <c r="CK46" s="230">
        <v>272700</v>
      </c>
      <c r="CL46" s="230">
        <v>33750</v>
      </c>
      <c r="CM46" s="229">
        <v>0.12379999999999999</v>
      </c>
      <c r="CN46" s="230">
        <v>44481150</v>
      </c>
      <c r="CO46" s="230">
        <v>43347150</v>
      </c>
      <c r="CP46" s="230">
        <v>1134000</v>
      </c>
      <c r="CQ46" s="229">
        <v>2.6200000000000001E-2</v>
      </c>
      <c r="CR46" s="230">
        <v>22488300</v>
      </c>
      <c r="CS46" s="230">
        <v>21524400</v>
      </c>
      <c r="CT46" s="230">
        <v>963900</v>
      </c>
      <c r="CU46" s="229">
        <v>4.48E-2</v>
      </c>
      <c r="CV46" s="230">
        <v>117194850</v>
      </c>
      <c r="CW46" s="230">
        <v>113256900</v>
      </c>
      <c r="CX46" s="230">
        <v>3937950</v>
      </c>
      <c r="CY46" s="229">
        <v>3.4799999999999998E-2</v>
      </c>
      <c r="CZ46" s="228">
        <v>32.44</v>
      </c>
      <c r="DA46" s="228">
        <v>30.35</v>
      </c>
      <c r="DB46" s="228">
        <v>2.09</v>
      </c>
      <c r="DC46" s="228">
        <v>2.09</v>
      </c>
      <c r="DD46" s="228">
        <v>29.8</v>
      </c>
      <c r="DE46" s="228">
        <v>29.71</v>
      </c>
      <c r="DF46" s="228">
        <v>2.64</v>
      </c>
      <c r="DG46" s="228">
        <v>0.09</v>
      </c>
      <c r="DH46" s="228">
        <v>33.47</v>
      </c>
      <c r="DI46" s="228">
        <v>30.65</v>
      </c>
      <c r="DJ46" s="228">
        <v>2.82</v>
      </c>
      <c r="DK46" s="228">
        <v>2.82</v>
      </c>
      <c r="DL46" s="228">
        <v>30.23</v>
      </c>
      <c r="DM46" s="228">
        <v>29.43</v>
      </c>
      <c r="DN46" s="228">
        <v>0.8</v>
      </c>
      <c r="DO46" s="228">
        <v>0.8</v>
      </c>
      <c r="DP46" s="228">
        <v>0.51</v>
      </c>
      <c r="DQ46" s="228">
        <v>0.5</v>
      </c>
      <c r="DR46" s="228">
        <v>0.01</v>
      </c>
      <c r="DS46" s="229">
        <v>0.02</v>
      </c>
      <c r="DT46" s="228">
        <v>440</v>
      </c>
      <c r="DU46" s="228">
        <v>420</v>
      </c>
      <c r="DV46" s="228">
        <v>0.46</v>
      </c>
      <c r="DW46" s="228">
        <v>0.32</v>
      </c>
      <c r="DX46" s="228">
        <v>0.14000000000000001</v>
      </c>
      <c r="DY46" s="229">
        <v>0.4375</v>
      </c>
      <c r="DZ46" s="229">
        <v>4.36E-2</v>
      </c>
      <c r="EA46" s="230">
        <v>1906200</v>
      </c>
      <c r="EB46" s="229">
        <v>6.7999999999999996E-3</v>
      </c>
      <c r="EC46" s="229">
        <v>4.36E-2</v>
      </c>
      <c r="ED46" s="228">
        <v>2.62</v>
      </c>
      <c r="EE46" s="229">
        <v>6.3E-3</v>
      </c>
      <c r="EF46" s="230">
        <v>2881883</v>
      </c>
      <c r="EG46" s="230">
        <v>2635234</v>
      </c>
      <c r="EH46" s="229">
        <v>9.3600000000000003E-2</v>
      </c>
      <c r="EI46" s="229">
        <v>0.45500000000000002</v>
      </c>
      <c r="EJ46" s="231">
        <v>180376.82</v>
      </c>
      <c r="EK46" s="231">
        <v>78602.02</v>
      </c>
      <c r="EL46" s="231">
        <v>33065.11</v>
      </c>
      <c r="EM46" s="231">
        <v>5342</v>
      </c>
      <c r="EN46" s="231">
        <v>292043.95</v>
      </c>
      <c r="EO46" s="231">
        <v>120499.19</v>
      </c>
      <c r="EP46" s="231">
        <v>171544.76</v>
      </c>
      <c r="EQ46" s="229">
        <v>1.4236</v>
      </c>
      <c r="ER46" s="231">
        <v>200753</v>
      </c>
      <c r="ES46" s="231">
        <v>93026</v>
      </c>
      <c r="ET46" s="231">
        <v>209761</v>
      </c>
      <c r="EU46" s="231">
        <v>278206904</v>
      </c>
      <c r="EV46" s="231">
        <v>503540</v>
      </c>
      <c r="EW46" s="231">
        <v>492490</v>
      </c>
      <c r="EX46" s="231">
        <v>11050</v>
      </c>
      <c r="EY46" s="229">
        <v>2.24E-2</v>
      </c>
      <c r="EZ46" s="229">
        <v>0.42130000000000001</v>
      </c>
      <c r="FA46" s="227" t="s">
        <v>567</v>
      </c>
      <c r="FB46" s="161">
        <f t="shared" si="0"/>
        <v>2189700</v>
      </c>
    </row>
    <row r="47" spans="1:158" ht="17.25" hidden="1" thickBot="1" x14ac:dyDescent="0.3">
      <c r="A47" s="226">
        <v>46064</v>
      </c>
      <c r="B47" s="227" t="s">
        <v>221</v>
      </c>
      <c r="C47" s="227" t="s">
        <v>470</v>
      </c>
      <c r="D47" s="228">
        <v>375</v>
      </c>
      <c r="E47" s="231">
        <v>1520.8</v>
      </c>
      <c r="F47" s="231">
        <v>1556.1</v>
      </c>
      <c r="G47" s="228">
        <v>-35.299999999999997</v>
      </c>
      <c r="H47" s="229">
        <v>-2.2700000000000001E-2</v>
      </c>
      <c r="I47" s="231">
        <v>1520.4</v>
      </c>
      <c r="J47" s="231">
        <v>1551</v>
      </c>
      <c r="K47" s="228">
        <v>-30.6</v>
      </c>
      <c r="L47" s="229">
        <v>-1.9699999999999999E-2</v>
      </c>
      <c r="M47" s="231">
        <v>1520.8</v>
      </c>
      <c r="N47" s="231">
        <v>1556.1</v>
      </c>
      <c r="O47" s="228">
        <v>-35.299999999999997</v>
      </c>
      <c r="P47" s="229">
        <v>-2.2700000000000001E-2</v>
      </c>
      <c r="Q47" s="231">
        <v>1526.1</v>
      </c>
      <c r="R47" s="231">
        <v>1563.7</v>
      </c>
      <c r="S47" s="228">
        <v>-37.6</v>
      </c>
      <c r="T47" s="229">
        <v>-2.4E-2</v>
      </c>
      <c r="U47" s="231">
        <v>1535.5</v>
      </c>
      <c r="V47" s="231">
        <v>1572</v>
      </c>
      <c r="W47" s="228">
        <v>-36.5</v>
      </c>
      <c r="X47" s="229">
        <v>-2.3199999999999998E-2</v>
      </c>
      <c r="Y47" s="228">
        <v>0.4</v>
      </c>
      <c r="Z47" s="228">
        <v>5.0999999999999996</v>
      </c>
      <c r="AA47" s="228">
        <v>-4.7</v>
      </c>
      <c r="AB47" s="229">
        <v>2.9999999999999997E-4</v>
      </c>
      <c r="AC47" s="228">
        <v>0.4</v>
      </c>
      <c r="AD47" s="228">
        <v>5.0999999999999996</v>
      </c>
      <c r="AE47" s="228">
        <v>-4.7</v>
      </c>
      <c r="AF47" s="229">
        <v>2.9999999999999997E-4</v>
      </c>
      <c r="AG47" s="228">
        <v>5.7</v>
      </c>
      <c r="AH47" s="228">
        <v>12.7</v>
      </c>
      <c r="AI47" s="228">
        <v>-7</v>
      </c>
      <c r="AJ47" s="229">
        <v>3.7000000000000002E-3</v>
      </c>
      <c r="AK47" s="228">
        <v>15.1</v>
      </c>
      <c r="AL47" s="228">
        <v>21</v>
      </c>
      <c r="AM47" s="228">
        <v>-5.9</v>
      </c>
      <c r="AN47" s="229">
        <v>9.9000000000000008E-3</v>
      </c>
      <c r="AO47" s="231">
        <v>1531.04</v>
      </c>
      <c r="AP47" s="231">
        <v>1538.21</v>
      </c>
      <c r="AQ47" s="228">
        <v>0</v>
      </c>
      <c r="AR47" s="230">
        <v>2507250</v>
      </c>
      <c r="AS47" s="230">
        <v>3134625</v>
      </c>
      <c r="AT47" s="230">
        <v>-627375</v>
      </c>
      <c r="AU47" s="229">
        <v>-0.2001</v>
      </c>
      <c r="AV47" s="230">
        <v>2194875</v>
      </c>
      <c r="AW47" s="230">
        <v>2922750</v>
      </c>
      <c r="AX47" s="230">
        <v>-727875</v>
      </c>
      <c r="AY47" s="229">
        <v>-0.249</v>
      </c>
      <c r="AZ47" s="230">
        <v>282375</v>
      </c>
      <c r="BA47" s="230">
        <v>181125</v>
      </c>
      <c r="BB47" s="230">
        <v>101250</v>
      </c>
      <c r="BC47" s="229">
        <v>0.55900000000000005</v>
      </c>
      <c r="BD47" s="230">
        <v>30000</v>
      </c>
      <c r="BE47" s="230">
        <v>30750</v>
      </c>
      <c r="BF47" s="228">
        <v>-750</v>
      </c>
      <c r="BG47" s="229">
        <v>-2.4400000000000002E-2</v>
      </c>
      <c r="BH47" s="230">
        <v>9252375</v>
      </c>
      <c r="BI47" s="230">
        <v>10881750</v>
      </c>
      <c r="BJ47" s="230">
        <v>-1629375</v>
      </c>
      <c r="BK47" s="229">
        <v>-0.1497</v>
      </c>
      <c r="BL47" s="230">
        <v>4466250</v>
      </c>
      <c r="BM47" s="230">
        <v>4033125</v>
      </c>
      <c r="BN47" s="230">
        <v>433125</v>
      </c>
      <c r="BO47" s="229">
        <v>0.1074</v>
      </c>
      <c r="BP47" s="230">
        <v>16225875</v>
      </c>
      <c r="BQ47" s="230">
        <v>18049500</v>
      </c>
      <c r="BR47" s="230">
        <v>-1823625</v>
      </c>
      <c r="BS47" s="229">
        <v>-0.10100000000000001</v>
      </c>
      <c r="BT47" s="230">
        <v>1734273</v>
      </c>
      <c r="BU47" s="230">
        <v>3203982</v>
      </c>
      <c r="BV47" s="230">
        <v>-1469709</v>
      </c>
      <c r="BW47" s="229">
        <v>-0.4587</v>
      </c>
      <c r="BX47" s="230">
        <v>13506000</v>
      </c>
      <c r="BY47" s="230">
        <v>13242000</v>
      </c>
      <c r="BZ47" s="230">
        <v>264000</v>
      </c>
      <c r="CA47" s="229">
        <v>1.9900000000000001E-2</v>
      </c>
      <c r="CB47" s="230">
        <v>12746250</v>
      </c>
      <c r="CC47" s="230">
        <v>12630750</v>
      </c>
      <c r="CD47" s="230">
        <v>115500</v>
      </c>
      <c r="CE47" s="229">
        <v>9.1000000000000004E-3</v>
      </c>
      <c r="CF47" s="230">
        <v>624750</v>
      </c>
      <c r="CG47" s="230">
        <v>498750</v>
      </c>
      <c r="CH47" s="230">
        <v>126000</v>
      </c>
      <c r="CI47" s="229">
        <v>0.25259999999999999</v>
      </c>
      <c r="CJ47" s="230">
        <v>135000</v>
      </c>
      <c r="CK47" s="230">
        <v>112500</v>
      </c>
      <c r="CL47" s="230">
        <v>22500</v>
      </c>
      <c r="CM47" s="229">
        <v>0.2</v>
      </c>
      <c r="CN47" s="230">
        <v>9123000</v>
      </c>
      <c r="CO47" s="230">
        <v>8700750</v>
      </c>
      <c r="CP47" s="230">
        <v>422250</v>
      </c>
      <c r="CQ47" s="229">
        <v>4.8500000000000001E-2</v>
      </c>
      <c r="CR47" s="230">
        <v>3918000</v>
      </c>
      <c r="CS47" s="230">
        <v>3683250</v>
      </c>
      <c r="CT47" s="230">
        <v>234750</v>
      </c>
      <c r="CU47" s="229">
        <v>6.3700000000000007E-2</v>
      </c>
      <c r="CV47" s="230">
        <v>26547000</v>
      </c>
      <c r="CW47" s="230">
        <v>25626000</v>
      </c>
      <c r="CX47" s="230">
        <v>921000</v>
      </c>
      <c r="CY47" s="229">
        <v>3.5900000000000001E-2</v>
      </c>
      <c r="CZ47" s="228">
        <v>40.71</v>
      </c>
      <c r="DA47" s="228">
        <v>37.61</v>
      </c>
      <c r="DB47" s="228">
        <v>3.1</v>
      </c>
      <c r="DC47" s="228">
        <v>3.1</v>
      </c>
      <c r="DD47" s="228">
        <v>40.99</v>
      </c>
      <c r="DE47" s="228">
        <v>41.01</v>
      </c>
      <c r="DF47" s="228">
        <v>-0.28000000000000003</v>
      </c>
      <c r="DG47" s="228">
        <v>-0.02</v>
      </c>
      <c r="DH47" s="228">
        <v>41.14</v>
      </c>
      <c r="DI47" s="228">
        <v>37.520000000000003</v>
      </c>
      <c r="DJ47" s="228">
        <v>3.62</v>
      </c>
      <c r="DK47" s="228">
        <v>3.62</v>
      </c>
      <c r="DL47" s="228">
        <v>39.81</v>
      </c>
      <c r="DM47" s="228">
        <v>37.86</v>
      </c>
      <c r="DN47" s="228">
        <v>1.95</v>
      </c>
      <c r="DO47" s="228">
        <v>1.95</v>
      </c>
      <c r="DP47" s="228">
        <v>0.43</v>
      </c>
      <c r="DQ47" s="228">
        <v>0.42</v>
      </c>
      <c r="DR47" s="228">
        <v>0.01</v>
      </c>
      <c r="DS47" s="229">
        <v>2.3800000000000002E-2</v>
      </c>
      <c r="DT47" s="231">
        <v>1600</v>
      </c>
      <c r="DU47" s="231">
        <v>1600</v>
      </c>
      <c r="DV47" s="228">
        <v>0.48</v>
      </c>
      <c r="DW47" s="228">
        <v>0.37</v>
      </c>
      <c r="DX47" s="228">
        <v>0.11</v>
      </c>
      <c r="DY47" s="229">
        <v>0.29730000000000001</v>
      </c>
      <c r="DZ47" s="229">
        <v>5.6300000000000003E-2</v>
      </c>
      <c r="EA47" s="230">
        <v>611250</v>
      </c>
      <c r="EB47" s="229">
        <v>3.5000000000000001E-3</v>
      </c>
      <c r="EC47" s="229">
        <v>5.6300000000000003E-2</v>
      </c>
      <c r="ED47" s="228">
        <v>7.17</v>
      </c>
      <c r="EE47" s="229">
        <v>4.7000000000000002E-3</v>
      </c>
      <c r="EF47" s="230">
        <v>921191</v>
      </c>
      <c r="EG47" s="230">
        <v>2220275</v>
      </c>
      <c r="EH47" s="229">
        <v>-0.58509999999999995</v>
      </c>
      <c r="EI47" s="229">
        <v>0.53120000000000001</v>
      </c>
      <c r="EJ47" s="231">
        <v>151641.92000000001</v>
      </c>
      <c r="EK47" s="231">
        <v>68723.990000000005</v>
      </c>
      <c r="EL47" s="231">
        <v>38410.51</v>
      </c>
      <c r="EM47" s="231">
        <v>9969</v>
      </c>
      <c r="EN47" s="231">
        <v>258776.42</v>
      </c>
      <c r="EO47" s="231">
        <v>290706.21999999997</v>
      </c>
      <c r="EP47" s="231">
        <v>-31929.8</v>
      </c>
      <c r="EQ47" s="229">
        <v>-0.10979999999999999</v>
      </c>
      <c r="ER47" s="231">
        <v>151848</v>
      </c>
      <c r="ES47" s="231">
        <v>61633</v>
      </c>
      <c r="ET47" s="231">
        <v>205452</v>
      </c>
      <c r="EU47" s="231">
        <v>50189409</v>
      </c>
      <c r="EV47" s="231">
        <v>418934</v>
      </c>
      <c r="EW47" s="231">
        <v>409751</v>
      </c>
      <c r="EX47" s="231">
        <v>9183</v>
      </c>
      <c r="EY47" s="229">
        <v>2.24E-2</v>
      </c>
      <c r="EZ47" s="229">
        <v>0.52890000000000004</v>
      </c>
      <c r="FA47" s="227" t="s">
        <v>567</v>
      </c>
      <c r="FB47" s="161">
        <f t="shared" si="0"/>
        <v>759750</v>
      </c>
    </row>
    <row r="48" spans="1:158" ht="17.25" hidden="1" thickBot="1" x14ac:dyDescent="0.3">
      <c r="A48" s="226">
        <v>46064</v>
      </c>
      <c r="B48" s="227" t="s">
        <v>168</v>
      </c>
      <c r="C48" s="227" t="s">
        <v>201</v>
      </c>
      <c r="D48" s="228">
        <v>225</v>
      </c>
      <c r="E48" s="231">
        <v>2174.8000000000002</v>
      </c>
      <c r="F48" s="231">
        <v>2190.1</v>
      </c>
      <c r="G48" s="228">
        <v>-15.3</v>
      </c>
      <c r="H48" s="229">
        <v>-7.0000000000000001E-3</v>
      </c>
      <c r="I48" s="231">
        <v>2173.4</v>
      </c>
      <c r="J48" s="231">
        <v>2183</v>
      </c>
      <c r="K48" s="228">
        <v>-9.6</v>
      </c>
      <c r="L48" s="229">
        <v>-4.4000000000000003E-3</v>
      </c>
      <c r="M48" s="231">
        <v>2174.8000000000002</v>
      </c>
      <c r="N48" s="231">
        <v>2190.1</v>
      </c>
      <c r="O48" s="228">
        <v>-15.3</v>
      </c>
      <c r="P48" s="229">
        <v>-7.0000000000000001E-3</v>
      </c>
      <c r="Q48" s="231">
        <v>2180.9</v>
      </c>
      <c r="R48" s="231">
        <v>2196.8000000000002</v>
      </c>
      <c r="S48" s="228">
        <v>-15.9</v>
      </c>
      <c r="T48" s="229">
        <v>-7.1999999999999998E-3</v>
      </c>
      <c r="U48" s="231">
        <v>2190</v>
      </c>
      <c r="V48" s="231">
        <v>2210.3000000000002</v>
      </c>
      <c r="W48" s="228">
        <v>-20.3</v>
      </c>
      <c r="X48" s="229">
        <v>-9.1999999999999998E-3</v>
      </c>
      <c r="Y48" s="228">
        <v>1.4</v>
      </c>
      <c r="Z48" s="228">
        <v>7.1</v>
      </c>
      <c r="AA48" s="228">
        <v>-5.7</v>
      </c>
      <c r="AB48" s="229">
        <v>5.9999999999999995E-4</v>
      </c>
      <c r="AC48" s="228">
        <v>1.4</v>
      </c>
      <c r="AD48" s="228">
        <v>7.1</v>
      </c>
      <c r="AE48" s="228">
        <v>-5.7</v>
      </c>
      <c r="AF48" s="229">
        <v>5.9999999999999995E-4</v>
      </c>
      <c r="AG48" s="228">
        <v>7.5</v>
      </c>
      <c r="AH48" s="228">
        <v>13.8</v>
      </c>
      <c r="AI48" s="228">
        <v>-6.3</v>
      </c>
      <c r="AJ48" s="229">
        <v>3.5000000000000001E-3</v>
      </c>
      <c r="AK48" s="228">
        <v>16.600000000000001</v>
      </c>
      <c r="AL48" s="228">
        <v>27.3</v>
      </c>
      <c r="AM48" s="228">
        <v>-10.7</v>
      </c>
      <c r="AN48" s="229">
        <v>7.6E-3</v>
      </c>
      <c r="AO48" s="231">
        <v>2178.21</v>
      </c>
      <c r="AP48" s="231">
        <v>2182.08</v>
      </c>
      <c r="AQ48" s="228">
        <v>0</v>
      </c>
      <c r="AR48" s="230">
        <v>695025</v>
      </c>
      <c r="AS48" s="230">
        <v>682425</v>
      </c>
      <c r="AT48" s="230">
        <v>12600</v>
      </c>
      <c r="AU48" s="229">
        <v>1.8499999999999999E-2</v>
      </c>
      <c r="AV48" s="230">
        <v>531675</v>
      </c>
      <c r="AW48" s="230">
        <v>554625</v>
      </c>
      <c r="AX48" s="230">
        <v>-22950</v>
      </c>
      <c r="AY48" s="229">
        <v>-4.1399999999999999E-2</v>
      </c>
      <c r="AZ48" s="230">
        <v>146250</v>
      </c>
      <c r="BA48" s="230">
        <v>121275</v>
      </c>
      <c r="BB48" s="230">
        <v>24975</v>
      </c>
      <c r="BC48" s="229">
        <v>0.2059</v>
      </c>
      <c r="BD48" s="230">
        <v>17100</v>
      </c>
      <c r="BE48" s="230">
        <v>6525</v>
      </c>
      <c r="BF48" s="230">
        <v>10575</v>
      </c>
      <c r="BG48" s="229">
        <v>1.6207</v>
      </c>
      <c r="BH48" s="230">
        <v>3542175</v>
      </c>
      <c r="BI48" s="230">
        <v>3829500</v>
      </c>
      <c r="BJ48" s="230">
        <v>-287325</v>
      </c>
      <c r="BK48" s="229">
        <v>-7.4999999999999997E-2</v>
      </c>
      <c r="BL48" s="230">
        <v>698625</v>
      </c>
      <c r="BM48" s="230">
        <v>1020150</v>
      </c>
      <c r="BN48" s="230">
        <v>-321525</v>
      </c>
      <c r="BO48" s="229">
        <v>-0.31519999999999998</v>
      </c>
      <c r="BP48" s="230">
        <v>4935825</v>
      </c>
      <c r="BQ48" s="230">
        <v>5532075</v>
      </c>
      <c r="BR48" s="230">
        <v>-596250</v>
      </c>
      <c r="BS48" s="229">
        <v>-0.10780000000000001</v>
      </c>
      <c r="BT48" s="230">
        <v>160384</v>
      </c>
      <c r="BU48" s="230">
        <v>361388</v>
      </c>
      <c r="BV48" s="230">
        <v>-201004</v>
      </c>
      <c r="BW48" s="229">
        <v>-0.55620000000000003</v>
      </c>
      <c r="BX48" s="230">
        <v>6408450</v>
      </c>
      <c r="BY48" s="230">
        <v>6298200</v>
      </c>
      <c r="BZ48" s="230">
        <v>110250</v>
      </c>
      <c r="CA48" s="229">
        <v>1.7500000000000002E-2</v>
      </c>
      <c r="CB48" s="230">
        <v>6047100</v>
      </c>
      <c r="CC48" s="230">
        <v>5947875</v>
      </c>
      <c r="CD48" s="230">
        <v>99225</v>
      </c>
      <c r="CE48" s="229">
        <v>1.67E-2</v>
      </c>
      <c r="CF48" s="230">
        <v>322425</v>
      </c>
      <c r="CG48" s="230">
        <v>318150</v>
      </c>
      <c r="CH48" s="230">
        <v>4275</v>
      </c>
      <c r="CI48" s="229">
        <v>1.34E-2</v>
      </c>
      <c r="CJ48" s="230">
        <v>38925</v>
      </c>
      <c r="CK48" s="230">
        <v>32175</v>
      </c>
      <c r="CL48" s="230">
        <v>6750</v>
      </c>
      <c r="CM48" s="229">
        <v>0.20979999999999999</v>
      </c>
      <c r="CN48" s="230">
        <v>2908350</v>
      </c>
      <c r="CO48" s="230">
        <v>2355750</v>
      </c>
      <c r="CP48" s="230">
        <v>552600</v>
      </c>
      <c r="CQ48" s="229">
        <v>0.2346</v>
      </c>
      <c r="CR48" s="230">
        <v>1515825</v>
      </c>
      <c r="CS48" s="230">
        <v>1397925</v>
      </c>
      <c r="CT48" s="230">
        <v>117900</v>
      </c>
      <c r="CU48" s="229">
        <v>8.43E-2</v>
      </c>
      <c r="CV48" s="230">
        <v>10832625</v>
      </c>
      <c r="CW48" s="230">
        <v>10051875</v>
      </c>
      <c r="CX48" s="230">
        <v>780750</v>
      </c>
      <c r="CY48" s="229">
        <v>7.7700000000000005E-2</v>
      </c>
      <c r="CZ48" s="228">
        <v>26.14</v>
      </c>
      <c r="DA48" s="228">
        <v>25.17</v>
      </c>
      <c r="DB48" s="228">
        <v>0.97</v>
      </c>
      <c r="DC48" s="228">
        <v>0.97</v>
      </c>
      <c r="DD48" s="228">
        <v>26.48</v>
      </c>
      <c r="DE48" s="228">
        <v>26.53</v>
      </c>
      <c r="DF48" s="228">
        <v>-0.34</v>
      </c>
      <c r="DG48" s="228">
        <v>-0.05</v>
      </c>
      <c r="DH48" s="228">
        <v>26.35</v>
      </c>
      <c r="DI48" s="228">
        <v>25.03</v>
      </c>
      <c r="DJ48" s="228">
        <v>1.32</v>
      </c>
      <c r="DK48" s="228">
        <v>1.32</v>
      </c>
      <c r="DL48" s="228">
        <v>25.06</v>
      </c>
      <c r="DM48" s="228">
        <v>25.72</v>
      </c>
      <c r="DN48" s="228">
        <v>-0.66</v>
      </c>
      <c r="DO48" s="228">
        <v>-0.66</v>
      </c>
      <c r="DP48" s="228">
        <v>0.52</v>
      </c>
      <c r="DQ48" s="228">
        <v>0.59</v>
      </c>
      <c r="DR48" s="228">
        <v>-7.0000000000000007E-2</v>
      </c>
      <c r="DS48" s="229">
        <v>-0.1186</v>
      </c>
      <c r="DT48" s="231">
        <v>2200</v>
      </c>
      <c r="DU48" s="231">
        <v>2200</v>
      </c>
      <c r="DV48" s="228">
        <v>0.2</v>
      </c>
      <c r="DW48" s="228">
        <v>0.27</v>
      </c>
      <c r="DX48" s="228">
        <v>-7.0000000000000007E-2</v>
      </c>
      <c r="DY48" s="229">
        <v>-0.25929999999999997</v>
      </c>
      <c r="DZ48" s="229">
        <v>5.6399999999999999E-2</v>
      </c>
      <c r="EA48" s="230">
        <v>350325</v>
      </c>
      <c r="EB48" s="229">
        <v>2.8E-3</v>
      </c>
      <c r="EC48" s="229">
        <v>5.6399999999999999E-2</v>
      </c>
      <c r="ED48" s="228">
        <v>3.87</v>
      </c>
      <c r="EE48" s="229">
        <v>1.8E-3</v>
      </c>
      <c r="EF48" s="230">
        <v>74158</v>
      </c>
      <c r="EG48" s="230">
        <v>197066</v>
      </c>
      <c r="EH48" s="229">
        <v>-0.62370000000000003</v>
      </c>
      <c r="EI48" s="229">
        <v>0.46239999999999998</v>
      </c>
      <c r="EJ48" s="231">
        <v>80028.08</v>
      </c>
      <c r="EK48" s="231">
        <v>14955.58</v>
      </c>
      <c r="EL48" s="231">
        <v>15147.87</v>
      </c>
      <c r="EM48" s="231">
        <v>2712</v>
      </c>
      <c r="EN48" s="231">
        <v>110131.53</v>
      </c>
      <c r="EO48" s="231">
        <v>122596.83</v>
      </c>
      <c r="EP48" s="231">
        <v>-12465.3</v>
      </c>
      <c r="EQ48" s="229">
        <v>-0.1017</v>
      </c>
      <c r="ER48" s="231">
        <v>65124</v>
      </c>
      <c r="ES48" s="231">
        <v>31975</v>
      </c>
      <c r="ET48" s="231">
        <v>139397</v>
      </c>
      <c r="EU48" s="231">
        <v>19546143</v>
      </c>
      <c r="EV48" s="231">
        <v>236495</v>
      </c>
      <c r="EW48" s="231">
        <v>220131</v>
      </c>
      <c r="EX48" s="231">
        <v>16364</v>
      </c>
      <c r="EY48" s="229">
        <v>7.4300000000000005E-2</v>
      </c>
      <c r="EZ48" s="229">
        <v>0.55420000000000003</v>
      </c>
      <c r="FA48" s="227" t="s">
        <v>567</v>
      </c>
      <c r="FB48" s="161">
        <f t="shared" si="0"/>
        <v>361350</v>
      </c>
    </row>
    <row r="49" spans="1:158" ht="17.25" hidden="1" thickBot="1" x14ac:dyDescent="0.3">
      <c r="A49" s="226">
        <v>46064</v>
      </c>
      <c r="B49" s="227" t="s">
        <v>215</v>
      </c>
      <c r="C49" s="227" t="s">
        <v>202</v>
      </c>
      <c r="D49" s="228">
        <v>1250</v>
      </c>
      <c r="E49" s="228">
        <v>515.79999999999995</v>
      </c>
      <c r="F49" s="228">
        <v>515.54999999999995</v>
      </c>
      <c r="G49" s="228">
        <v>0.25</v>
      </c>
      <c r="H49" s="229">
        <v>5.0000000000000001E-4</v>
      </c>
      <c r="I49" s="228">
        <v>515.15</v>
      </c>
      <c r="J49" s="228">
        <v>513.6</v>
      </c>
      <c r="K49" s="228">
        <v>1.55</v>
      </c>
      <c r="L49" s="229">
        <v>3.0000000000000001E-3</v>
      </c>
      <c r="M49" s="228">
        <v>515.79999999999995</v>
      </c>
      <c r="N49" s="228">
        <v>515.54999999999995</v>
      </c>
      <c r="O49" s="228">
        <v>0.25</v>
      </c>
      <c r="P49" s="229">
        <v>5.0000000000000001E-4</v>
      </c>
      <c r="Q49" s="228">
        <v>519.29999999999995</v>
      </c>
      <c r="R49" s="228">
        <v>518.75</v>
      </c>
      <c r="S49" s="228">
        <v>0.55000000000000004</v>
      </c>
      <c r="T49" s="229">
        <v>1.1000000000000001E-3</v>
      </c>
      <c r="U49" s="228">
        <v>522.54999999999995</v>
      </c>
      <c r="V49" s="228">
        <v>522.45000000000005</v>
      </c>
      <c r="W49" s="228">
        <v>0.1</v>
      </c>
      <c r="X49" s="229">
        <v>2.0000000000000001E-4</v>
      </c>
      <c r="Y49" s="228">
        <v>0.65</v>
      </c>
      <c r="Z49" s="228">
        <v>1.95</v>
      </c>
      <c r="AA49" s="228">
        <v>-1.3</v>
      </c>
      <c r="AB49" s="229">
        <v>1.2999999999999999E-3</v>
      </c>
      <c r="AC49" s="228">
        <v>0.65</v>
      </c>
      <c r="AD49" s="228">
        <v>1.95</v>
      </c>
      <c r="AE49" s="228">
        <v>-1.3</v>
      </c>
      <c r="AF49" s="229">
        <v>1.2999999999999999E-3</v>
      </c>
      <c r="AG49" s="228">
        <v>4.1500000000000004</v>
      </c>
      <c r="AH49" s="228">
        <v>5.15</v>
      </c>
      <c r="AI49" s="228">
        <v>-1</v>
      </c>
      <c r="AJ49" s="229">
        <v>8.0999999999999996E-3</v>
      </c>
      <c r="AK49" s="228">
        <v>7.4</v>
      </c>
      <c r="AL49" s="228">
        <v>8.85</v>
      </c>
      <c r="AM49" s="228">
        <v>-1.45</v>
      </c>
      <c r="AN49" s="229">
        <v>1.44E-2</v>
      </c>
      <c r="AO49" s="228">
        <v>514.07000000000005</v>
      </c>
      <c r="AP49" s="228">
        <v>517.02</v>
      </c>
      <c r="AQ49" s="228">
        <v>0</v>
      </c>
      <c r="AR49" s="230">
        <v>2370000</v>
      </c>
      <c r="AS49" s="230">
        <v>3877500</v>
      </c>
      <c r="AT49" s="230">
        <v>-1507500</v>
      </c>
      <c r="AU49" s="229">
        <v>-0.38879999999999998</v>
      </c>
      <c r="AV49" s="230">
        <v>1951250</v>
      </c>
      <c r="AW49" s="230">
        <v>3287500</v>
      </c>
      <c r="AX49" s="230">
        <v>-1336250</v>
      </c>
      <c r="AY49" s="229">
        <v>-0.40649999999999997</v>
      </c>
      <c r="AZ49" s="230">
        <v>400000</v>
      </c>
      <c r="BA49" s="230">
        <v>535000</v>
      </c>
      <c r="BB49" s="230">
        <v>-135000</v>
      </c>
      <c r="BC49" s="229">
        <v>-0.25230000000000002</v>
      </c>
      <c r="BD49" s="230">
        <v>18750</v>
      </c>
      <c r="BE49" s="230">
        <v>55000</v>
      </c>
      <c r="BF49" s="230">
        <v>-36250</v>
      </c>
      <c r="BG49" s="229">
        <v>-0.65910000000000002</v>
      </c>
      <c r="BH49" s="230">
        <v>5498750</v>
      </c>
      <c r="BI49" s="230">
        <v>7991250</v>
      </c>
      <c r="BJ49" s="230">
        <v>-2492500</v>
      </c>
      <c r="BK49" s="229">
        <v>-0.31190000000000001</v>
      </c>
      <c r="BL49" s="230">
        <v>2031250</v>
      </c>
      <c r="BM49" s="230">
        <v>3165000</v>
      </c>
      <c r="BN49" s="230">
        <v>-1133750</v>
      </c>
      <c r="BO49" s="229">
        <v>-0.35820000000000002</v>
      </c>
      <c r="BP49" s="230">
        <v>9900000</v>
      </c>
      <c r="BQ49" s="230">
        <v>15033750</v>
      </c>
      <c r="BR49" s="230">
        <v>-5133750</v>
      </c>
      <c r="BS49" s="229">
        <v>-0.34150000000000003</v>
      </c>
      <c r="BT49" s="230">
        <v>719165</v>
      </c>
      <c r="BU49" s="230">
        <v>1781696</v>
      </c>
      <c r="BV49" s="230">
        <v>-1062531</v>
      </c>
      <c r="BW49" s="229">
        <v>-0.59640000000000004</v>
      </c>
      <c r="BX49" s="230">
        <v>34302500</v>
      </c>
      <c r="BY49" s="230">
        <v>34132500</v>
      </c>
      <c r="BZ49" s="230">
        <v>170000</v>
      </c>
      <c r="CA49" s="229">
        <v>5.0000000000000001E-3</v>
      </c>
      <c r="CB49" s="230">
        <v>32391250</v>
      </c>
      <c r="CC49" s="230">
        <v>32422500</v>
      </c>
      <c r="CD49" s="230">
        <v>-31250</v>
      </c>
      <c r="CE49" s="229">
        <v>-1E-3</v>
      </c>
      <c r="CF49" s="230">
        <v>1692500</v>
      </c>
      <c r="CG49" s="230">
        <v>1505000</v>
      </c>
      <c r="CH49" s="230">
        <v>187500</v>
      </c>
      <c r="CI49" s="229">
        <v>0.1246</v>
      </c>
      <c r="CJ49" s="230">
        <v>218750</v>
      </c>
      <c r="CK49" s="230">
        <v>205000</v>
      </c>
      <c r="CL49" s="230">
        <v>13750</v>
      </c>
      <c r="CM49" s="229">
        <v>6.7100000000000007E-2</v>
      </c>
      <c r="CN49" s="230">
        <v>11102500</v>
      </c>
      <c r="CO49" s="230">
        <v>10890000</v>
      </c>
      <c r="CP49" s="230">
        <v>212500</v>
      </c>
      <c r="CQ49" s="229">
        <v>1.95E-2</v>
      </c>
      <c r="CR49" s="230">
        <v>9946250</v>
      </c>
      <c r="CS49" s="230">
        <v>9820000</v>
      </c>
      <c r="CT49" s="230">
        <v>126250</v>
      </c>
      <c r="CU49" s="229">
        <v>1.29E-2</v>
      </c>
      <c r="CV49" s="230">
        <v>55351250</v>
      </c>
      <c r="CW49" s="230">
        <v>54842500</v>
      </c>
      <c r="CX49" s="230">
        <v>508750</v>
      </c>
      <c r="CY49" s="229">
        <v>9.2999999999999992E-3</v>
      </c>
      <c r="CZ49" s="228">
        <v>27.73</v>
      </c>
      <c r="DA49" s="228">
        <v>27.79</v>
      </c>
      <c r="DB49" s="228">
        <v>-0.06</v>
      </c>
      <c r="DC49" s="228">
        <v>-0.06</v>
      </c>
      <c r="DD49" s="228">
        <v>33.049999999999997</v>
      </c>
      <c r="DE49" s="228">
        <v>33.130000000000003</v>
      </c>
      <c r="DF49" s="228">
        <v>-5.32</v>
      </c>
      <c r="DG49" s="228">
        <v>-0.08</v>
      </c>
      <c r="DH49" s="228">
        <v>27.67</v>
      </c>
      <c r="DI49" s="228">
        <v>27.81</v>
      </c>
      <c r="DJ49" s="228">
        <v>-0.14000000000000001</v>
      </c>
      <c r="DK49" s="228">
        <v>-0.14000000000000001</v>
      </c>
      <c r="DL49" s="228">
        <v>27.87</v>
      </c>
      <c r="DM49" s="228">
        <v>27.73</v>
      </c>
      <c r="DN49" s="228">
        <v>0.14000000000000001</v>
      </c>
      <c r="DO49" s="228">
        <v>0.14000000000000001</v>
      </c>
      <c r="DP49" s="228">
        <v>0.9</v>
      </c>
      <c r="DQ49" s="228">
        <v>0.9</v>
      </c>
      <c r="DR49" s="228">
        <v>0</v>
      </c>
      <c r="DS49" s="229">
        <v>0</v>
      </c>
      <c r="DT49" s="228">
        <v>520</v>
      </c>
      <c r="DU49" s="228">
        <v>480</v>
      </c>
      <c r="DV49" s="228">
        <v>0.37</v>
      </c>
      <c r="DW49" s="228">
        <v>0.4</v>
      </c>
      <c r="DX49" s="228">
        <v>-0.03</v>
      </c>
      <c r="DY49" s="229">
        <v>-7.4999999999999997E-2</v>
      </c>
      <c r="DZ49" s="229">
        <v>5.57E-2</v>
      </c>
      <c r="EA49" s="230">
        <v>1710000</v>
      </c>
      <c r="EB49" s="229">
        <v>6.7999999999999996E-3</v>
      </c>
      <c r="EC49" s="229">
        <v>5.57E-2</v>
      </c>
      <c r="ED49" s="228">
        <v>2.95</v>
      </c>
      <c r="EE49" s="229">
        <v>5.7000000000000002E-3</v>
      </c>
      <c r="EF49" s="230">
        <v>331943</v>
      </c>
      <c r="EG49" s="230">
        <v>978432</v>
      </c>
      <c r="EH49" s="229">
        <v>-0.66069999999999995</v>
      </c>
      <c r="EI49" s="229">
        <v>0.46160000000000001</v>
      </c>
      <c r="EJ49" s="231">
        <v>29428.45</v>
      </c>
      <c r="EK49" s="231">
        <v>10376.290000000001</v>
      </c>
      <c r="EL49" s="231">
        <v>12196.55</v>
      </c>
      <c r="EM49" s="231">
        <v>2978</v>
      </c>
      <c r="EN49" s="231">
        <v>52001.29</v>
      </c>
      <c r="EO49" s="231">
        <v>79536.28</v>
      </c>
      <c r="EP49" s="231">
        <v>-27534.99</v>
      </c>
      <c r="EQ49" s="229">
        <v>-0.34620000000000001</v>
      </c>
      <c r="ER49" s="231">
        <v>59046</v>
      </c>
      <c r="ES49" s="231">
        <v>50044</v>
      </c>
      <c r="ET49" s="231">
        <v>177006</v>
      </c>
      <c r="EU49" s="231">
        <v>51639257</v>
      </c>
      <c r="EV49" s="231">
        <v>286097</v>
      </c>
      <c r="EW49" s="231">
        <v>283348</v>
      </c>
      <c r="EX49" s="231">
        <v>2749</v>
      </c>
      <c r="EY49" s="229">
        <v>9.7000000000000003E-3</v>
      </c>
      <c r="EZ49" s="229">
        <v>1.0719000000000001</v>
      </c>
      <c r="FA49" s="227" t="s">
        <v>555</v>
      </c>
      <c r="FB49" s="161">
        <f t="shared" si="0"/>
        <v>1911250</v>
      </c>
    </row>
    <row r="50" spans="1:158" ht="17.25" hidden="1" thickBot="1" x14ac:dyDescent="0.3">
      <c r="A50" s="226">
        <v>46064</v>
      </c>
      <c r="B50" s="227" t="s">
        <v>184</v>
      </c>
      <c r="C50" s="227" t="s">
        <v>523</v>
      </c>
      <c r="D50" s="228">
        <v>1800</v>
      </c>
      <c r="E50" s="228">
        <v>266.47000000000003</v>
      </c>
      <c r="F50" s="228">
        <v>261.91000000000003</v>
      </c>
      <c r="G50" s="228">
        <v>4.5599999999999996</v>
      </c>
      <c r="H50" s="229">
        <v>1.7399999999999999E-2</v>
      </c>
      <c r="I50" s="228">
        <v>266.04000000000002</v>
      </c>
      <c r="J50" s="228">
        <v>261.66000000000003</v>
      </c>
      <c r="K50" s="228">
        <v>4.38</v>
      </c>
      <c r="L50" s="229">
        <v>1.67E-2</v>
      </c>
      <c r="M50" s="228">
        <v>266.47000000000003</v>
      </c>
      <c r="N50" s="228">
        <v>261.91000000000003</v>
      </c>
      <c r="O50" s="228">
        <v>4.5599999999999996</v>
      </c>
      <c r="P50" s="229">
        <v>1.7399999999999999E-2</v>
      </c>
      <c r="Q50" s="228">
        <v>268.39999999999998</v>
      </c>
      <c r="R50" s="228">
        <v>263.62</v>
      </c>
      <c r="S50" s="228">
        <v>4.78</v>
      </c>
      <c r="T50" s="229">
        <v>1.8100000000000002E-2</v>
      </c>
      <c r="U50" s="228">
        <v>270.10000000000002</v>
      </c>
      <c r="V50" s="228">
        <v>265.20999999999998</v>
      </c>
      <c r="W50" s="228">
        <v>4.8899999999999997</v>
      </c>
      <c r="X50" s="229">
        <v>1.84E-2</v>
      </c>
      <c r="Y50" s="228">
        <v>0.43</v>
      </c>
      <c r="Z50" s="228">
        <v>0.25</v>
      </c>
      <c r="AA50" s="228">
        <v>0.18</v>
      </c>
      <c r="AB50" s="229">
        <v>1.6000000000000001E-3</v>
      </c>
      <c r="AC50" s="228">
        <v>0.43</v>
      </c>
      <c r="AD50" s="228">
        <v>0.25</v>
      </c>
      <c r="AE50" s="228">
        <v>0.18</v>
      </c>
      <c r="AF50" s="229">
        <v>1.6000000000000001E-3</v>
      </c>
      <c r="AG50" s="228">
        <v>2.36</v>
      </c>
      <c r="AH50" s="228">
        <v>1.96</v>
      </c>
      <c r="AI50" s="228">
        <v>0.4</v>
      </c>
      <c r="AJ50" s="229">
        <v>8.8999999999999999E-3</v>
      </c>
      <c r="AK50" s="228">
        <v>4.0599999999999996</v>
      </c>
      <c r="AL50" s="228">
        <v>3.55</v>
      </c>
      <c r="AM50" s="228">
        <v>0.51</v>
      </c>
      <c r="AN50" s="229">
        <v>1.5299999999999999E-2</v>
      </c>
      <c r="AO50" s="228">
        <v>265.64999999999998</v>
      </c>
      <c r="AP50" s="228">
        <v>267.39</v>
      </c>
      <c r="AQ50" s="228">
        <v>0</v>
      </c>
      <c r="AR50" s="230">
        <v>6397200</v>
      </c>
      <c r="AS50" s="230">
        <v>11259000</v>
      </c>
      <c r="AT50" s="230">
        <v>-4861800</v>
      </c>
      <c r="AU50" s="229">
        <v>-0.43180000000000002</v>
      </c>
      <c r="AV50" s="230">
        <v>5851800</v>
      </c>
      <c r="AW50" s="230">
        <v>10420200</v>
      </c>
      <c r="AX50" s="230">
        <v>-4568400</v>
      </c>
      <c r="AY50" s="229">
        <v>-0.43840000000000001</v>
      </c>
      <c r="AZ50" s="230">
        <v>498600</v>
      </c>
      <c r="BA50" s="230">
        <v>754200</v>
      </c>
      <c r="BB50" s="230">
        <v>-255600</v>
      </c>
      <c r="BC50" s="229">
        <v>-0.33889999999999998</v>
      </c>
      <c r="BD50" s="230">
        <v>46800</v>
      </c>
      <c r="BE50" s="230">
        <v>84600</v>
      </c>
      <c r="BF50" s="230">
        <v>-37800</v>
      </c>
      <c r="BG50" s="229">
        <v>-0.44679999999999997</v>
      </c>
      <c r="BH50" s="230">
        <v>19900800</v>
      </c>
      <c r="BI50" s="230">
        <v>23428800</v>
      </c>
      <c r="BJ50" s="230">
        <v>-3528000</v>
      </c>
      <c r="BK50" s="229">
        <v>-0.15060000000000001</v>
      </c>
      <c r="BL50" s="230">
        <v>11370600</v>
      </c>
      <c r="BM50" s="230">
        <v>18952200</v>
      </c>
      <c r="BN50" s="230">
        <v>-7581600</v>
      </c>
      <c r="BO50" s="229">
        <v>-0.4</v>
      </c>
      <c r="BP50" s="230">
        <v>37668600</v>
      </c>
      <c r="BQ50" s="230">
        <v>53640000</v>
      </c>
      <c r="BR50" s="230">
        <v>-15971400</v>
      </c>
      <c r="BS50" s="229">
        <v>-0.29780000000000001</v>
      </c>
      <c r="BT50" s="230">
        <v>2914215</v>
      </c>
      <c r="BU50" s="230">
        <v>6066413</v>
      </c>
      <c r="BV50" s="230">
        <v>-3152198</v>
      </c>
      <c r="BW50" s="229">
        <v>-0.51959999999999995</v>
      </c>
      <c r="BX50" s="230">
        <v>54959400</v>
      </c>
      <c r="BY50" s="230">
        <v>55510200</v>
      </c>
      <c r="BZ50" s="230">
        <v>-550800</v>
      </c>
      <c r="CA50" s="229">
        <v>-9.9000000000000008E-3</v>
      </c>
      <c r="CB50" s="230">
        <v>52995600</v>
      </c>
      <c r="CC50" s="230">
        <v>53600400</v>
      </c>
      <c r="CD50" s="230">
        <v>-604800</v>
      </c>
      <c r="CE50" s="229">
        <v>-1.1299999999999999E-2</v>
      </c>
      <c r="CF50" s="230">
        <v>1726200</v>
      </c>
      <c r="CG50" s="230">
        <v>1684800</v>
      </c>
      <c r="CH50" s="230">
        <v>41400</v>
      </c>
      <c r="CI50" s="229">
        <v>2.46E-2</v>
      </c>
      <c r="CJ50" s="230">
        <v>237600</v>
      </c>
      <c r="CK50" s="230">
        <v>225000</v>
      </c>
      <c r="CL50" s="230">
        <v>12600</v>
      </c>
      <c r="CM50" s="229">
        <v>5.6000000000000001E-2</v>
      </c>
      <c r="CN50" s="230">
        <v>17535600</v>
      </c>
      <c r="CO50" s="230">
        <v>17717400</v>
      </c>
      <c r="CP50" s="230">
        <v>-181800</v>
      </c>
      <c r="CQ50" s="229">
        <v>-1.03E-2</v>
      </c>
      <c r="CR50" s="230">
        <v>16605000</v>
      </c>
      <c r="CS50" s="230">
        <v>17035200</v>
      </c>
      <c r="CT50" s="230">
        <v>-430200</v>
      </c>
      <c r="CU50" s="229">
        <v>-2.53E-2</v>
      </c>
      <c r="CV50" s="230">
        <v>89100000</v>
      </c>
      <c r="CW50" s="230">
        <v>90262800</v>
      </c>
      <c r="CX50" s="230">
        <v>-1162800</v>
      </c>
      <c r="CY50" s="229">
        <v>-1.29E-2</v>
      </c>
      <c r="CZ50" s="228">
        <v>33.909999999999997</v>
      </c>
      <c r="DA50" s="228">
        <v>34.5</v>
      </c>
      <c r="DB50" s="228">
        <v>-0.59</v>
      </c>
      <c r="DC50" s="228">
        <v>-0.59</v>
      </c>
      <c r="DD50" s="228">
        <v>32.81</v>
      </c>
      <c r="DE50" s="228">
        <v>32.81</v>
      </c>
      <c r="DF50" s="228">
        <v>1.1000000000000001</v>
      </c>
      <c r="DG50" s="228">
        <v>0</v>
      </c>
      <c r="DH50" s="228">
        <v>32.53</v>
      </c>
      <c r="DI50" s="228">
        <v>33.36</v>
      </c>
      <c r="DJ50" s="228">
        <v>-0.83</v>
      </c>
      <c r="DK50" s="228">
        <v>-0.83</v>
      </c>
      <c r="DL50" s="228">
        <v>36.32</v>
      </c>
      <c r="DM50" s="228">
        <v>35.909999999999997</v>
      </c>
      <c r="DN50" s="228">
        <v>0.41</v>
      </c>
      <c r="DO50" s="228">
        <v>0.41</v>
      </c>
      <c r="DP50" s="228">
        <v>0.95</v>
      </c>
      <c r="DQ50" s="228">
        <v>0.96</v>
      </c>
      <c r="DR50" s="228">
        <v>-0.01</v>
      </c>
      <c r="DS50" s="229">
        <v>-1.04E-2</v>
      </c>
      <c r="DT50" s="228">
        <v>270</v>
      </c>
      <c r="DU50" s="228">
        <v>250</v>
      </c>
      <c r="DV50" s="228">
        <v>0.56999999999999995</v>
      </c>
      <c r="DW50" s="228">
        <v>0.81</v>
      </c>
      <c r="DX50" s="228">
        <v>-0.24</v>
      </c>
      <c r="DY50" s="229">
        <v>-0.29630000000000001</v>
      </c>
      <c r="DZ50" s="229">
        <v>3.5700000000000003E-2</v>
      </c>
      <c r="EA50" s="230">
        <v>1909800</v>
      </c>
      <c r="EB50" s="229">
        <v>7.1999999999999998E-3</v>
      </c>
      <c r="EC50" s="229">
        <v>3.5700000000000003E-2</v>
      </c>
      <c r="ED50" s="228">
        <v>1.74</v>
      </c>
      <c r="EE50" s="229">
        <v>6.4999999999999997E-3</v>
      </c>
      <c r="EF50" s="230">
        <v>1276539</v>
      </c>
      <c r="EG50" s="230">
        <v>2659912</v>
      </c>
      <c r="EH50" s="229">
        <v>-0.52010000000000001</v>
      </c>
      <c r="EI50" s="229">
        <v>0.438</v>
      </c>
      <c r="EJ50" s="231">
        <v>54681.25</v>
      </c>
      <c r="EK50" s="231">
        <v>29027.279999999999</v>
      </c>
      <c r="EL50" s="231">
        <v>17004.28</v>
      </c>
      <c r="EM50" s="231">
        <v>9876</v>
      </c>
      <c r="EN50" s="231">
        <v>100712.81</v>
      </c>
      <c r="EO50" s="231">
        <v>142953.48000000001</v>
      </c>
      <c r="EP50" s="231">
        <v>-42240.67</v>
      </c>
      <c r="EQ50" s="229">
        <v>-0.29549999999999998</v>
      </c>
      <c r="ER50" s="231">
        <v>45361</v>
      </c>
      <c r="ES50" s="231">
        <v>40272</v>
      </c>
      <c r="ET50" s="231">
        <v>146492</v>
      </c>
      <c r="EU50" s="231">
        <v>96587231</v>
      </c>
      <c r="EV50" s="231">
        <v>232125</v>
      </c>
      <c r="EW50" s="231">
        <v>232341</v>
      </c>
      <c r="EX50" s="228">
        <v>-216</v>
      </c>
      <c r="EY50" s="229">
        <v>-8.9999999999999998E-4</v>
      </c>
      <c r="EZ50" s="229">
        <v>0.92249999999999999</v>
      </c>
      <c r="FA50" s="227" t="s">
        <v>556</v>
      </c>
      <c r="FB50" s="161">
        <f t="shared" si="0"/>
        <v>1963800</v>
      </c>
    </row>
    <row r="51" spans="1:158" ht="17.25" hidden="1" thickBot="1" x14ac:dyDescent="0.3">
      <c r="A51" s="226">
        <v>46064</v>
      </c>
      <c r="B51" s="227" t="s">
        <v>184</v>
      </c>
      <c r="C51" s="227" t="s">
        <v>203</v>
      </c>
      <c r="D51" s="228">
        <v>200</v>
      </c>
      <c r="E51" s="231">
        <v>4376.3999999999996</v>
      </c>
      <c r="F51" s="231">
        <v>4409.7</v>
      </c>
      <c r="G51" s="228">
        <v>-33.299999999999997</v>
      </c>
      <c r="H51" s="229">
        <v>-7.6E-3</v>
      </c>
      <c r="I51" s="231">
        <v>4363.2</v>
      </c>
      <c r="J51" s="231">
        <v>4418.3</v>
      </c>
      <c r="K51" s="228">
        <v>-55.1</v>
      </c>
      <c r="L51" s="229">
        <v>-1.2500000000000001E-2</v>
      </c>
      <c r="M51" s="231">
        <v>4376.3999999999996</v>
      </c>
      <c r="N51" s="231">
        <v>4409.7</v>
      </c>
      <c r="O51" s="228">
        <v>-33.299999999999997</v>
      </c>
      <c r="P51" s="229">
        <v>-7.6E-3</v>
      </c>
      <c r="Q51" s="231">
        <v>4399.3999999999996</v>
      </c>
      <c r="R51" s="231">
        <v>4427.7</v>
      </c>
      <c r="S51" s="228">
        <v>-28.3</v>
      </c>
      <c r="T51" s="229">
        <v>-6.4000000000000003E-3</v>
      </c>
      <c r="U51" s="231">
        <v>4414.8999999999996</v>
      </c>
      <c r="V51" s="231">
        <v>4439.2</v>
      </c>
      <c r="W51" s="228">
        <v>-24.3</v>
      </c>
      <c r="X51" s="229">
        <v>-5.4999999999999997E-3</v>
      </c>
      <c r="Y51" s="228">
        <v>13.2</v>
      </c>
      <c r="Z51" s="228">
        <v>-8.6</v>
      </c>
      <c r="AA51" s="228">
        <v>21.8</v>
      </c>
      <c r="AB51" s="229">
        <v>3.0000000000000001E-3</v>
      </c>
      <c r="AC51" s="228">
        <v>13.2</v>
      </c>
      <c r="AD51" s="228">
        <v>-8.6</v>
      </c>
      <c r="AE51" s="228">
        <v>21.8</v>
      </c>
      <c r="AF51" s="229">
        <v>3.0000000000000001E-3</v>
      </c>
      <c r="AG51" s="228">
        <v>36.200000000000003</v>
      </c>
      <c r="AH51" s="228">
        <v>9.4</v>
      </c>
      <c r="AI51" s="228">
        <v>26.8</v>
      </c>
      <c r="AJ51" s="229">
        <v>8.3000000000000001E-3</v>
      </c>
      <c r="AK51" s="228">
        <v>51.7</v>
      </c>
      <c r="AL51" s="228">
        <v>20.9</v>
      </c>
      <c r="AM51" s="228">
        <v>30.8</v>
      </c>
      <c r="AN51" s="229">
        <v>1.18E-2</v>
      </c>
      <c r="AO51" s="231">
        <v>4419.9399999999996</v>
      </c>
      <c r="AP51" s="231">
        <v>4444.13</v>
      </c>
      <c r="AQ51" s="228">
        <v>0</v>
      </c>
      <c r="AR51" s="230">
        <v>526200</v>
      </c>
      <c r="AS51" s="230">
        <v>743600</v>
      </c>
      <c r="AT51" s="230">
        <v>-217400</v>
      </c>
      <c r="AU51" s="229">
        <v>-0.29239999999999999</v>
      </c>
      <c r="AV51" s="230">
        <v>492800</v>
      </c>
      <c r="AW51" s="230">
        <v>710800</v>
      </c>
      <c r="AX51" s="230">
        <v>-218000</v>
      </c>
      <c r="AY51" s="229">
        <v>-0.30669999999999997</v>
      </c>
      <c r="AZ51" s="230">
        <v>29800</v>
      </c>
      <c r="BA51" s="230">
        <v>28800</v>
      </c>
      <c r="BB51" s="230">
        <v>1000</v>
      </c>
      <c r="BC51" s="229">
        <v>3.4700000000000002E-2</v>
      </c>
      <c r="BD51" s="230">
        <v>3600</v>
      </c>
      <c r="BE51" s="230">
        <v>4000</v>
      </c>
      <c r="BF51" s="228">
        <v>-400</v>
      </c>
      <c r="BG51" s="229">
        <v>-0.1</v>
      </c>
      <c r="BH51" s="230">
        <v>2153000</v>
      </c>
      <c r="BI51" s="230">
        <v>1568400</v>
      </c>
      <c r="BJ51" s="230">
        <v>584600</v>
      </c>
      <c r="BK51" s="229">
        <v>0.37269999999999998</v>
      </c>
      <c r="BL51" s="230">
        <v>1090400</v>
      </c>
      <c r="BM51" s="230">
        <v>1166400</v>
      </c>
      <c r="BN51" s="230">
        <v>-76000</v>
      </c>
      <c r="BO51" s="229">
        <v>-6.5199999999999994E-2</v>
      </c>
      <c r="BP51" s="230">
        <v>3769600</v>
      </c>
      <c r="BQ51" s="230">
        <v>3478400</v>
      </c>
      <c r="BR51" s="230">
        <v>291200</v>
      </c>
      <c r="BS51" s="229">
        <v>8.3699999999999997E-2</v>
      </c>
      <c r="BT51" s="230">
        <v>298928</v>
      </c>
      <c r="BU51" s="230">
        <v>670927</v>
      </c>
      <c r="BV51" s="230">
        <v>-371999</v>
      </c>
      <c r="BW51" s="229">
        <v>-0.55449999999999999</v>
      </c>
      <c r="BX51" s="230">
        <v>3467400</v>
      </c>
      <c r="BY51" s="230">
        <v>3505400</v>
      </c>
      <c r="BZ51" s="230">
        <v>-38000</v>
      </c>
      <c r="CA51" s="229">
        <v>-1.0800000000000001E-2</v>
      </c>
      <c r="CB51" s="230">
        <v>3407800</v>
      </c>
      <c r="CC51" s="230">
        <v>3450800</v>
      </c>
      <c r="CD51" s="230">
        <v>-43000</v>
      </c>
      <c r="CE51" s="229">
        <v>-1.2500000000000001E-2</v>
      </c>
      <c r="CF51" s="230">
        <v>56000</v>
      </c>
      <c r="CG51" s="230">
        <v>51800</v>
      </c>
      <c r="CH51" s="230">
        <v>4200</v>
      </c>
      <c r="CI51" s="229">
        <v>8.1100000000000005E-2</v>
      </c>
      <c r="CJ51" s="230">
        <v>3600</v>
      </c>
      <c r="CK51" s="230">
        <v>2800</v>
      </c>
      <c r="CL51" s="228">
        <v>800</v>
      </c>
      <c r="CM51" s="229">
        <v>0.28570000000000001</v>
      </c>
      <c r="CN51" s="230">
        <v>1120600</v>
      </c>
      <c r="CO51" s="230">
        <v>1080800</v>
      </c>
      <c r="CP51" s="230">
        <v>39800</v>
      </c>
      <c r="CQ51" s="229">
        <v>3.6799999999999999E-2</v>
      </c>
      <c r="CR51" s="230">
        <v>999200</v>
      </c>
      <c r="CS51" s="230">
        <v>1021800</v>
      </c>
      <c r="CT51" s="230">
        <v>-22600</v>
      </c>
      <c r="CU51" s="229">
        <v>-2.2100000000000002E-2</v>
      </c>
      <c r="CV51" s="230">
        <v>5587200</v>
      </c>
      <c r="CW51" s="230">
        <v>5608000</v>
      </c>
      <c r="CX51" s="230">
        <v>-20800</v>
      </c>
      <c r="CY51" s="229">
        <v>-3.7000000000000002E-3</v>
      </c>
      <c r="CZ51" s="228">
        <v>30.2</v>
      </c>
      <c r="DA51" s="228">
        <v>31.37</v>
      </c>
      <c r="DB51" s="228">
        <v>-1.17</v>
      </c>
      <c r="DC51" s="228">
        <v>-1.17</v>
      </c>
      <c r="DD51" s="228">
        <v>33.840000000000003</v>
      </c>
      <c r="DE51" s="228">
        <v>33.909999999999997</v>
      </c>
      <c r="DF51" s="228">
        <v>-3.64</v>
      </c>
      <c r="DG51" s="228">
        <v>-7.0000000000000007E-2</v>
      </c>
      <c r="DH51" s="228">
        <v>29.46</v>
      </c>
      <c r="DI51" s="228">
        <v>30.09</v>
      </c>
      <c r="DJ51" s="228">
        <v>-0.63</v>
      </c>
      <c r="DK51" s="228">
        <v>-0.63</v>
      </c>
      <c r="DL51" s="228">
        <v>31.66</v>
      </c>
      <c r="DM51" s="228">
        <v>33.1</v>
      </c>
      <c r="DN51" s="228">
        <v>-1.44</v>
      </c>
      <c r="DO51" s="228">
        <v>-1.44</v>
      </c>
      <c r="DP51" s="228">
        <v>0.89</v>
      </c>
      <c r="DQ51" s="228">
        <v>0.95</v>
      </c>
      <c r="DR51" s="228">
        <v>-0.06</v>
      </c>
      <c r="DS51" s="229">
        <v>-6.3200000000000006E-2</v>
      </c>
      <c r="DT51" s="231">
        <v>4400</v>
      </c>
      <c r="DU51" s="231">
        <v>4000</v>
      </c>
      <c r="DV51" s="228">
        <v>0.51</v>
      </c>
      <c r="DW51" s="228">
        <v>0.74</v>
      </c>
      <c r="DX51" s="228">
        <v>-0.23</v>
      </c>
      <c r="DY51" s="229">
        <v>-0.31080000000000002</v>
      </c>
      <c r="DZ51" s="229">
        <v>1.72E-2</v>
      </c>
      <c r="EA51" s="230">
        <v>54600</v>
      </c>
      <c r="EB51" s="229">
        <v>5.3E-3</v>
      </c>
      <c r="EC51" s="229">
        <v>1.72E-2</v>
      </c>
      <c r="ED51" s="228">
        <v>24.19</v>
      </c>
      <c r="EE51" s="229">
        <v>5.4999999999999997E-3</v>
      </c>
      <c r="EF51" s="230">
        <v>129122</v>
      </c>
      <c r="EG51" s="230">
        <v>393955</v>
      </c>
      <c r="EH51" s="229">
        <v>-0.67220000000000002</v>
      </c>
      <c r="EI51" s="229">
        <v>0.432</v>
      </c>
      <c r="EJ51" s="231">
        <v>98963.95</v>
      </c>
      <c r="EK51" s="231">
        <v>46771.24</v>
      </c>
      <c r="EL51" s="231">
        <v>23266.19</v>
      </c>
      <c r="EM51" s="231">
        <v>7718</v>
      </c>
      <c r="EN51" s="231">
        <v>169001.38</v>
      </c>
      <c r="EO51" s="231">
        <v>153490.14000000001</v>
      </c>
      <c r="EP51" s="231">
        <v>15511.24</v>
      </c>
      <c r="EQ51" s="229">
        <v>0.1011</v>
      </c>
      <c r="ER51" s="231">
        <v>50296</v>
      </c>
      <c r="ES51" s="231">
        <v>40252</v>
      </c>
      <c r="ET51" s="231">
        <v>151762</v>
      </c>
      <c r="EU51" s="231">
        <v>19131188</v>
      </c>
      <c r="EV51" s="231">
        <v>242309</v>
      </c>
      <c r="EW51" s="231">
        <v>244196</v>
      </c>
      <c r="EX51" s="231">
        <v>-1887</v>
      </c>
      <c r="EY51" s="229">
        <v>-7.7000000000000002E-3</v>
      </c>
      <c r="EZ51" s="229">
        <v>0.29199999999999998</v>
      </c>
      <c r="FA51" s="227" t="s">
        <v>568</v>
      </c>
      <c r="FB51" s="161">
        <f t="shared" si="0"/>
        <v>59600</v>
      </c>
    </row>
    <row r="52" spans="1:158" ht="17.25" hidden="1" thickBot="1" x14ac:dyDescent="0.3">
      <c r="A52" s="226">
        <v>46064</v>
      </c>
      <c r="B52" s="227" t="s">
        <v>168</v>
      </c>
      <c r="C52" s="227" t="s">
        <v>204</v>
      </c>
      <c r="D52" s="228">
        <v>1250</v>
      </c>
      <c r="E52" s="228">
        <v>523.29999999999995</v>
      </c>
      <c r="F52" s="228">
        <v>520</v>
      </c>
      <c r="G52" s="228">
        <v>3.3</v>
      </c>
      <c r="H52" s="229">
        <v>6.3E-3</v>
      </c>
      <c r="I52" s="228">
        <v>522.35</v>
      </c>
      <c r="J52" s="228">
        <v>519.70000000000005</v>
      </c>
      <c r="K52" s="228">
        <v>2.65</v>
      </c>
      <c r="L52" s="229">
        <v>5.1000000000000004E-3</v>
      </c>
      <c r="M52" s="228">
        <v>523.29999999999995</v>
      </c>
      <c r="N52" s="228">
        <v>520</v>
      </c>
      <c r="O52" s="228">
        <v>3.3</v>
      </c>
      <c r="P52" s="229">
        <v>6.3E-3</v>
      </c>
      <c r="Q52" s="228">
        <v>525.65</v>
      </c>
      <c r="R52" s="228">
        <v>522.70000000000005</v>
      </c>
      <c r="S52" s="228">
        <v>2.95</v>
      </c>
      <c r="T52" s="229">
        <v>5.5999999999999999E-3</v>
      </c>
      <c r="U52" s="228">
        <v>528.9</v>
      </c>
      <c r="V52" s="228">
        <v>525.4</v>
      </c>
      <c r="W52" s="228">
        <v>3.5</v>
      </c>
      <c r="X52" s="229">
        <v>6.7000000000000002E-3</v>
      </c>
      <c r="Y52" s="228">
        <v>0.95</v>
      </c>
      <c r="Z52" s="228">
        <v>0.3</v>
      </c>
      <c r="AA52" s="228">
        <v>0.65</v>
      </c>
      <c r="AB52" s="229">
        <v>1.8E-3</v>
      </c>
      <c r="AC52" s="228">
        <v>0.95</v>
      </c>
      <c r="AD52" s="228">
        <v>0.3</v>
      </c>
      <c r="AE52" s="228">
        <v>0.65</v>
      </c>
      <c r="AF52" s="229">
        <v>1.8E-3</v>
      </c>
      <c r="AG52" s="228">
        <v>3.3</v>
      </c>
      <c r="AH52" s="228">
        <v>3</v>
      </c>
      <c r="AI52" s="228">
        <v>0.3</v>
      </c>
      <c r="AJ52" s="229">
        <v>6.3E-3</v>
      </c>
      <c r="AK52" s="228">
        <v>6.55</v>
      </c>
      <c r="AL52" s="228">
        <v>5.7</v>
      </c>
      <c r="AM52" s="228">
        <v>0.85</v>
      </c>
      <c r="AN52" s="229">
        <v>1.2500000000000001E-2</v>
      </c>
      <c r="AO52" s="228">
        <v>521.47</v>
      </c>
      <c r="AP52" s="228">
        <v>524.08000000000004</v>
      </c>
      <c r="AQ52" s="228">
        <v>0</v>
      </c>
      <c r="AR52" s="230">
        <v>1591250</v>
      </c>
      <c r="AS52" s="230">
        <v>2071250</v>
      </c>
      <c r="AT52" s="230">
        <v>-480000</v>
      </c>
      <c r="AU52" s="229">
        <v>-0.23169999999999999</v>
      </c>
      <c r="AV52" s="230">
        <v>1418750</v>
      </c>
      <c r="AW52" s="230">
        <v>1922500</v>
      </c>
      <c r="AX52" s="230">
        <v>-503750</v>
      </c>
      <c r="AY52" s="229">
        <v>-0.26200000000000001</v>
      </c>
      <c r="AZ52" s="230">
        <v>143750</v>
      </c>
      <c r="BA52" s="230">
        <v>130000</v>
      </c>
      <c r="BB52" s="230">
        <v>13750</v>
      </c>
      <c r="BC52" s="229">
        <v>0.10580000000000001</v>
      </c>
      <c r="BD52" s="230">
        <v>28750</v>
      </c>
      <c r="BE52" s="230">
        <v>18750</v>
      </c>
      <c r="BF52" s="230">
        <v>10000</v>
      </c>
      <c r="BG52" s="229">
        <v>0.5333</v>
      </c>
      <c r="BH52" s="230">
        <v>12995000</v>
      </c>
      <c r="BI52" s="230">
        <v>12421250</v>
      </c>
      <c r="BJ52" s="230">
        <v>573750</v>
      </c>
      <c r="BK52" s="229">
        <v>4.6199999999999998E-2</v>
      </c>
      <c r="BL52" s="230">
        <v>6638750</v>
      </c>
      <c r="BM52" s="230">
        <v>4845000</v>
      </c>
      <c r="BN52" s="230">
        <v>1793750</v>
      </c>
      <c r="BO52" s="229">
        <v>0.37019999999999997</v>
      </c>
      <c r="BP52" s="230">
        <v>21225000</v>
      </c>
      <c r="BQ52" s="230">
        <v>19337500</v>
      </c>
      <c r="BR52" s="230">
        <v>1887500</v>
      </c>
      <c r="BS52" s="229">
        <v>9.7600000000000006E-2</v>
      </c>
      <c r="BT52" s="230">
        <v>1340395</v>
      </c>
      <c r="BU52" s="230">
        <v>1183856</v>
      </c>
      <c r="BV52" s="230">
        <v>156539</v>
      </c>
      <c r="BW52" s="229">
        <v>0.13220000000000001</v>
      </c>
      <c r="BX52" s="230">
        <v>25526250</v>
      </c>
      <c r="BY52" s="230">
        <v>25788750</v>
      </c>
      <c r="BZ52" s="230">
        <v>-262500</v>
      </c>
      <c r="CA52" s="229">
        <v>-1.0200000000000001E-2</v>
      </c>
      <c r="CB52" s="230">
        <v>25140000</v>
      </c>
      <c r="CC52" s="230">
        <v>25393750</v>
      </c>
      <c r="CD52" s="230">
        <v>-253750</v>
      </c>
      <c r="CE52" s="229">
        <v>-0.01</v>
      </c>
      <c r="CF52" s="230">
        <v>333750</v>
      </c>
      <c r="CG52" s="230">
        <v>336250</v>
      </c>
      <c r="CH52" s="230">
        <v>-2500</v>
      </c>
      <c r="CI52" s="229">
        <v>-7.4000000000000003E-3</v>
      </c>
      <c r="CJ52" s="230">
        <v>52500</v>
      </c>
      <c r="CK52" s="230">
        <v>58750</v>
      </c>
      <c r="CL52" s="230">
        <v>-6250</v>
      </c>
      <c r="CM52" s="229">
        <v>-0.10639999999999999</v>
      </c>
      <c r="CN52" s="230">
        <v>13151250</v>
      </c>
      <c r="CO52" s="230">
        <v>12725000</v>
      </c>
      <c r="CP52" s="230">
        <v>426250</v>
      </c>
      <c r="CQ52" s="229">
        <v>3.3500000000000002E-2</v>
      </c>
      <c r="CR52" s="230">
        <v>7576250</v>
      </c>
      <c r="CS52" s="230">
        <v>7568750</v>
      </c>
      <c r="CT52" s="230">
        <v>7500</v>
      </c>
      <c r="CU52" s="229">
        <v>1E-3</v>
      </c>
      <c r="CV52" s="230">
        <v>46253750</v>
      </c>
      <c r="CW52" s="230">
        <v>46082500</v>
      </c>
      <c r="CX52" s="230">
        <v>171250</v>
      </c>
      <c r="CY52" s="229">
        <v>3.7000000000000002E-3</v>
      </c>
      <c r="CZ52" s="228">
        <v>22.76</v>
      </c>
      <c r="DA52" s="228">
        <v>23.53</v>
      </c>
      <c r="DB52" s="228">
        <v>-0.77</v>
      </c>
      <c r="DC52" s="228">
        <v>-0.77</v>
      </c>
      <c r="DD52" s="228">
        <v>24.11</v>
      </c>
      <c r="DE52" s="228">
        <v>24.16</v>
      </c>
      <c r="DF52" s="228">
        <v>-1.35</v>
      </c>
      <c r="DG52" s="228">
        <v>-0.05</v>
      </c>
      <c r="DH52" s="228">
        <v>22.39</v>
      </c>
      <c r="DI52" s="228">
        <v>23.21</v>
      </c>
      <c r="DJ52" s="228">
        <v>-0.82</v>
      </c>
      <c r="DK52" s="228">
        <v>-0.82</v>
      </c>
      <c r="DL52" s="228">
        <v>23.48</v>
      </c>
      <c r="DM52" s="228">
        <v>24.37</v>
      </c>
      <c r="DN52" s="228">
        <v>-0.89</v>
      </c>
      <c r="DO52" s="228">
        <v>-0.89</v>
      </c>
      <c r="DP52" s="228">
        <v>0.57999999999999996</v>
      </c>
      <c r="DQ52" s="228">
        <v>0.59</v>
      </c>
      <c r="DR52" s="228">
        <v>-0.01</v>
      </c>
      <c r="DS52" s="229">
        <v>-1.6899999999999998E-2</v>
      </c>
      <c r="DT52" s="228">
        <v>550</v>
      </c>
      <c r="DU52" s="228">
        <v>490</v>
      </c>
      <c r="DV52" s="228">
        <v>0.51</v>
      </c>
      <c r="DW52" s="228">
        <v>0.39</v>
      </c>
      <c r="DX52" s="228">
        <v>0.12</v>
      </c>
      <c r="DY52" s="229">
        <v>0.30769999999999997</v>
      </c>
      <c r="DZ52" s="229">
        <v>1.5100000000000001E-2</v>
      </c>
      <c r="EA52" s="230">
        <v>395000</v>
      </c>
      <c r="EB52" s="229">
        <v>4.4999999999999997E-3</v>
      </c>
      <c r="EC52" s="229">
        <v>1.5100000000000001E-2</v>
      </c>
      <c r="ED52" s="228">
        <v>2.61</v>
      </c>
      <c r="EE52" s="229">
        <v>5.0000000000000001E-3</v>
      </c>
      <c r="EF52" s="230">
        <v>797040</v>
      </c>
      <c r="EG52" s="230">
        <v>688183</v>
      </c>
      <c r="EH52" s="229">
        <v>0.15820000000000001</v>
      </c>
      <c r="EI52" s="229">
        <v>0.59460000000000002</v>
      </c>
      <c r="EJ52" s="231">
        <v>70101.11</v>
      </c>
      <c r="EK52" s="231">
        <v>33104.699999999997</v>
      </c>
      <c r="EL52" s="231">
        <v>8303.3700000000008</v>
      </c>
      <c r="EM52" s="231">
        <v>1934</v>
      </c>
      <c r="EN52" s="231">
        <v>111509.18</v>
      </c>
      <c r="EO52" s="231">
        <v>101129.27</v>
      </c>
      <c r="EP52" s="231">
        <v>10379.91</v>
      </c>
      <c r="EQ52" s="229">
        <v>0.1026</v>
      </c>
      <c r="ER52" s="231">
        <v>71180</v>
      </c>
      <c r="ES52" s="231">
        <v>37266</v>
      </c>
      <c r="ET52" s="231">
        <v>133590</v>
      </c>
      <c r="EU52" s="231">
        <v>89873278</v>
      </c>
      <c r="EV52" s="231">
        <v>242036</v>
      </c>
      <c r="EW52" s="231">
        <v>239886</v>
      </c>
      <c r="EX52" s="231">
        <v>2150</v>
      </c>
      <c r="EY52" s="229">
        <v>8.9999999999999993E-3</v>
      </c>
      <c r="EZ52" s="229">
        <v>0.51470000000000005</v>
      </c>
      <c r="FA52" s="227" t="s">
        <v>556</v>
      </c>
      <c r="FB52" s="161">
        <f t="shared" si="0"/>
        <v>386250</v>
      </c>
    </row>
    <row r="53" spans="1:158" ht="17.25" hidden="1" thickBot="1" x14ac:dyDescent="0.3">
      <c r="A53" s="226">
        <v>46064</v>
      </c>
      <c r="B53" s="227" t="s">
        <v>157</v>
      </c>
      <c r="C53" s="227" t="s">
        <v>524</v>
      </c>
      <c r="D53" s="228">
        <v>325</v>
      </c>
      <c r="E53" s="231">
        <v>2181.6999999999998</v>
      </c>
      <c r="F53" s="231">
        <v>2194.5</v>
      </c>
      <c r="G53" s="228">
        <v>-12.8</v>
      </c>
      <c r="H53" s="229">
        <v>-5.7999999999999996E-3</v>
      </c>
      <c r="I53" s="231">
        <v>2175.1999999999998</v>
      </c>
      <c r="J53" s="231">
        <v>2191.4</v>
      </c>
      <c r="K53" s="228">
        <v>-16.2</v>
      </c>
      <c r="L53" s="229">
        <v>-7.4000000000000003E-3</v>
      </c>
      <c r="M53" s="231">
        <v>2181.6999999999998</v>
      </c>
      <c r="N53" s="231">
        <v>2194.5</v>
      </c>
      <c r="O53" s="228">
        <v>-12.8</v>
      </c>
      <c r="P53" s="229">
        <v>-5.7999999999999996E-3</v>
      </c>
      <c r="Q53" s="231">
        <v>2194.6</v>
      </c>
      <c r="R53" s="231">
        <v>2207.6999999999998</v>
      </c>
      <c r="S53" s="228">
        <v>-13.1</v>
      </c>
      <c r="T53" s="229">
        <v>-5.8999999999999999E-3</v>
      </c>
      <c r="U53" s="231">
        <v>2207.9</v>
      </c>
      <c r="V53" s="231">
        <v>2230.6</v>
      </c>
      <c r="W53" s="228">
        <v>-22.7</v>
      </c>
      <c r="X53" s="229">
        <v>-1.0200000000000001E-2</v>
      </c>
      <c r="Y53" s="228">
        <v>6.5</v>
      </c>
      <c r="Z53" s="228">
        <v>3.1</v>
      </c>
      <c r="AA53" s="228">
        <v>3.4</v>
      </c>
      <c r="AB53" s="229">
        <v>3.0000000000000001E-3</v>
      </c>
      <c r="AC53" s="228">
        <v>6.5</v>
      </c>
      <c r="AD53" s="228">
        <v>3.1</v>
      </c>
      <c r="AE53" s="228">
        <v>3.4</v>
      </c>
      <c r="AF53" s="229">
        <v>3.0000000000000001E-3</v>
      </c>
      <c r="AG53" s="228">
        <v>19.399999999999999</v>
      </c>
      <c r="AH53" s="228">
        <v>16.3</v>
      </c>
      <c r="AI53" s="228">
        <v>3.1</v>
      </c>
      <c r="AJ53" s="229">
        <v>8.8999999999999999E-3</v>
      </c>
      <c r="AK53" s="228">
        <v>32.700000000000003</v>
      </c>
      <c r="AL53" s="228">
        <v>39.200000000000003</v>
      </c>
      <c r="AM53" s="228">
        <v>-6.5</v>
      </c>
      <c r="AN53" s="229">
        <v>1.4999999999999999E-2</v>
      </c>
      <c r="AO53" s="231">
        <v>2178.34</v>
      </c>
      <c r="AP53" s="231">
        <v>2192.64</v>
      </c>
      <c r="AQ53" s="228">
        <v>0</v>
      </c>
      <c r="AR53" s="230">
        <v>432575</v>
      </c>
      <c r="AS53" s="230">
        <v>403975</v>
      </c>
      <c r="AT53" s="230">
        <v>28600</v>
      </c>
      <c r="AU53" s="229">
        <v>7.0800000000000002E-2</v>
      </c>
      <c r="AV53" s="230">
        <v>387400</v>
      </c>
      <c r="AW53" s="230">
        <v>367575</v>
      </c>
      <c r="AX53" s="230">
        <v>19825</v>
      </c>
      <c r="AY53" s="229">
        <v>5.3900000000000003E-2</v>
      </c>
      <c r="AZ53" s="230">
        <v>43875</v>
      </c>
      <c r="BA53" s="230">
        <v>35425</v>
      </c>
      <c r="BB53" s="230">
        <v>8450</v>
      </c>
      <c r="BC53" s="229">
        <v>0.23849999999999999</v>
      </c>
      <c r="BD53" s="230">
        <v>1300</v>
      </c>
      <c r="BE53" s="228">
        <v>975</v>
      </c>
      <c r="BF53" s="228">
        <v>325</v>
      </c>
      <c r="BG53" s="229">
        <v>0.33329999999999999</v>
      </c>
      <c r="BH53" s="230">
        <v>312650</v>
      </c>
      <c r="BI53" s="230">
        <v>817700</v>
      </c>
      <c r="BJ53" s="230">
        <v>-505050</v>
      </c>
      <c r="BK53" s="229">
        <v>-0.61760000000000004</v>
      </c>
      <c r="BL53" s="230">
        <v>354900</v>
      </c>
      <c r="BM53" s="230">
        <v>296075</v>
      </c>
      <c r="BN53" s="230">
        <v>58825</v>
      </c>
      <c r="BO53" s="229">
        <v>0.19869999999999999</v>
      </c>
      <c r="BP53" s="230">
        <v>1100125</v>
      </c>
      <c r="BQ53" s="230">
        <v>1517750</v>
      </c>
      <c r="BR53" s="230">
        <v>-417625</v>
      </c>
      <c r="BS53" s="229">
        <v>-0.2752</v>
      </c>
      <c r="BT53" s="230">
        <v>160265</v>
      </c>
      <c r="BU53" s="230">
        <v>209957</v>
      </c>
      <c r="BV53" s="230">
        <v>-49692</v>
      </c>
      <c r="BW53" s="229">
        <v>-0.23669999999999999</v>
      </c>
      <c r="BX53" s="230">
        <v>2778425</v>
      </c>
      <c r="BY53" s="230">
        <v>2673125</v>
      </c>
      <c r="BZ53" s="230">
        <v>105300</v>
      </c>
      <c r="CA53" s="229">
        <v>3.9399999999999998E-2</v>
      </c>
      <c r="CB53" s="230">
        <v>2701400</v>
      </c>
      <c r="CC53" s="230">
        <v>2621450</v>
      </c>
      <c r="CD53" s="230">
        <v>79950</v>
      </c>
      <c r="CE53" s="229">
        <v>3.0499999999999999E-2</v>
      </c>
      <c r="CF53" s="230">
        <v>72475</v>
      </c>
      <c r="CG53" s="230">
        <v>47775</v>
      </c>
      <c r="CH53" s="230">
        <v>24700</v>
      </c>
      <c r="CI53" s="229">
        <v>0.51700000000000002</v>
      </c>
      <c r="CJ53" s="230">
        <v>4550</v>
      </c>
      <c r="CK53" s="230">
        <v>3900</v>
      </c>
      <c r="CL53" s="228">
        <v>650</v>
      </c>
      <c r="CM53" s="229">
        <v>0.16669999999999999</v>
      </c>
      <c r="CN53" s="230">
        <v>870025</v>
      </c>
      <c r="CO53" s="230">
        <v>843375</v>
      </c>
      <c r="CP53" s="230">
        <v>26650</v>
      </c>
      <c r="CQ53" s="229">
        <v>3.1600000000000003E-2</v>
      </c>
      <c r="CR53" s="230">
        <v>1841450</v>
      </c>
      <c r="CS53" s="230">
        <v>1801800</v>
      </c>
      <c r="CT53" s="230">
        <v>39650</v>
      </c>
      <c r="CU53" s="229">
        <v>2.1999999999999999E-2</v>
      </c>
      <c r="CV53" s="230">
        <v>5489900</v>
      </c>
      <c r="CW53" s="230">
        <v>5318300</v>
      </c>
      <c r="CX53" s="230">
        <v>171600</v>
      </c>
      <c r="CY53" s="229">
        <v>3.2300000000000002E-2</v>
      </c>
      <c r="CZ53" s="228">
        <v>31.88</v>
      </c>
      <c r="DA53" s="228">
        <v>32.36</v>
      </c>
      <c r="DB53" s="228">
        <v>-0.48</v>
      </c>
      <c r="DC53" s="228">
        <v>-0.48</v>
      </c>
      <c r="DD53" s="228">
        <v>30.49</v>
      </c>
      <c r="DE53" s="228">
        <v>30.55</v>
      </c>
      <c r="DF53" s="228">
        <v>1.39</v>
      </c>
      <c r="DG53" s="228">
        <v>-0.06</v>
      </c>
      <c r="DH53" s="228">
        <v>30.32</v>
      </c>
      <c r="DI53" s="228">
        <v>31.13</v>
      </c>
      <c r="DJ53" s="228">
        <v>-0.81</v>
      </c>
      <c r="DK53" s="228">
        <v>-0.81</v>
      </c>
      <c r="DL53" s="228">
        <v>33.26</v>
      </c>
      <c r="DM53" s="228">
        <v>35.75</v>
      </c>
      <c r="DN53" s="228">
        <v>-2.4900000000000002</v>
      </c>
      <c r="DO53" s="228">
        <v>-2.4900000000000002</v>
      </c>
      <c r="DP53" s="228">
        <v>2.12</v>
      </c>
      <c r="DQ53" s="228">
        <v>2.14</v>
      </c>
      <c r="DR53" s="228">
        <v>-0.02</v>
      </c>
      <c r="DS53" s="229">
        <v>-9.2999999999999992E-3</v>
      </c>
      <c r="DT53" s="231">
        <v>2300</v>
      </c>
      <c r="DU53" s="231">
        <v>2000</v>
      </c>
      <c r="DV53" s="228">
        <v>1.1399999999999999</v>
      </c>
      <c r="DW53" s="228">
        <v>0.36</v>
      </c>
      <c r="DX53" s="228">
        <v>0.78</v>
      </c>
      <c r="DY53" s="229">
        <v>2.1667000000000001</v>
      </c>
      <c r="DZ53" s="229">
        <v>2.7699999999999999E-2</v>
      </c>
      <c r="EA53" s="230">
        <v>51675</v>
      </c>
      <c r="EB53" s="229">
        <v>5.8999999999999999E-3</v>
      </c>
      <c r="EC53" s="229">
        <v>2.7699999999999999E-2</v>
      </c>
      <c r="ED53" s="228">
        <v>14.3</v>
      </c>
      <c r="EE53" s="229">
        <v>6.6E-3</v>
      </c>
      <c r="EF53" s="230">
        <v>97803</v>
      </c>
      <c r="EG53" s="230">
        <v>127024</v>
      </c>
      <c r="EH53" s="229">
        <v>-0.23</v>
      </c>
      <c r="EI53" s="229">
        <v>0.61029999999999995</v>
      </c>
      <c r="EJ53" s="231">
        <v>7165.52</v>
      </c>
      <c r="EK53" s="231">
        <v>7533.3</v>
      </c>
      <c r="EL53" s="231">
        <v>9429.57</v>
      </c>
      <c r="EM53" s="231">
        <v>1177</v>
      </c>
      <c r="EN53" s="231">
        <v>24128.39</v>
      </c>
      <c r="EO53" s="231">
        <v>33988.620000000003</v>
      </c>
      <c r="EP53" s="231">
        <v>-9860.23</v>
      </c>
      <c r="EQ53" s="229">
        <v>-0.29010000000000002</v>
      </c>
      <c r="ER53" s="231">
        <v>19443</v>
      </c>
      <c r="ES53" s="231">
        <v>36849</v>
      </c>
      <c r="ET53" s="231">
        <v>60627</v>
      </c>
      <c r="EU53" s="231">
        <v>12425041</v>
      </c>
      <c r="EV53" s="231">
        <v>116920</v>
      </c>
      <c r="EW53" s="231">
        <v>113534</v>
      </c>
      <c r="EX53" s="231">
        <v>3386</v>
      </c>
      <c r="EY53" s="229">
        <v>2.98E-2</v>
      </c>
      <c r="EZ53" s="229">
        <v>0.44180000000000003</v>
      </c>
      <c r="FA53" s="227" t="s">
        <v>567</v>
      </c>
      <c r="FB53" s="161">
        <f t="shared" si="0"/>
        <v>77025</v>
      </c>
    </row>
    <row r="54" spans="1:158" ht="17.25" hidden="1" thickBot="1" x14ac:dyDescent="0.3">
      <c r="A54" s="226">
        <v>46064</v>
      </c>
      <c r="B54" s="227" t="s">
        <v>615</v>
      </c>
      <c r="C54" s="227" t="s">
        <v>600</v>
      </c>
      <c r="D54" s="228">
        <v>2075</v>
      </c>
      <c r="E54" s="228">
        <v>430.15</v>
      </c>
      <c r="F54" s="228">
        <v>436.75</v>
      </c>
      <c r="G54" s="228">
        <v>-6.6</v>
      </c>
      <c r="H54" s="229">
        <v>-1.5100000000000001E-2</v>
      </c>
      <c r="I54" s="228">
        <v>429.5</v>
      </c>
      <c r="J54" s="228">
        <v>435.95</v>
      </c>
      <c r="K54" s="228">
        <v>-6.45</v>
      </c>
      <c r="L54" s="229">
        <v>-1.4800000000000001E-2</v>
      </c>
      <c r="M54" s="228">
        <v>430.15</v>
      </c>
      <c r="N54" s="228">
        <v>436.75</v>
      </c>
      <c r="O54" s="228">
        <v>-6.6</v>
      </c>
      <c r="P54" s="229">
        <v>-1.5100000000000001E-2</v>
      </c>
      <c r="Q54" s="228">
        <v>433.55</v>
      </c>
      <c r="R54" s="228">
        <v>439.4</v>
      </c>
      <c r="S54" s="228">
        <v>-5.85</v>
      </c>
      <c r="T54" s="229">
        <v>-1.3299999999999999E-2</v>
      </c>
      <c r="U54" s="228">
        <v>432</v>
      </c>
      <c r="V54" s="228">
        <v>443.9</v>
      </c>
      <c r="W54" s="228">
        <v>-11.9</v>
      </c>
      <c r="X54" s="229">
        <v>-2.6800000000000001E-2</v>
      </c>
      <c r="Y54" s="228">
        <v>0.65</v>
      </c>
      <c r="Z54" s="228">
        <v>0.8</v>
      </c>
      <c r="AA54" s="228">
        <v>-0.15</v>
      </c>
      <c r="AB54" s="229">
        <v>1.5E-3</v>
      </c>
      <c r="AC54" s="228">
        <v>0.65</v>
      </c>
      <c r="AD54" s="228">
        <v>0.8</v>
      </c>
      <c r="AE54" s="228">
        <v>-0.15</v>
      </c>
      <c r="AF54" s="229">
        <v>1.5E-3</v>
      </c>
      <c r="AG54" s="228">
        <v>4.05</v>
      </c>
      <c r="AH54" s="228">
        <v>3.45</v>
      </c>
      <c r="AI54" s="228">
        <v>0.6</v>
      </c>
      <c r="AJ54" s="229">
        <v>9.4000000000000004E-3</v>
      </c>
      <c r="AK54" s="228">
        <v>2.5</v>
      </c>
      <c r="AL54" s="228">
        <v>7.95</v>
      </c>
      <c r="AM54" s="228">
        <v>-5.45</v>
      </c>
      <c r="AN54" s="229">
        <v>5.7999999999999996E-3</v>
      </c>
      <c r="AO54" s="228">
        <v>429.71</v>
      </c>
      <c r="AP54" s="228">
        <v>432.39</v>
      </c>
      <c r="AQ54" s="228">
        <v>0</v>
      </c>
      <c r="AR54" s="230">
        <v>5635700</v>
      </c>
      <c r="AS54" s="230">
        <v>7472075</v>
      </c>
      <c r="AT54" s="230">
        <v>-1836375</v>
      </c>
      <c r="AU54" s="229">
        <v>-0.24579999999999999</v>
      </c>
      <c r="AV54" s="230">
        <v>5280875</v>
      </c>
      <c r="AW54" s="230">
        <v>6926350</v>
      </c>
      <c r="AX54" s="230">
        <v>-1645475</v>
      </c>
      <c r="AY54" s="229">
        <v>-0.23760000000000001</v>
      </c>
      <c r="AZ54" s="230">
        <v>346525</v>
      </c>
      <c r="BA54" s="230">
        <v>524975</v>
      </c>
      <c r="BB54" s="230">
        <v>-178450</v>
      </c>
      <c r="BC54" s="229">
        <v>-0.33989999999999998</v>
      </c>
      <c r="BD54" s="230">
        <v>8300</v>
      </c>
      <c r="BE54" s="230">
        <v>20750</v>
      </c>
      <c r="BF54" s="230">
        <v>-12450</v>
      </c>
      <c r="BG54" s="229">
        <v>-0.6</v>
      </c>
      <c r="BH54" s="230">
        <v>10082425</v>
      </c>
      <c r="BI54" s="230">
        <v>14105850</v>
      </c>
      <c r="BJ54" s="230">
        <v>-4023425</v>
      </c>
      <c r="BK54" s="229">
        <v>-0.28520000000000001</v>
      </c>
      <c r="BL54" s="230">
        <v>3984000</v>
      </c>
      <c r="BM54" s="230">
        <v>5162600</v>
      </c>
      <c r="BN54" s="230">
        <v>-1178600</v>
      </c>
      <c r="BO54" s="229">
        <v>-0.2283</v>
      </c>
      <c r="BP54" s="230">
        <v>19702125</v>
      </c>
      <c r="BQ54" s="230">
        <v>26740525</v>
      </c>
      <c r="BR54" s="230">
        <v>-7038400</v>
      </c>
      <c r="BS54" s="229">
        <v>-0.26319999999999999</v>
      </c>
      <c r="BT54" s="230">
        <v>4054312</v>
      </c>
      <c r="BU54" s="230">
        <v>5503714</v>
      </c>
      <c r="BV54" s="230">
        <v>-1449402</v>
      </c>
      <c r="BW54" s="229">
        <v>-0.26329999999999998</v>
      </c>
      <c r="BX54" s="230">
        <v>24557625</v>
      </c>
      <c r="BY54" s="230">
        <v>23735925</v>
      </c>
      <c r="BZ54" s="230">
        <v>821700</v>
      </c>
      <c r="CA54" s="229">
        <v>3.4599999999999999E-2</v>
      </c>
      <c r="CB54" s="230">
        <v>23922675</v>
      </c>
      <c r="CC54" s="230">
        <v>23177750</v>
      </c>
      <c r="CD54" s="230">
        <v>744925</v>
      </c>
      <c r="CE54" s="229">
        <v>3.2099999999999997E-2</v>
      </c>
      <c r="CF54" s="230">
        <v>487625</v>
      </c>
      <c r="CG54" s="230">
        <v>415000</v>
      </c>
      <c r="CH54" s="230">
        <v>72625</v>
      </c>
      <c r="CI54" s="229">
        <v>0.17499999999999999</v>
      </c>
      <c r="CJ54" s="230">
        <v>147325</v>
      </c>
      <c r="CK54" s="230">
        <v>143175</v>
      </c>
      <c r="CL54" s="230">
        <v>4150</v>
      </c>
      <c r="CM54" s="229">
        <v>2.9000000000000001E-2</v>
      </c>
      <c r="CN54" s="230">
        <v>10846025</v>
      </c>
      <c r="CO54" s="230">
        <v>11065975</v>
      </c>
      <c r="CP54" s="230">
        <v>-219950</v>
      </c>
      <c r="CQ54" s="229">
        <v>-1.9900000000000001E-2</v>
      </c>
      <c r="CR54" s="230">
        <v>6195950</v>
      </c>
      <c r="CS54" s="230">
        <v>6353650</v>
      </c>
      <c r="CT54" s="230">
        <v>-157700</v>
      </c>
      <c r="CU54" s="229">
        <v>-2.4799999999999999E-2</v>
      </c>
      <c r="CV54" s="230">
        <v>41599600</v>
      </c>
      <c r="CW54" s="230">
        <v>41155550</v>
      </c>
      <c r="CX54" s="230">
        <v>444050</v>
      </c>
      <c r="CY54" s="229">
        <v>1.0800000000000001E-2</v>
      </c>
      <c r="CZ54" s="228">
        <v>35.229999999999997</v>
      </c>
      <c r="DA54" s="228">
        <v>34.79</v>
      </c>
      <c r="DB54" s="228">
        <v>0.44</v>
      </c>
      <c r="DC54" s="228">
        <v>0.44</v>
      </c>
      <c r="DD54" s="228">
        <v>39.61</v>
      </c>
      <c r="DE54" s="228">
        <v>39.659999999999997</v>
      </c>
      <c r="DF54" s="228">
        <v>-4.38</v>
      </c>
      <c r="DG54" s="228">
        <v>-0.05</v>
      </c>
      <c r="DH54" s="228">
        <v>35.35</v>
      </c>
      <c r="DI54" s="228">
        <v>34.479999999999997</v>
      </c>
      <c r="DJ54" s="228">
        <v>0.87</v>
      </c>
      <c r="DK54" s="228">
        <v>0.87</v>
      </c>
      <c r="DL54" s="228">
        <v>34.92</v>
      </c>
      <c r="DM54" s="228">
        <v>35.630000000000003</v>
      </c>
      <c r="DN54" s="228">
        <v>-0.71</v>
      </c>
      <c r="DO54" s="228">
        <v>-0.71</v>
      </c>
      <c r="DP54" s="228">
        <v>0.56999999999999995</v>
      </c>
      <c r="DQ54" s="228">
        <v>0.56999999999999995</v>
      </c>
      <c r="DR54" s="228">
        <v>0</v>
      </c>
      <c r="DS54" s="229">
        <v>0</v>
      </c>
      <c r="DT54" s="228">
        <v>450</v>
      </c>
      <c r="DU54" s="228">
        <v>400</v>
      </c>
      <c r="DV54" s="228">
        <v>0.4</v>
      </c>
      <c r="DW54" s="228">
        <v>0.37</v>
      </c>
      <c r="DX54" s="228">
        <v>0.03</v>
      </c>
      <c r="DY54" s="229">
        <v>8.1100000000000005E-2</v>
      </c>
      <c r="DZ54" s="229">
        <v>2.5899999999999999E-2</v>
      </c>
      <c r="EA54" s="230">
        <v>558175</v>
      </c>
      <c r="EB54" s="229">
        <v>7.9000000000000008E-3</v>
      </c>
      <c r="EC54" s="229">
        <v>2.5899999999999999E-2</v>
      </c>
      <c r="ED54" s="228">
        <v>2.68</v>
      </c>
      <c r="EE54" s="229">
        <v>6.1999999999999998E-3</v>
      </c>
      <c r="EF54" s="230">
        <v>2721411</v>
      </c>
      <c r="EG54" s="230">
        <v>2826836</v>
      </c>
      <c r="EH54" s="229">
        <v>-3.73E-2</v>
      </c>
      <c r="EI54" s="229">
        <v>0.67120000000000002</v>
      </c>
      <c r="EJ54" s="231">
        <v>46397.26</v>
      </c>
      <c r="EK54" s="231">
        <v>16732.27</v>
      </c>
      <c r="EL54" s="231">
        <v>24226.81</v>
      </c>
      <c r="EM54" s="231">
        <v>2045</v>
      </c>
      <c r="EN54" s="231">
        <v>87356.34</v>
      </c>
      <c r="EO54" s="231">
        <v>119847.57</v>
      </c>
      <c r="EP54" s="231">
        <v>-32491.23</v>
      </c>
      <c r="EQ54" s="229">
        <v>-0.27110000000000001</v>
      </c>
      <c r="ER54" s="231">
        <v>49492</v>
      </c>
      <c r="ES54" s="231">
        <v>25358</v>
      </c>
      <c r="ET54" s="231">
        <v>105654</v>
      </c>
      <c r="EU54" s="231">
        <v>112112283</v>
      </c>
      <c r="EV54" s="231">
        <v>180505</v>
      </c>
      <c r="EW54" s="231">
        <v>180366</v>
      </c>
      <c r="EX54" s="228">
        <v>139</v>
      </c>
      <c r="EY54" s="229">
        <v>8.0000000000000004E-4</v>
      </c>
      <c r="EZ54" s="229">
        <v>0.37109999999999999</v>
      </c>
      <c r="FA54" s="227" t="s">
        <v>567</v>
      </c>
      <c r="FB54" s="161">
        <f t="shared" si="0"/>
        <v>634950</v>
      </c>
    </row>
    <row r="55" spans="1:158" ht="17.25" hidden="1" thickBot="1" x14ac:dyDescent="0.3">
      <c r="A55" s="226">
        <v>46064</v>
      </c>
      <c r="B55" s="227" t="s">
        <v>170</v>
      </c>
      <c r="C55" s="227" t="s">
        <v>205</v>
      </c>
      <c r="D55" s="228">
        <v>100</v>
      </c>
      <c r="E55" s="231">
        <v>6363</v>
      </c>
      <c r="F55" s="231">
        <v>6182</v>
      </c>
      <c r="G55" s="228">
        <v>181</v>
      </c>
      <c r="H55" s="229">
        <v>2.93E-2</v>
      </c>
      <c r="I55" s="231">
        <v>6386.5</v>
      </c>
      <c r="J55" s="231">
        <v>6175.5</v>
      </c>
      <c r="K55" s="228">
        <v>211</v>
      </c>
      <c r="L55" s="229">
        <v>3.4200000000000001E-2</v>
      </c>
      <c r="M55" s="231">
        <v>6363</v>
      </c>
      <c r="N55" s="231">
        <v>6182</v>
      </c>
      <c r="O55" s="228">
        <v>181</v>
      </c>
      <c r="P55" s="229">
        <v>2.93E-2</v>
      </c>
      <c r="Q55" s="231">
        <v>6401</v>
      </c>
      <c r="R55" s="231">
        <v>6219.5</v>
      </c>
      <c r="S55" s="228">
        <v>181.5</v>
      </c>
      <c r="T55" s="229">
        <v>2.92E-2</v>
      </c>
      <c r="U55" s="231">
        <v>6442.5</v>
      </c>
      <c r="V55" s="231">
        <v>6249</v>
      </c>
      <c r="W55" s="228">
        <v>193.5</v>
      </c>
      <c r="X55" s="229">
        <v>3.1E-2</v>
      </c>
      <c r="Y55" s="228">
        <v>-23.5</v>
      </c>
      <c r="Z55" s="228">
        <v>6.5</v>
      </c>
      <c r="AA55" s="228">
        <v>-30</v>
      </c>
      <c r="AB55" s="229">
        <v>-3.7000000000000002E-3</v>
      </c>
      <c r="AC55" s="228">
        <v>-23.5</v>
      </c>
      <c r="AD55" s="228">
        <v>6.5</v>
      </c>
      <c r="AE55" s="228">
        <v>-30</v>
      </c>
      <c r="AF55" s="229">
        <v>-3.7000000000000002E-3</v>
      </c>
      <c r="AG55" s="228">
        <v>14.5</v>
      </c>
      <c r="AH55" s="228">
        <v>44</v>
      </c>
      <c r="AI55" s="228">
        <v>-29.5</v>
      </c>
      <c r="AJ55" s="229">
        <v>2.3E-3</v>
      </c>
      <c r="AK55" s="228">
        <v>56</v>
      </c>
      <c r="AL55" s="228">
        <v>73.5</v>
      </c>
      <c r="AM55" s="228">
        <v>-17.5</v>
      </c>
      <c r="AN55" s="229">
        <v>8.8000000000000005E-3</v>
      </c>
      <c r="AO55" s="231">
        <v>6269.32</v>
      </c>
      <c r="AP55" s="231">
        <v>6317.27</v>
      </c>
      <c r="AQ55" s="228">
        <v>0</v>
      </c>
      <c r="AR55" s="230">
        <v>2374700</v>
      </c>
      <c r="AS55" s="230">
        <v>580300</v>
      </c>
      <c r="AT55" s="230">
        <v>1794400</v>
      </c>
      <c r="AU55" s="229">
        <v>3.0922000000000001</v>
      </c>
      <c r="AV55" s="230">
        <v>2264000</v>
      </c>
      <c r="AW55" s="230">
        <v>560600</v>
      </c>
      <c r="AX55" s="230">
        <v>1703400</v>
      </c>
      <c r="AY55" s="229">
        <v>3.0385</v>
      </c>
      <c r="AZ55" s="230">
        <v>103300</v>
      </c>
      <c r="BA55" s="230">
        <v>18000</v>
      </c>
      <c r="BB55" s="230">
        <v>85300</v>
      </c>
      <c r="BC55" s="229">
        <v>4.7389000000000001</v>
      </c>
      <c r="BD55" s="230">
        <v>7400</v>
      </c>
      <c r="BE55" s="230">
        <v>1700</v>
      </c>
      <c r="BF55" s="230">
        <v>5700</v>
      </c>
      <c r="BG55" s="229">
        <v>3.3529</v>
      </c>
      <c r="BH55" s="230">
        <v>14308200</v>
      </c>
      <c r="BI55" s="230">
        <v>2235700</v>
      </c>
      <c r="BJ55" s="230">
        <v>12072500</v>
      </c>
      <c r="BK55" s="229">
        <v>5.3998999999999997</v>
      </c>
      <c r="BL55" s="230">
        <v>6243100</v>
      </c>
      <c r="BM55" s="230">
        <v>731900</v>
      </c>
      <c r="BN55" s="230">
        <v>5511200</v>
      </c>
      <c r="BO55" s="229">
        <v>7.53</v>
      </c>
      <c r="BP55" s="230">
        <v>22926000</v>
      </c>
      <c r="BQ55" s="230">
        <v>3547900</v>
      </c>
      <c r="BR55" s="230">
        <v>19378100</v>
      </c>
      <c r="BS55" s="229">
        <v>5.4619</v>
      </c>
      <c r="BT55" s="230">
        <v>1314231</v>
      </c>
      <c r="BU55" s="230">
        <v>243838</v>
      </c>
      <c r="BV55" s="230">
        <v>1070393</v>
      </c>
      <c r="BW55" s="229">
        <v>4.3898000000000001</v>
      </c>
      <c r="BX55" s="230">
        <v>3492300</v>
      </c>
      <c r="BY55" s="230">
        <v>3529600</v>
      </c>
      <c r="BZ55" s="230">
        <v>-37300</v>
      </c>
      <c r="CA55" s="229">
        <v>-1.06E-2</v>
      </c>
      <c r="CB55" s="230">
        <v>3407200</v>
      </c>
      <c r="CC55" s="230">
        <v>3447600</v>
      </c>
      <c r="CD55" s="230">
        <v>-40400</v>
      </c>
      <c r="CE55" s="229">
        <v>-1.17E-2</v>
      </c>
      <c r="CF55" s="230">
        <v>79500</v>
      </c>
      <c r="CG55" s="230">
        <v>76300</v>
      </c>
      <c r="CH55" s="230">
        <v>3200</v>
      </c>
      <c r="CI55" s="229">
        <v>4.19E-2</v>
      </c>
      <c r="CJ55" s="230">
        <v>5600</v>
      </c>
      <c r="CK55" s="230">
        <v>5700</v>
      </c>
      <c r="CL55" s="228">
        <v>-100</v>
      </c>
      <c r="CM55" s="229">
        <v>-1.7500000000000002E-2</v>
      </c>
      <c r="CN55" s="230">
        <v>1797600</v>
      </c>
      <c r="CO55" s="230">
        <v>1289200</v>
      </c>
      <c r="CP55" s="230">
        <v>508400</v>
      </c>
      <c r="CQ55" s="229">
        <v>0.39439999999999997</v>
      </c>
      <c r="CR55" s="230">
        <v>1141900</v>
      </c>
      <c r="CS55" s="230">
        <v>853200</v>
      </c>
      <c r="CT55" s="230">
        <v>288700</v>
      </c>
      <c r="CU55" s="229">
        <v>0.33839999999999998</v>
      </c>
      <c r="CV55" s="230">
        <v>6431800</v>
      </c>
      <c r="CW55" s="230">
        <v>5672000</v>
      </c>
      <c r="CX55" s="230">
        <v>759800</v>
      </c>
      <c r="CY55" s="229">
        <v>0.13400000000000001</v>
      </c>
      <c r="CZ55" s="228">
        <v>32.130000000000003</v>
      </c>
      <c r="DA55" s="228">
        <v>38.450000000000003</v>
      </c>
      <c r="DB55" s="228">
        <v>-6.32</v>
      </c>
      <c r="DC55" s="228">
        <v>-6.32</v>
      </c>
      <c r="DD55" s="228">
        <v>30.7</v>
      </c>
      <c r="DE55" s="228">
        <v>30.42</v>
      </c>
      <c r="DF55" s="228">
        <v>1.43</v>
      </c>
      <c r="DG55" s="228">
        <v>0.28000000000000003</v>
      </c>
      <c r="DH55" s="228">
        <v>31.34</v>
      </c>
      <c r="DI55" s="228">
        <v>38.4</v>
      </c>
      <c r="DJ55" s="228">
        <v>-7.06</v>
      </c>
      <c r="DK55" s="228">
        <v>-7.06</v>
      </c>
      <c r="DL55" s="228">
        <v>33.92</v>
      </c>
      <c r="DM55" s="228">
        <v>38.590000000000003</v>
      </c>
      <c r="DN55" s="228">
        <v>-4.67</v>
      </c>
      <c r="DO55" s="228">
        <v>-4.67</v>
      </c>
      <c r="DP55" s="228">
        <v>0.64</v>
      </c>
      <c r="DQ55" s="228">
        <v>0.66</v>
      </c>
      <c r="DR55" s="228">
        <v>-0.02</v>
      </c>
      <c r="DS55" s="229">
        <v>-3.0300000000000001E-2</v>
      </c>
      <c r="DT55" s="231">
        <v>7100</v>
      </c>
      <c r="DU55" s="231">
        <v>6200</v>
      </c>
      <c r="DV55" s="228">
        <v>0.44</v>
      </c>
      <c r="DW55" s="228">
        <v>0.33</v>
      </c>
      <c r="DX55" s="228">
        <v>0.11</v>
      </c>
      <c r="DY55" s="229">
        <v>0.33329999999999999</v>
      </c>
      <c r="DZ55" s="229">
        <v>2.4400000000000002E-2</v>
      </c>
      <c r="EA55" s="230">
        <v>82000</v>
      </c>
      <c r="EB55" s="229">
        <v>6.0000000000000001E-3</v>
      </c>
      <c r="EC55" s="229">
        <v>2.4400000000000002E-2</v>
      </c>
      <c r="ED55" s="228">
        <v>47.95</v>
      </c>
      <c r="EE55" s="229">
        <v>7.6E-3</v>
      </c>
      <c r="EF55" s="230">
        <v>316320</v>
      </c>
      <c r="EG55" s="230">
        <v>123147</v>
      </c>
      <c r="EH55" s="229">
        <v>1.5686</v>
      </c>
      <c r="EI55" s="229">
        <v>0.2407</v>
      </c>
      <c r="EJ55" s="231">
        <v>942371.2</v>
      </c>
      <c r="EK55" s="231">
        <v>382566.95</v>
      </c>
      <c r="EL55" s="231">
        <v>148933.46</v>
      </c>
      <c r="EM55" s="231">
        <v>6480</v>
      </c>
      <c r="EN55" s="231">
        <v>1473871.61</v>
      </c>
      <c r="EO55" s="231">
        <v>226354.47</v>
      </c>
      <c r="EP55" s="231">
        <v>1247517.1399999999</v>
      </c>
      <c r="EQ55" s="229">
        <v>5.5113000000000003</v>
      </c>
      <c r="ER55" s="231">
        <v>118059</v>
      </c>
      <c r="ES55" s="231">
        <v>67884</v>
      </c>
      <c r="ET55" s="231">
        <v>222250</v>
      </c>
      <c r="EU55" s="231">
        <v>14898112</v>
      </c>
      <c r="EV55" s="231">
        <v>408193</v>
      </c>
      <c r="EW55" s="231">
        <v>352025</v>
      </c>
      <c r="EX55" s="231">
        <v>56168</v>
      </c>
      <c r="EY55" s="229">
        <v>0.15959999999999999</v>
      </c>
      <c r="EZ55" s="229">
        <v>0.43169999999999997</v>
      </c>
      <c r="FA55" s="227" t="s">
        <v>556</v>
      </c>
      <c r="FB55" s="161">
        <f t="shared" si="0"/>
        <v>85100</v>
      </c>
    </row>
    <row r="56" spans="1:158" ht="17.25" hidden="1" thickBot="1" x14ac:dyDescent="0.3">
      <c r="A56" s="226">
        <v>46064</v>
      </c>
      <c r="B56" s="227" t="s">
        <v>184</v>
      </c>
      <c r="C56" s="227" t="s">
        <v>512</v>
      </c>
      <c r="D56" s="228">
        <v>50</v>
      </c>
      <c r="E56" s="231">
        <v>11776</v>
      </c>
      <c r="F56" s="231">
        <v>11621</v>
      </c>
      <c r="G56" s="228">
        <v>155</v>
      </c>
      <c r="H56" s="229">
        <v>1.3299999999999999E-2</v>
      </c>
      <c r="I56" s="231">
        <v>11741</v>
      </c>
      <c r="J56" s="231">
        <v>11609</v>
      </c>
      <c r="K56" s="228">
        <v>132</v>
      </c>
      <c r="L56" s="229">
        <v>1.14E-2</v>
      </c>
      <c r="M56" s="231">
        <v>11776</v>
      </c>
      <c r="N56" s="231">
        <v>11621</v>
      </c>
      <c r="O56" s="228">
        <v>155</v>
      </c>
      <c r="P56" s="229">
        <v>1.3299999999999999E-2</v>
      </c>
      <c r="Q56" s="231">
        <v>11827</v>
      </c>
      <c r="R56" s="231">
        <v>11685</v>
      </c>
      <c r="S56" s="228">
        <v>142</v>
      </c>
      <c r="T56" s="229">
        <v>1.2200000000000001E-2</v>
      </c>
      <c r="U56" s="231">
        <v>11905</v>
      </c>
      <c r="V56" s="231">
        <v>11761</v>
      </c>
      <c r="W56" s="228">
        <v>144</v>
      </c>
      <c r="X56" s="229">
        <v>1.2200000000000001E-2</v>
      </c>
      <c r="Y56" s="228">
        <v>35</v>
      </c>
      <c r="Z56" s="228">
        <v>12</v>
      </c>
      <c r="AA56" s="228">
        <v>23</v>
      </c>
      <c r="AB56" s="229">
        <v>3.0000000000000001E-3</v>
      </c>
      <c r="AC56" s="228">
        <v>35</v>
      </c>
      <c r="AD56" s="228">
        <v>12</v>
      </c>
      <c r="AE56" s="228">
        <v>23</v>
      </c>
      <c r="AF56" s="229">
        <v>3.0000000000000001E-3</v>
      </c>
      <c r="AG56" s="228">
        <v>86</v>
      </c>
      <c r="AH56" s="228">
        <v>76</v>
      </c>
      <c r="AI56" s="228">
        <v>10</v>
      </c>
      <c r="AJ56" s="229">
        <v>7.3000000000000001E-3</v>
      </c>
      <c r="AK56" s="228">
        <v>164</v>
      </c>
      <c r="AL56" s="228">
        <v>152</v>
      </c>
      <c r="AM56" s="228">
        <v>12</v>
      </c>
      <c r="AN56" s="229">
        <v>1.4E-2</v>
      </c>
      <c r="AO56" s="231">
        <v>11686.31</v>
      </c>
      <c r="AP56" s="231">
        <v>11739.27</v>
      </c>
      <c r="AQ56" s="228">
        <v>0</v>
      </c>
      <c r="AR56" s="230">
        <v>624700</v>
      </c>
      <c r="AS56" s="230">
        <v>662700</v>
      </c>
      <c r="AT56" s="230">
        <v>-38000</v>
      </c>
      <c r="AU56" s="229">
        <v>-5.7299999999999997E-2</v>
      </c>
      <c r="AV56" s="230">
        <v>534950</v>
      </c>
      <c r="AW56" s="230">
        <v>552450</v>
      </c>
      <c r="AX56" s="230">
        <v>-17500</v>
      </c>
      <c r="AY56" s="229">
        <v>-3.1699999999999999E-2</v>
      </c>
      <c r="AZ56" s="230">
        <v>82350</v>
      </c>
      <c r="BA56" s="230">
        <v>99500</v>
      </c>
      <c r="BB56" s="230">
        <v>-17150</v>
      </c>
      <c r="BC56" s="229">
        <v>-0.1724</v>
      </c>
      <c r="BD56" s="230">
        <v>7400</v>
      </c>
      <c r="BE56" s="230">
        <v>10750</v>
      </c>
      <c r="BF56" s="230">
        <v>-3350</v>
      </c>
      <c r="BG56" s="229">
        <v>-0.31159999999999999</v>
      </c>
      <c r="BH56" s="230">
        <v>3312850</v>
      </c>
      <c r="BI56" s="230">
        <v>3227250</v>
      </c>
      <c r="BJ56" s="230">
        <v>85600</v>
      </c>
      <c r="BK56" s="229">
        <v>2.6499999999999999E-2</v>
      </c>
      <c r="BL56" s="230">
        <v>1507250</v>
      </c>
      <c r="BM56" s="230">
        <v>1610950</v>
      </c>
      <c r="BN56" s="230">
        <v>-103700</v>
      </c>
      <c r="BO56" s="229">
        <v>-6.4399999999999999E-2</v>
      </c>
      <c r="BP56" s="230">
        <v>5444800</v>
      </c>
      <c r="BQ56" s="230">
        <v>5500900</v>
      </c>
      <c r="BR56" s="230">
        <v>-56100</v>
      </c>
      <c r="BS56" s="229">
        <v>-1.0200000000000001E-2</v>
      </c>
      <c r="BT56" s="230">
        <v>478989</v>
      </c>
      <c r="BU56" s="230">
        <v>596494</v>
      </c>
      <c r="BV56" s="230">
        <v>-117505</v>
      </c>
      <c r="BW56" s="229">
        <v>-0.19700000000000001</v>
      </c>
      <c r="BX56" s="230">
        <v>2570350</v>
      </c>
      <c r="BY56" s="230">
        <v>2586850</v>
      </c>
      <c r="BZ56" s="230">
        <v>-16500</v>
      </c>
      <c r="CA56" s="229">
        <v>-6.4000000000000003E-3</v>
      </c>
      <c r="CB56" s="230">
        <v>2339150</v>
      </c>
      <c r="CC56" s="230">
        <v>2355600</v>
      </c>
      <c r="CD56" s="230">
        <v>-16450</v>
      </c>
      <c r="CE56" s="229">
        <v>-7.0000000000000001E-3</v>
      </c>
      <c r="CF56" s="230">
        <v>202350</v>
      </c>
      <c r="CG56" s="230">
        <v>203250</v>
      </c>
      <c r="CH56" s="228">
        <v>-900</v>
      </c>
      <c r="CI56" s="229">
        <v>-4.4000000000000003E-3</v>
      </c>
      <c r="CJ56" s="230">
        <v>28850</v>
      </c>
      <c r="CK56" s="230">
        <v>28000</v>
      </c>
      <c r="CL56" s="228">
        <v>850</v>
      </c>
      <c r="CM56" s="229">
        <v>3.04E-2</v>
      </c>
      <c r="CN56" s="230">
        <v>2074150</v>
      </c>
      <c r="CO56" s="230">
        <v>2137050</v>
      </c>
      <c r="CP56" s="230">
        <v>-62900</v>
      </c>
      <c r="CQ56" s="229">
        <v>-2.9399999999999999E-2</v>
      </c>
      <c r="CR56" s="230">
        <v>1614250</v>
      </c>
      <c r="CS56" s="230">
        <v>1559900</v>
      </c>
      <c r="CT56" s="230">
        <v>54350</v>
      </c>
      <c r="CU56" s="229">
        <v>3.4799999999999998E-2</v>
      </c>
      <c r="CV56" s="230">
        <v>6258750</v>
      </c>
      <c r="CW56" s="230">
        <v>6283800</v>
      </c>
      <c r="CX56" s="230">
        <v>-25050</v>
      </c>
      <c r="CY56" s="229">
        <v>-4.0000000000000001E-3</v>
      </c>
      <c r="CZ56" s="228">
        <v>42</v>
      </c>
      <c r="DA56" s="228">
        <v>44.43</v>
      </c>
      <c r="DB56" s="228">
        <v>-2.4300000000000002</v>
      </c>
      <c r="DC56" s="228">
        <v>-2.4300000000000002</v>
      </c>
      <c r="DD56" s="228">
        <v>45.22</v>
      </c>
      <c r="DE56" s="228">
        <v>45.31</v>
      </c>
      <c r="DF56" s="228">
        <v>-3.22</v>
      </c>
      <c r="DG56" s="228">
        <v>-0.09</v>
      </c>
      <c r="DH56" s="228">
        <v>41.02</v>
      </c>
      <c r="DI56" s="228">
        <v>43.03</v>
      </c>
      <c r="DJ56" s="228">
        <v>-2.0099999999999998</v>
      </c>
      <c r="DK56" s="228">
        <v>-2.0099999999999998</v>
      </c>
      <c r="DL56" s="228">
        <v>44.14</v>
      </c>
      <c r="DM56" s="228">
        <v>47.22</v>
      </c>
      <c r="DN56" s="228">
        <v>-3.08</v>
      </c>
      <c r="DO56" s="228">
        <v>-3.08</v>
      </c>
      <c r="DP56" s="228">
        <v>0.78</v>
      </c>
      <c r="DQ56" s="228">
        <v>0.73</v>
      </c>
      <c r="DR56" s="228">
        <v>0.05</v>
      </c>
      <c r="DS56" s="229">
        <v>6.8500000000000005E-2</v>
      </c>
      <c r="DT56" s="231">
        <v>12000</v>
      </c>
      <c r="DU56" s="231">
        <v>11000</v>
      </c>
      <c r="DV56" s="228">
        <v>0.45</v>
      </c>
      <c r="DW56" s="228">
        <v>0.5</v>
      </c>
      <c r="DX56" s="228">
        <v>-0.05</v>
      </c>
      <c r="DY56" s="229">
        <v>-0.1</v>
      </c>
      <c r="DZ56" s="229">
        <v>8.9899999999999994E-2</v>
      </c>
      <c r="EA56" s="230">
        <v>231250</v>
      </c>
      <c r="EB56" s="229">
        <v>4.3E-3</v>
      </c>
      <c r="EC56" s="229">
        <v>8.9899999999999994E-2</v>
      </c>
      <c r="ED56" s="228">
        <v>52.96</v>
      </c>
      <c r="EE56" s="229">
        <v>4.4999999999999997E-3</v>
      </c>
      <c r="EF56" s="230">
        <v>126851</v>
      </c>
      <c r="EG56" s="230">
        <v>177993</v>
      </c>
      <c r="EH56" s="229">
        <v>-0.2873</v>
      </c>
      <c r="EI56" s="229">
        <v>0.26479999999999998</v>
      </c>
      <c r="EJ56" s="231">
        <v>411188.66</v>
      </c>
      <c r="EK56" s="231">
        <v>168496.53</v>
      </c>
      <c r="EL56" s="231">
        <v>73057.66</v>
      </c>
      <c r="EM56" s="231">
        <v>19550</v>
      </c>
      <c r="EN56" s="231">
        <v>652742.85</v>
      </c>
      <c r="EO56" s="231">
        <v>658278.52</v>
      </c>
      <c r="EP56" s="231">
        <v>-5535.67</v>
      </c>
      <c r="EQ56" s="229">
        <v>-8.3999999999999995E-3</v>
      </c>
      <c r="ER56" s="231">
        <v>253447</v>
      </c>
      <c r="ES56" s="231">
        <v>172267</v>
      </c>
      <c r="ET56" s="231">
        <v>302825</v>
      </c>
      <c r="EU56" s="231">
        <v>6452220</v>
      </c>
      <c r="EV56" s="231">
        <v>728539</v>
      </c>
      <c r="EW56" s="231">
        <v>727630</v>
      </c>
      <c r="EX56" s="228">
        <v>909</v>
      </c>
      <c r="EY56" s="229">
        <v>1.1999999999999999E-3</v>
      </c>
      <c r="EZ56" s="229">
        <v>0.97</v>
      </c>
      <c r="FA56" s="227" t="s">
        <v>556</v>
      </c>
      <c r="FB56" s="161">
        <f t="shared" si="0"/>
        <v>231200</v>
      </c>
    </row>
    <row r="57" spans="1:158" ht="17.25" hidden="1" thickBot="1" x14ac:dyDescent="0.3">
      <c r="A57" s="226">
        <v>46064</v>
      </c>
      <c r="B57" s="227" t="s">
        <v>206</v>
      </c>
      <c r="C57" s="227" t="s">
        <v>207</v>
      </c>
      <c r="D57" s="228">
        <v>825</v>
      </c>
      <c r="E57" s="228">
        <v>672.55</v>
      </c>
      <c r="F57" s="228">
        <v>674.15</v>
      </c>
      <c r="G57" s="228">
        <v>-1.6</v>
      </c>
      <c r="H57" s="229">
        <v>-2.3999999999999998E-3</v>
      </c>
      <c r="I57" s="228">
        <v>672.05</v>
      </c>
      <c r="J57" s="228">
        <v>671.8</v>
      </c>
      <c r="K57" s="228">
        <v>0.25</v>
      </c>
      <c r="L57" s="229">
        <v>4.0000000000000002E-4</v>
      </c>
      <c r="M57" s="228">
        <v>672.55</v>
      </c>
      <c r="N57" s="228">
        <v>674.15</v>
      </c>
      <c r="O57" s="228">
        <v>-1.6</v>
      </c>
      <c r="P57" s="229">
        <v>-2.3999999999999998E-3</v>
      </c>
      <c r="Q57" s="228">
        <v>676.8</v>
      </c>
      <c r="R57" s="228">
        <v>678</v>
      </c>
      <c r="S57" s="228">
        <v>-1.2</v>
      </c>
      <c r="T57" s="229">
        <v>-1.8E-3</v>
      </c>
      <c r="U57" s="228">
        <v>680.85</v>
      </c>
      <c r="V57" s="228">
        <v>682.25</v>
      </c>
      <c r="W57" s="228">
        <v>-1.4</v>
      </c>
      <c r="X57" s="229">
        <v>-2.0999999999999999E-3</v>
      </c>
      <c r="Y57" s="228">
        <v>0.5</v>
      </c>
      <c r="Z57" s="228">
        <v>2.35</v>
      </c>
      <c r="AA57" s="228">
        <v>-1.85</v>
      </c>
      <c r="AB57" s="229">
        <v>6.9999999999999999E-4</v>
      </c>
      <c r="AC57" s="228">
        <v>0.5</v>
      </c>
      <c r="AD57" s="228">
        <v>2.35</v>
      </c>
      <c r="AE57" s="228">
        <v>-1.85</v>
      </c>
      <c r="AF57" s="229">
        <v>6.9999999999999999E-4</v>
      </c>
      <c r="AG57" s="228">
        <v>4.75</v>
      </c>
      <c r="AH57" s="228">
        <v>6.2</v>
      </c>
      <c r="AI57" s="228">
        <v>-1.45</v>
      </c>
      <c r="AJ57" s="229">
        <v>7.1000000000000004E-3</v>
      </c>
      <c r="AK57" s="228">
        <v>8.8000000000000007</v>
      </c>
      <c r="AL57" s="228">
        <v>10.45</v>
      </c>
      <c r="AM57" s="228">
        <v>-1.65</v>
      </c>
      <c r="AN57" s="229">
        <v>1.3100000000000001E-2</v>
      </c>
      <c r="AO57" s="228">
        <v>669.1</v>
      </c>
      <c r="AP57" s="228">
        <v>672.85</v>
      </c>
      <c r="AQ57" s="228">
        <v>0</v>
      </c>
      <c r="AR57" s="230">
        <v>4205850</v>
      </c>
      <c r="AS57" s="230">
        <v>4609275</v>
      </c>
      <c r="AT57" s="230">
        <v>-403425</v>
      </c>
      <c r="AU57" s="229">
        <v>-8.7499999999999994E-2</v>
      </c>
      <c r="AV57" s="230">
        <v>3724050</v>
      </c>
      <c r="AW57" s="230">
        <v>3953400</v>
      </c>
      <c r="AX57" s="230">
        <v>-229350</v>
      </c>
      <c r="AY57" s="229">
        <v>-5.8000000000000003E-2</v>
      </c>
      <c r="AZ57" s="230">
        <v>431475</v>
      </c>
      <c r="BA57" s="230">
        <v>611325</v>
      </c>
      <c r="BB57" s="230">
        <v>-179850</v>
      </c>
      <c r="BC57" s="229">
        <v>-0.29420000000000002</v>
      </c>
      <c r="BD57" s="230">
        <v>50325</v>
      </c>
      <c r="BE57" s="230">
        <v>44550</v>
      </c>
      <c r="BF57" s="230">
        <v>5775</v>
      </c>
      <c r="BG57" s="229">
        <v>0.12959999999999999</v>
      </c>
      <c r="BH57" s="230">
        <v>11934450</v>
      </c>
      <c r="BI57" s="230">
        <v>12450075</v>
      </c>
      <c r="BJ57" s="230">
        <v>-515625</v>
      </c>
      <c r="BK57" s="229">
        <v>-4.1399999999999999E-2</v>
      </c>
      <c r="BL57" s="230">
        <v>7557825</v>
      </c>
      <c r="BM57" s="230">
        <v>5472225</v>
      </c>
      <c r="BN57" s="230">
        <v>2085600</v>
      </c>
      <c r="BO57" s="229">
        <v>0.38109999999999999</v>
      </c>
      <c r="BP57" s="230">
        <v>23698125</v>
      </c>
      <c r="BQ57" s="230">
        <v>22531575</v>
      </c>
      <c r="BR57" s="230">
        <v>1166550</v>
      </c>
      <c r="BS57" s="229">
        <v>5.1799999999999999E-2</v>
      </c>
      <c r="BT57" s="230">
        <v>2052114</v>
      </c>
      <c r="BU57" s="230">
        <v>2973986</v>
      </c>
      <c r="BV57" s="230">
        <v>-921872</v>
      </c>
      <c r="BW57" s="229">
        <v>-0.31</v>
      </c>
      <c r="BX57" s="230">
        <v>51687900</v>
      </c>
      <c r="BY57" s="230">
        <v>51712650</v>
      </c>
      <c r="BZ57" s="230">
        <v>-24750</v>
      </c>
      <c r="CA57" s="229">
        <v>-5.0000000000000001E-4</v>
      </c>
      <c r="CB57" s="230">
        <v>49821750</v>
      </c>
      <c r="CC57" s="230">
        <v>49985925</v>
      </c>
      <c r="CD57" s="230">
        <v>-164175</v>
      </c>
      <c r="CE57" s="229">
        <v>-3.3E-3</v>
      </c>
      <c r="CF57" s="230">
        <v>1717650</v>
      </c>
      <c r="CG57" s="230">
        <v>1578225</v>
      </c>
      <c r="CH57" s="230">
        <v>139425</v>
      </c>
      <c r="CI57" s="229">
        <v>8.8300000000000003E-2</v>
      </c>
      <c r="CJ57" s="230">
        <v>148500</v>
      </c>
      <c r="CK57" s="230">
        <v>148500</v>
      </c>
      <c r="CL57" s="228">
        <v>0</v>
      </c>
      <c r="CM57" s="229">
        <v>0</v>
      </c>
      <c r="CN57" s="230">
        <v>12979725</v>
      </c>
      <c r="CO57" s="230">
        <v>13125750</v>
      </c>
      <c r="CP57" s="230">
        <v>-146025</v>
      </c>
      <c r="CQ57" s="229">
        <v>-1.11E-2</v>
      </c>
      <c r="CR57" s="230">
        <v>11352825</v>
      </c>
      <c r="CS57" s="230">
        <v>11118525</v>
      </c>
      <c r="CT57" s="230">
        <v>234300</v>
      </c>
      <c r="CU57" s="229">
        <v>2.1100000000000001E-2</v>
      </c>
      <c r="CV57" s="230">
        <v>76020450</v>
      </c>
      <c r="CW57" s="230">
        <v>75956925</v>
      </c>
      <c r="CX57" s="230">
        <v>63525</v>
      </c>
      <c r="CY57" s="229">
        <v>8.0000000000000004E-4</v>
      </c>
      <c r="CZ57" s="228">
        <v>28.62</v>
      </c>
      <c r="DA57" s="228">
        <v>27.86</v>
      </c>
      <c r="DB57" s="228">
        <v>0.76</v>
      </c>
      <c r="DC57" s="228">
        <v>0.76</v>
      </c>
      <c r="DD57" s="228">
        <v>35.130000000000003</v>
      </c>
      <c r="DE57" s="228">
        <v>35.21</v>
      </c>
      <c r="DF57" s="228">
        <v>-6.51</v>
      </c>
      <c r="DG57" s="228">
        <v>-0.08</v>
      </c>
      <c r="DH57" s="228">
        <v>27.49</v>
      </c>
      <c r="DI57" s="228">
        <v>26.74</v>
      </c>
      <c r="DJ57" s="228">
        <v>0.75</v>
      </c>
      <c r="DK57" s="228">
        <v>0.75</v>
      </c>
      <c r="DL57" s="228">
        <v>30.4</v>
      </c>
      <c r="DM57" s="228">
        <v>30.4</v>
      </c>
      <c r="DN57" s="228">
        <v>0</v>
      </c>
      <c r="DO57" s="228">
        <v>0</v>
      </c>
      <c r="DP57" s="228">
        <v>0.87</v>
      </c>
      <c r="DQ57" s="228">
        <v>0.85</v>
      </c>
      <c r="DR57" s="228">
        <v>0.02</v>
      </c>
      <c r="DS57" s="229">
        <v>2.35E-2</v>
      </c>
      <c r="DT57" s="228">
        <v>700</v>
      </c>
      <c r="DU57" s="228">
        <v>600</v>
      </c>
      <c r="DV57" s="228">
        <v>0.63</v>
      </c>
      <c r="DW57" s="228">
        <v>0.44</v>
      </c>
      <c r="DX57" s="228">
        <v>0.19</v>
      </c>
      <c r="DY57" s="229">
        <v>0.43180000000000002</v>
      </c>
      <c r="DZ57" s="229">
        <v>3.61E-2</v>
      </c>
      <c r="EA57" s="230">
        <v>1726725</v>
      </c>
      <c r="EB57" s="229">
        <v>6.3E-3</v>
      </c>
      <c r="EC57" s="229">
        <v>3.61E-2</v>
      </c>
      <c r="ED57" s="228">
        <v>3.75</v>
      </c>
      <c r="EE57" s="229">
        <v>5.5999999999999999E-3</v>
      </c>
      <c r="EF57" s="230">
        <v>826923</v>
      </c>
      <c r="EG57" s="230">
        <v>1268870</v>
      </c>
      <c r="EH57" s="229">
        <v>-0.3483</v>
      </c>
      <c r="EI57" s="229">
        <v>0.40300000000000002</v>
      </c>
      <c r="EJ57" s="231">
        <v>82973.460000000006</v>
      </c>
      <c r="EK57" s="231">
        <v>49887.72</v>
      </c>
      <c r="EL57" s="231">
        <v>28162.01</v>
      </c>
      <c r="EM57" s="231">
        <v>7124</v>
      </c>
      <c r="EN57" s="231">
        <v>161023.19</v>
      </c>
      <c r="EO57" s="231">
        <v>153910.72</v>
      </c>
      <c r="EP57" s="231">
        <v>7112.47</v>
      </c>
      <c r="EQ57" s="229">
        <v>4.6199999999999998E-2</v>
      </c>
      <c r="ER57" s="231">
        <v>87282</v>
      </c>
      <c r="ES57" s="231">
        <v>72470</v>
      </c>
      <c r="ET57" s="231">
        <v>347712</v>
      </c>
      <c r="EU57" s="231">
        <v>96058266</v>
      </c>
      <c r="EV57" s="231">
        <v>507464</v>
      </c>
      <c r="EW57" s="231">
        <v>507862</v>
      </c>
      <c r="EX57" s="228">
        <v>-398</v>
      </c>
      <c r="EY57" s="229">
        <v>-8.0000000000000004E-4</v>
      </c>
      <c r="EZ57" s="229">
        <v>0.79139999999999999</v>
      </c>
      <c r="FA57" s="227" t="s">
        <v>568</v>
      </c>
      <c r="FB57" s="161">
        <f t="shared" si="0"/>
        <v>1866150</v>
      </c>
    </row>
    <row r="58" spans="1:158" ht="17.25" hidden="1" thickBot="1" x14ac:dyDescent="0.3">
      <c r="A58" s="226">
        <v>46064</v>
      </c>
      <c r="B58" s="227" t="s">
        <v>615</v>
      </c>
      <c r="C58" s="227" t="s">
        <v>583</v>
      </c>
      <c r="D58" s="228">
        <v>150</v>
      </c>
      <c r="E58" s="231">
        <v>3988.1</v>
      </c>
      <c r="F58" s="231">
        <v>3998.8</v>
      </c>
      <c r="G58" s="228">
        <v>-10.7</v>
      </c>
      <c r="H58" s="229">
        <v>-2.7000000000000001E-3</v>
      </c>
      <c r="I58" s="231">
        <v>4003.7</v>
      </c>
      <c r="J58" s="231">
        <v>4002.2</v>
      </c>
      <c r="K58" s="228">
        <v>1.5</v>
      </c>
      <c r="L58" s="229">
        <v>4.0000000000000002E-4</v>
      </c>
      <c r="M58" s="231">
        <v>3988.1</v>
      </c>
      <c r="N58" s="231">
        <v>3998.8</v>
      </c>
      <c r="O58" s="228">
        <v>-10.7</v>
      </c>
      <c r="P58" s="229">
        <v>-2.7000000000000001E-3</v>
      </c>
      <c r="Q58" s="231">
        <v>3980.3</v>
      </c>
      <c r="R58" s="231">
        <v>3992.8</v>
      </c>
      <c r="S58" s="228">
        <v>-12.5</v>
      </c>
      <c r="T58" s="229">
        <v>-3.0999999999999999E-3</v>
      </c>
      <c r="U58" s="231">
        <v>3980.8</v>
      </c>
      <c r="V58" s="231">
        <v>4002.7</v>
      </c>
      <c r="W58" s="228">
        <v>-21.9</v>
      </c>
      <c r="X58" s="229">
        <v>-5.4999999999999997E-3</v>
      </c>
      <c r="Y58" s="228">
        <v>-15.6</v>
      </c>
      <c r="Z58" s="228">
        <v>-3.4</v>
      </c>
      <c r="AA58" s="228">
        <v>-12.2</v>
      </c>
      <c r="AB58" s="229">
        <v>-3.8999999999999998E-3</v>
      </c>
      <c r="AC58" s="228">
        <v>-15.6</v>
      </c>
      <c r="AD58" s="228">
        <v>-3.4</v>
      </c>
      <c r="AE58" s="228">
        <v>-12.2</v>
      </c>
      <c r="AF58" s="229">
        <v>-3.8999999999999998E-3</v>
      </c>
      <c r="AG58" s="228">
        <v>-23.4</v>
      </c>
      <c r="AH58" s="228">
        <v>-9.4</v>
      </c>
      <c r="AI58" s="228">
        <v>-14</v>
      </c>
      <c r="AJ58" s="229">
        <v>-5.7999999999999996E-3</v>
      </c>
      <c r="AK58" s="228">
        <v>-22.9</v>
      </c>
      <c r="AL58" s="228">
        <v>0.5</v>
      </c>
      <c r="AM58" s="228">
        <v>-23.4</v>
      </c>
      <c r="AN58" s="229">
        <v>-5.7000000000000002E-3</v>
      </c>
      <c r="AO58" s="231">
        <v>3984.69</v>
      </c>
      <c r="AP58" s="231">
        <v>3975.13</v>
      </c>
      <c r="AQ58" s="228">
        <v>0</v>
      </c>
      <c r="AR58" s="230">
        <v>653400</v>
      </c>
      <c r="AS58" s="230">
        <v>944550</v>
      </c>
      <c r="AT58" s="230">
        <v>-291150</v>
      </c>
      <c r="AU58" s="229">
        <v>-0.30819999999999997</v>
      </c>
      <c r="AV58" s="230">
        <v>461550</v>
      </c>
      <c r="AW58" s="230">
        <v>722550</v>
      </c>
      <c r="AX58" s="230">
        <v>-261000</v>
      </c>
      <c r="AY58" s="229">
        <v>-0.36120000000000002</v>
      </c>
      <c r="AZ58" s="230">
        <v>186600</v>
      </c>
      <c r="BA58" s="230">
        <v>209550</v>
      </c>
      <c r="BB58" s="230">
        <v>-22950</v>
      </c>
      <c r="BC58" s="229">
        <v>-0.1095</v>
      </c>
      <c r="BD58" s="230">
        <v>5250</v>
      </c>
      <c r="BE58" s="230">
        <v>12450</v>
      </c>
      <c r="BF58" s="230">
        <v>-7200</v>
      </c>
      <c r="BG58" s="229">
        <v>-0.57830000000000004</v>
      </c>
      <c r="BH58" s="230">
        <v>1508700</v>
      </c>
      <c r="BI58" s="230">
        <v>3779250</v>
      </c>
      <c r="BJ58" s="230">
        <v>-2270550</v>
      </c>
      <c r="BK58" s="229">
        <v>-0.6008</v>
      </c>
      <c r="BL58" s="230">
        <v>488100</v>
      </c>
      <c r="BM58" s="230">
        <v>1344900</v>
      </c>
      <c r="BN58" s="230">
        <v>-856800</v>
      </c>
      <c r="BO58" s="229">
        <v>-0.6371</v>
      </c>
      <c r="BP58" s="230">
        <v>2650200</v>
      </c>
      <c r="BQ58" s="230">
        <v>6068700</v>
      </c>
      <c r="BR58" s="230">
        <v>-3418500</v>
      </c>
      <c r="BS58" s="229">
        <v>-0.56330000000000002</v>
      </c>
      <c r="BT58" s="230">
        <v>333736</v>
      </c>
      <c r="BU58" s="230">
        <v>400770</v>
      </c>
      <c r="BV58" s="230">
        <v>-67034</v>
      </c>
      <c r="BW58" s="229">
        <v>-0.1673</v>
      </c>
      <c r="BX58" s="230">
        <v>6024600</v>
      </c>
      <c r="BY58" s="230">
        <v>5907900</v>
      </c>
      <c r="BZ58" s="230">
        <v>116700</v>
      </c>
      <c r="CA58" s="229">
        <v>1.9800000000000002E-2</v>
      </c>
      <c r="CB58" s="230">
        <v>5147550</v>
      </c>
      <c r="CC58" s="230">
        <v>5122950</v>
      </c>
      <c r="CD58" s="230">
        <v>24600</v>
      </c>
      <c r="CE58" s="229">
        <v>4.7999999999999996E-3</v>
      </c>
      <c r="CF58" s="230">
        <v>839550</v>
      </c>
      <c r="CG58" s="230">
        <v>750000</v>
      </c>
      <c r="CH58" s="230">
        <v>89550</v>
      </c>
      <c r="CI58" s="229">
        <v>0.11940000000000001</v>
      </c>
      <c r="CJ58" s="230">
        <v>37500</v>
      </c>
      <c r="CK58" s="230">
        <v>34950</v>
      </c>
      <c r="CL58" s="230">
        <v>2550</v>
      </c>
      <c r="CM58" s="229">
        <v>7.2999999999999995E-2</v>
      </c>
      <c r="CN58" s="230">
        <v>1737450</v>
      </c>
      <c r="CO58" s="230">
        <v>1643100</v>
      </c>
      <c r="CP58" s="230">
        <v>94350</v>
      </c>
      <c r="CQ58" s="229">
        <v>5.74E-2</v>
      </c>
      <c r="CR58" s="230">
        <v>1206000</v>
      </c>
      <c r="CS58" s="230">
        <v>1204500</v>
      </c>
      <c r="CT58" s="230">
        <v>1500</v>
      </c>
      <c r="CU58" s="229">
        <v>1.1999999999999999E-3</v>
      </c>
      <c r="CV58" s="230">
        <v>8968050</v>
      </c>
      <c r="CW58" s="230">
        <v>8755500</v>
      </c>
      <c r="CX58" s="230">
        <v>212550</v>
      </c>
      <c r="CY58" s="229">
        <v>2.4299999999999999E-2</v>
      </c>
      <c r="CZ58" s="228">
        <v>26.77</v>
      </c>
      <c r="DA58" s="228">
        <v>27.23</v>
      </c>
      <c r="DB58" s="228">
        <v>-0.46</v>
      </c>
      <c r="DC58" s="228">
        <v>-0.46</v>
      </c>
      <c r="DD58" s="228">
        <v>30.64</v>
      </c>
      <c r="DE58" s="228">
        <v>30.71</v>
      </c>
      <c r="DF58" s="228">
        <v>-3.87</v>
      </c>
      <c r="DG58" s="228">
        <v>-7.0000000000000007E-2</v>
      </c>
      <c r="DH58" s="228">
        <v>26.14</v>
      </c>
      <c r="DI58" s="228">
        <v>26.72</v>
      </c>
      <c r="DJ58" s="228">
        <v>-0.57999999999999996</v>
      </c>
      <c r="DK58" s="228">
        <v>-0.57999999999999996</v>
      </c>
      <c r="DL58" s="228">
        <v>28.73</v>
      </c>
      <c r="DM58" s="228">
        <v>28.65</v>
      </c>
      <c r="DN58" s="228">
        <v>0.08</v>
      </c>
      <c r="DO58" s="228">
        <v>0.08</v>
      </c>
      <c r="DP58" s="228">
        <v>0.69</v>
      </c>
      <c r="DQ58" s="228">
        <v>0.73</v>
      </c>
      <c r="DR58" s="228">
        <v>-0.04</v>
      </c>
      <c r="DS58" s="229">
        <v>-5.4800000000000001E-2</v>
      </c>
      <c r="DT58" s="231">
        <v>4500</v>
      </c>
      <c r="DU58" s="231">
        <v>3400</v>
      </c>
      <c r="DV58" s="228">
        <v>0.32</v>
      </c>
      <c r="DW58" s="228">
        <v>0.36</v>
      </c>
      <c r="DX58" s="228">
        <v>-0.04</v>
      </c>
      <c r="DY58" s="229">
        <v>-0.1111</v>
      </c>
      <c r="DZ58" s="229">
        <v>0.14560000000000001</v>
      </c>
      <c r="EA58" s="230">
        <v>784950</v>
      </c>
      <c r="EB58" s="229">
        <v>-2E-3</v>
      </c>
      <c r="EC58" s="229">
        <v>0.14560000000000001</v>
      </c>
      <c r="ED58" s="228">
        <v>-9.56</v>
      </c>
      <c r="EE58" s="229">
        <v>-2.3999999999999998E-3</v>
      </c>
      <c r="EF58" s="230">
        <v>179350</v>
      </c>
      <c r="EG58" s="230">
        <v>176535</v>
      </c>
      <c r="EH58" s="229">
        <v>1.5900000000000001E-2</v>
      </c>
      <c r="EI58" s="229">
        <v>0.53739999999999999</v>
      </c>
      <c r="EJ58" s="231">
        <v>63248.07</v>
      </c>
      <c r="EK58" s="231">
        <v>18575.13</v>
      </c>
      <c r="EL58" s="231">
        <v>26017.78</v>
      </c>
      <c r="EM58" s="231">
        <v>5766</v>
      </c>
      <c r="EN58" s="231">
        <v>107840.98</v>
      </c>
      <c r="EO58" s="231">
        <v>245260.69</v>
      </c>
      <c r="EP58" s="231">
        <v>-137419.71</v>
      </c>
      <c r="EQ58" s="229">
        <v>-0.56030000000000002</v>
      </c>
      <c r="ER58" s="231">
        <v>70915</v>
      </c>
      <c r="ES58" s="231">
        <v>44100</v>
      </c>
      <c r="ET58" s="231">
        <v>240199</v>
      </c>
      <c r="EU58" s="231">
        <v>18750186</v>
      </c>
      <c r="EV58" s="231">
        <v>355214</v>
      </c>
      <c r="EW58" s="231">
        <v>346897</v>
      </c>
      <c r="EX58" s="231">
        <v>8317</v>
      </c>
      <c r="EY58" s="229">
        <v>2.4E-2</v>
      </c>
      <c r="EZ58" s="229">
        <v>0.4783</v>
      </c>
      <c r="FA58" s="227" t="s">
        <v>567</v>
      </c>
      <c r="FB58" s="161">
        <f t="shared" si="0"/>
        <v>877050</v>
      </c>
    </row>
    <row r="59" spans="1:158" ht="17.25" hidden="1" thickBot="1" x14ac:dyDescent="0.3">
      <c r="A59" s="226">
        <v>46064</v>
      </c>
      <c r="B59" s="227" t="s">
        <v>170</v>
      </c>
      <c r="C59" s="227" t="s">
        <v>208</v>
      </c>
      <c r="D59" s="228">
        <v>625</v>
      </c>
      <c r="E59" s="231">
        <v>1271</v>
      </c>
      <c r="F59" s="231">
        <v>1259</v>
      </c>
      <c r="G59" s="228">
        <v>12</v>
      </c>
      <c r="H59" s="229">
        <v>9.4999999999999998E-3</v>
      </c>
      <c r="I59" s="231">
        <v>1270.3</v>
      </c>
      <c r="J59" s="231">
        <v>1256</v>
      </c>
      <c r="K59" s="228">
        <v>14.3</v>
      </c>
      <c r="L59" s="229">
        <v>1.14E-2</v>
      </c>
      <c r="M59" s="231">
        <v>1271</v>
      </c>
      <c r="N59" s="231">
        <v>1259</v>
      </c>
      <c r="O59" s="228">
        <v>12</v>
      </c>
      <c r="P59" s="229">
        <v>9.4999999999999998E-3</v>
      </c>
      <c r="Q59" s="231">
        <v>1278.8</v>
      </c>
      <c r="R59" s="231">
        <v>1265.4000000000001</v>
      </c>
      <c r="S59" s="228">
        <v>13.4</v>
      </c>
      <c r="T59" s="229">
        <v>1.06E-2</v>
      </c>
      <c r="U59" s="231">
        <v>1287.5</v>
      </c>
      <c r="V59" s="231">
        <v>1272</v>
      </c>
      <c r="W59" s="228">
        <v>15.5</v>
      </c>
      <c r="X59" s="229">
        <v>1.2200000000000001E-2</v>
      </c>
      <c r="Y59" s="228">
        <v>0.7</v>
      </c>
      <c r="Z59" s="228">
        <v>3</v>
      </c>
      <c r="AA59" s="228">
        <v>-2.2999999999999998</v>
      </c>
      <c r="AB59" s="229">
        <v>5.9999999999999995E-4</v>
      </c>
      <c r="AC59" s="228">
        <v>0.7</v>
      </c>
      <c r="AD59" s="228">
        <v>3</v>
      </c>
      <c r="AE59" s="228">
        <v>-2.2999999999999998</v>
      </c>
      <c r="AF59" s="229">
        <v>5.9999999999999995E-4</v>
      </c>
      <c r="AG59" s="228">
        <v>8.5</v>
      </c>
      <c r="AH59" s="228">
        <v>9.4</v>
      </c>
      <c r="AI59" s="228">
        <v>-0.9</v>
      </c>
      <c r="AJ59" s="229">
        <v>6.7000000000000002E-3</v>
      </c>
      <c r="AK59" s="228">
        <v>17.2</v>
      </c>
      <c r="AL59" s="228">
        <v>16</v>
      </c>
      <c r="AM59" s="228">
        <v>1.2</v>
      </c>
      <c r="AN59" s="229">
        <v>1.35E-2</v>
      </c>
      <c r="AO59" s="231">
        <v>1267.6600000000001</v>
      </c>
      <c r="AP59" s="231">
        <v>1272.21</v>
      </c>
      <c r="AQ59" s="228">
        <v>0</v>
      </c>
      <c r="AR59" s="230">
        <v>1583125</v>
      </c>
      <c r="AS59" s="230">
        <v>2245625</v>
      </c>
      <c r="AT59" s="230">
        <v>-662500</v>
      </c>
      <c r="AU59" s="229">
        <v>-0.29499999999999998</v>
      </c>
      <c r="AV59" s="230">
        <v>1418750</v>
      </c>
      <c r="AW59" s="230">
        <v>2127500</v>
      </c>
      <c r="AX59" s="230">
        <v>-708750</v>
      </c>
      <c r="AY59" s="229">
        <v>-0.33310000000000001</v>
      </c>
      <c r="AZ59" s="230">
        <v>157500</v>
      </c>
      <c r="BA59" s="230">
        <v>100000</v>
      </c>
      <c r="BB59" s="230">
        <v>57500</v>
      </c>
      <c r="BC59" s="229">
        <v>0.57499999999999996</v>
      </c>
      <c r="BD59" s="230">
        <v>6875</v>
      </c>
      <c r="BE59" s="230">
        <v>18125</v>
      </c>
      <c r="BF59" s="230">
        <v>-11250</v>
      </c>
      <c r="BG59" s="229">
        <v>-0.62070000000000003</v>
      </c>
      <c r="BH59" s="230">
        <v>8952500</v>
      </c>
      <c r="BI59" s="230">
        <v>11560000</v>
      </c>
      <c r="BJ59" s="230">
        <v>-2607500</v>
      </c>
      <c r="BK59" s="229">
        <v>-0.22559999999999999</v>
      </c>
      <c r="BL59" s="230">
        <v>2736250</v>
      </c>
      <c r="BM59" s="230">
        <v>3988125</v>
      </c>
      <c r="BN59" s="230">
        <v>-1251875</v>
      </c>
      <c r="BO59" s="229">
        <v>-0.31390000000000001</v>
      </c>
      <c r="BP59" s="230">
        <v>13271875</v>
      </c>
      <c r="BQ59" s="230">
        <v>17793750</v>
      </c>
      <c r="BR59" s="230">
        <v>-4521875</v>
      </c>
      <c r="BS59" s="229">
        <v>-0.25409999999999999</v>
      </c>
      <c r="BT59" s="230">
        <v>872409</v>
      </c>
      <c r="BU59" s="230">
        <v>1436386</v>
      </c>
      <c r="BV59" s="230">
        <v>-563977</v>
      </c>
      <c r="BW59" s="229">
        <v>-0.3926</v>
      </c>
      <c r="BX59" s="230">
        <v>15545000</v>
      </c>
      <c r="BY59" s="230">
        <v>15836875</v>
      </c>
      <c r="BZ59" s="230">
        <v>-291875</v>
      </c>
      <c r="CA59" s="229">
        <v>-1.84E-2</v>
      </c>
      <c r="CB59" s="230">
        <v>15101875</v>
      </c>
      <c r="CC59" s="230">
        <v>15481250</v>
      </c>
      <c r="CD59" s="230">
        <v>-379375</v>
      </c>
      <c r="CE59" s="229">
        <v>-2.4500000000000001E-2</v>
      </c>
      <c r="CF59" s="230">
        <v>413750</v>
      </c>
      <c r="CG59" s="230">
        <v>326875</v>
      </c>
      <c r="CH59" s="230">
        <v>86875</v>
      </c>
      <c r="CI59" s="229">
        <v>0.26579999999999998</v>
      </c>
      <c r="CJ59" s="230">
        <v>29375</v>
      </c>
      <c r="CK59" s="230">
        <v>28750</v>
      </c>
      <c r="CL59" s="228">
        <v>625</v>
      </c>
      <c r="CM59" s="229">
        <v>2.1700000000000001E-2</v>
      </c>
      <c r="CN59" s="230">
        <v>8309375</v>
      </c>
      <c r="CO59" s="230">
        <v>8481250</v>
      </c>
      <c r="CP59" s="230">
        <v>-171875</v>
      </c>
      <c r="CQ59" s="229">
        <v>-2.0299999999999999E-2</v>
      </c>
      <c r="CR59" s="230">
        <v>3924375</v>
      </c>
      <c r="CS59" s="230">
        <v>3835625</v>
      </c>
      <c r="CT59" s="230">
        <v>88750</v>
      </c>
      <c r="CU59" s="229">
        <v>2.3099999999999999E-2</v>
      </c>
      <c r="CV59" s="230">
        <v>27778750</v>
      </c>
      <c r="CW59" s="230">
        <v>28153750</v>
      </c>
      <c r="CX59" s="230">
        <v>-375000</v>
      </c>
      <c r="CY59" s="229">
        <v>-1.3299999999999999E-2</v>
      </c>
      <c r="CZ59" s="228">
        <v>20.28</v>
      </c>
      <c r="DA59" s="228">
        <v>20.67</v>
      </c>
      <c r="DB59" s="228">
        <v>-0.39</v>
      </c>
      <c r="DC59" s="228">
        <v>-0.39</v>
      </c>
      <c r="DD59" s="228">
        <v>25.31</v>
      </c>
      <c r="DE59" s="228">
        <v>25.33</v>
      </c>
      <c r="DF59" s="228">
        <v>-5.03</v>
      </c>
      <c r="DG59" s="228">
        <v>-0.02</v>
      </c>
      <c r="DH59" s="228">
        <v>19.8</v>
      </c>
      <c r="DI59" s="228">
        <v>20.54</v>
      </c>
      <c r="DJ59" s="228">
        <v>-0.74</v>
      </c>
      <c r="DK59" s="228">
        <v>-0.74</v>
      </c>
      <c r="DL59" s="228">
        <v>21.84</v>
      </c>
      <c r="DM59" s="228">
        <v>21.06</v>
      </c>
      <c r="DN59" s="228">
        <v>0.78</v>
      </c>
      <c r="DO59" s="228">
        <v>0.78</v>
      </c>
      <c r="DP59" s="228">
        <v>0.47</v>
      </c>
      <c r="DQ59" s="228">
        <v>0.45</v>
      </c>
      <c r="DR59" s="228">
        <v>0.02</v>
      </c>
      <c r="DS59" s="229">
        <v>4.4400000000000002E-2</v>
      </c>
      <c r="DT59" s="231">
        <v>1280</v>
      </c>
      <c r="DU59" s="231">
        <v>1200</v>
      </c>
      <c r="DV59" s="228">
        <v>0.31</v>
      </c>
      <c r="DW59" s="228">
        <v>0.34</v>
      </c>
      <c r="DX59" s="228">
        <v>-0.03</v>
      </c>
      <c r="DY59" s="229">
        <v>-8.8200000000000001E-2</v>
      </c>
      <c r="DZ59" s="229">
        <v>2.8500000000000001E-2</v>
      </c>
      <c r="EA59" s="230">
        <v>355625</v>
      </c>
      <c r="EB59" s="229">
        <v>6.1000000000000004E-3</v>
      </c>
      <c r="EC59" s="229">
        <v>2.8500000000000001E-2</v>
      </c>
      <c r="ED59" s="228">
        <v>4.55</v>
      </c>
      <c r="EE59" s="229">
        <v>3.5999999999999999E-3</v>
      </c>
      <c r="EF59" s="230">
        <v>495706</v>
      </c>
      <c r="EG59" s="230">
        <v>816894</v>
      </c>
      <c r="EH59" s="229">
        <v>-0.39319999999999999</v>
      </c>
      <c r="EI59" s="229">
        <v>0.56820000000000004</v>
      </c>
      <c r="EJ59" s="231">
        <v>118137.17</v>
      </c>
      <c r="EK59" s="231">
        <v>33965.440000000002</v>
      </c>
      <c r="EL59" s="231">
        <v>20076.66</v>
      </c>
      <c r="EM59" s="231">
        <v>3345</v>
      </c>
      <c r="EN59" s="231">
        <v>172179.27</v>
      </c>
      <c r="EO59" s="231">
        <v>231907.71</v>
      </c>
      <c r="EP59" s="231">
        <v>-59728.44</v>
      </c>
      <c r="EQ59" s="229">
        <v>-0.2576</v>
      </c>
      <c r="ER59" s="231">
        <v>107257</v>
      </c>
      <c r="ES59" s="231">
        <v>47276</v>
      </c>
      <c r="ET59" s="231">
        <v>197614</v>
      </c>
      <c r="EU59" s="231">
        <v>91531454</v>
      </c>
      <c r="EV59" s="231">
        <v>352147</v>
      </c>
      <c r="EW59" s="231">
        <v>354931</v>
      </c>
      <c r="EX59" s="231">
        <v>-2784</v>
      </c>
      <c r="EY59" s="229">
        <v>-7.7999999999999996E-3</v>
      </c>
      <c r="EZ59" s="229">
        <v>0.30349999999999999</v>
      </c>
      <c r="FA59" s="227" t="s">
        <v>556</v>
      </c>
      <c r="FB59" s="161">
        <f t="shared" si="0"/>
        <v>443125</v>
      </c>
    </row>
    <row r="60" spans="1:158" ht="17.25" hidden="1" thickBot="1" x14ac:dyDescent="0.3">
      <c r="A60" s="226">
        <v>46064</v>
      </c>
      <c r="B60" s="227" t="s">
        <v>162</v>
      </c>
      <c r="C60" s="227" t="s">
        <v>209</v>
      </c>
      <c r="D60" s="228">
        <v>100</v>
      </c>
      <c r="E60" s="231">
        <v>7795.5</v>
      </c>
      <c r="F60" s="231">
        <v>7305</v>
      </c>
      <c r="G60" s="228">
        <v>490.5</v>
      </c>
      <c r="H60" s="229">
        <v>6.7100000000000007E-2</v>
      </c>
      <c r="I60" s="231">
        <v>7771</v>
      </c>
      <c r="J60" s="231">
        <v>7296</v>
      </c>
      <c r="K60" s="228">
        <v>475</v>
      </c>
      <c r="L60" s="229">
        <v>6.5100000000000005E-2</v>
      </c>
      <c r="M60" s="231">
        <v>7795.5</v>
      </c>
      <c r="N60" s="231">
        <v>7305</v>
      </c>
      <c r="O60" s="228">
        <v>490.5</v>
      </c>
      <c r="P60" s="229">
        <v>6.7100000000000007E-2</v>
      </c>
      <c r="Q60" s="231">
        <v>7842</v>
      </c>
      <c r="R60" s="231">
        <v>7353</v>
      </c>
      <c r="S60" s="228">
        <v>489</v>
      </c>
      <c r="T60" s="229">
        <v>6.6500000000000004E-2</v>
      </c>
      <c r="U60" s="231">
        <v>7893.5</v>
      </c>
      <c r="V60" s="231">
        <v>7391</v>
      </c>
      <c r="W60" s="228">
        <v>502.5</v>
      </c>
      <c r="X60" s="229">
        <v>6.8000000000000005E-2</v>
      </c>
      <c r="Y60" s="228">
        <v>24.5</v>
      </c>
      <c r="Z60" s="228">
        <v>9</v>
      </c>
      <c r="AA60" s="228">
        <v>15.5</v>
      </c>
      <c r="AB60" s="229">
        <v>3.2000000000000002E-3</v>
      </c>
      <c r="AC60" s="228">
        <v>24.5</v>
      </c>
      <c r="AD60" s="228">
        <v>9</v>
      </c>
      <c r="AE60" s="228">
        <v>15.5</v>
      </c>
      <c r="AF60" s="229">
        <v>3.2000000000000002E-3</v>
      </c>
      <c r="AG60" s="228">
        <v>71</v>
      </c>
      <c r="AH60" s="228">
        <v>57</v>
      </c>
      <c r="AI60" s="228">
        <v>14</v>
      </c>
      <c r="AJ60" s="229">
        <v>9.1000000000000004E-3</v>
      </c>
      <c r="AK60" s="228">
        <v>122.5</v>
      </c>
      <c r="AL60" s="228">
        <v>95</v>
      </c>
      <c r="AM60" s="228">
        <v>27.5</v>
      </c>
      <c r="AN60" s="229">
        <v>1.5800000000000002E-2</v>
      </c>
      <c r="AO60" s="231">
        <v>7762.47</v>
      </c>
      <c r="AP60" s="231">
        <v>7814.99</v>
      </c>
      <c r="AQ60" s="228">
        <v>0</v>
      </c>
      <c r="AR60" s="230">
        <v>2604000</v>
      </c>
      <c r="AS60" s="230">
        <v>490000</v>
      </c>
      <c r="AT60" s="230">
        <v>2114000</v>
      </c>
      <c r="AU60" s="229">
        <v>4.3143000000000002</v>
      </c>
      <c r="AV60" s="230">
        <v>2316300</v>
      </c>
      <c r="AW60" s="230">
        <v>464300</v>
      </c>
      <c r="AX60" s="230">
        <v>1852000</v>
      </c>
      <c r="AY60" s="229">
        <v>3.9887999999999999</v>
      </c>
      <c r="AZ60" s="230">
        <v>263500</v>
      </c>
      <c r="BA60" s="230">
        <v>21800</v>
      </c>
      <c r="BB60" s="230">
        <v>241700</v>
      </c>
      <c r="BC60" s="229">
        <v>11.087199999999999</v>
      </c>
      <c r="BD60" s="230">
        <v>24200</v>
      </c>
      <c r="BE60" s="230">
        <v>3900</v>
      </c>
      <c r="BF60" s="230">
        <v>20300</v>
      </c>
      <c r="BG60" s="229">
        <v>5.2050999999999998</v>
      </c>
      <c r="BH60" s="230">
        <v>29432100</v>
      </c>
      <c r="BI60" s="230">
        <v>5388600</v>
      </c>
      <c r="BJ60" s="230">
        <v>24043500</v>
      </c>
      <c r="BK60" s="229">
        <v>4.4619</v>
      </c>
      <c r="BL60" s="230">
        <v>12829800</v>
      </c>
      <c r="BM60" s="230">
        <v>1786100</v>
      </c>
      <c r="BN60" s="230">
        <v>11043700</v>
      </c>
      <c r="BO60" s="229">
        <v>6.1830999999999996</v>
      </c>
      <c r="BP60" s="230">
        <v>44865900</v>
      </c>
      <c r="BQ60" s="230">
        <v>7664700</v>
      </c>
      <c r="BR60" s="230">
        <v>37201200</v>
      </c>
      <c r="BS60" s="229">
        <v>4.8536000000000001</v>
      </c>
      <c r="BT60" s="230">
        <v>2454014</v>
      </c>
      <c r="BU60" s="230">
        <v>476425</v>
      </c>
      <c r="BV60" s="230">
        <v>1977589</v>
      </c>
      <c r="BW60" s="229">
        <v>4.1509</v>
      </c>
      <c r="BX60" s="230">
        <v>3357100</v>
      </c>
      <c r="BY60" s="230">
        <v>3040000</v>
      </c>
      <c r="BZ60" s="230">
        <v>317100</v>
      </c>
      <c r="CA60" s="229">
        <v>0.1043</v>
      </c>
      <c r="CB60" s="230">
        <v>3149500</v>
      </c>
      <c r="CC60" s="230">
        <v>2943300</v>
      </c>
      <c r="CD60" s="230">
        <v>206200</v>
      </c>
      <c r="CE60" s="229">
        <v>7.0099999999999996E-2</v>
      </c>
      <c r="CF60" s="230">
        <v>187000</v>
      </c>
      <c r="CG60" s="230">
        <v>86100</v>
      </c>
      <c r="CH60" s="230">
        <v>100900</v>
      </c>
      <c r="CI60" s="229">
        <v>1.1718999999999999</v>
      </c>
      <c r="CJ60" s="230">
        <v>20600</v>
      </c>
      <c r="CK60" s="230">
        <v>10600</v>
      </c>
      <c r="CL60" s="230">
        <v>10000</v>
      </c>
      <c r="CM60" s="229">
        <v>0.94340000000000002</v>
      </c>
      <c r="CN60" s="230">
        <v>2769000</v>
      </c>
      <c r="CO60" s="230">
        <v>1895900</v>
      </c>
      <c r="CP60" s="230">
        <v>873100</v>
      </c>
      <c r="CQ60" s="229">
        <v>0.46050000000000002</v>
      </c>
      <c r="CR60" s="230">
        <v>2628000</v>
      </c>
      <c r="CS60" s="230">
        <v>1437300</v>
      </c>
      <c r="CT60" s="230">
        <v>1190700</v>
      </c>
      <c r="CU60" s="229">
        <v>0.82840000000000003</v>
      </c>
      <c r="CV60" s="230">
        <v>8754100</v>
      </c>
      <c r="CW60" s="230">
        <v>6373200</v>
      </c>
      <c r="CX60" s="230">
        <v>2380900</v>
      </c>
      <c r="CY60" s="229">
        <v>0.37359999999999999</v>
      </c>
      <c r="CZ60" s="228">
        <v>28.32</v>
      </c>
      <c r="DA60" s="228">
        <v>33.58</v>
      </c>
      <c r="DB60" s="228">
        <v>-5.26</v>
      </c>
      <c r="DC60" s="228">
        <v>-5.26</v>
      </c>
      <c r="DD60" s="228">
        <v>28</v>
      </c>
      <c r="DE60" s="228">
        <v>26.74</v>
      </c>
      <c r="DF60" s="228">
        <v>0.32</v>
      </c>
      <c r="DG60" s="228">
        <v>1.26</v>
      </c>
      <c r="DH60" s="228">
        <v>27.47</v>
      </c>
      <c r="DI60" s="228">
        <v>33.409999999999997</v>
      </c>
      <c r="DJ60" s="228">
        <v>-5.94</v>
      </c>
      <c r="DK60" s="228">
        <v>-5.94</v>
      </c>
      <c r="DL60" s="228">
        <v>30.28</v>
      </c>
      <c r="DM60" s="228">
        <v>34.08</v>
      </c>
      <c r="DN60" s="228">
        <v>-3.8</v>
      </c>
      <c r="DO60" s="228">
        <v>-3.8</v>
      </c>
      <c r="DP60" s="228">
        <v>0.95</v>
      </c>
      <c r="DQ60" s="228">
        <v>0.76</v>
      </c>
      <c r="DR60" s="228">
        <v>0.19</v>
      </c>
      <c r="DS60" s="229">
        <v>0.25</v>
      </c>
      <c r="DT60" s="231">
        <v>8000</v>
      </c>
      <c r="DU60" s="231">
        <v>7100</v>
      </c>
      <c r="DV60" s="228">
        <v>0.44</v>
      </c>
      <c r="DW60" s="228">
        <v>0.33</v>
      </c>
      <c r="DX60" s="228">
        <v>0.11</v>
      </c>
      <c r="DY60" s="229">
        <v>0.33329999999999999</v>
      </c>
      <c r="DZ60" s="229">
        <v>6.1800000000000001E-2</v>
      </c>
      <c r="EA60" s="230">
        <v>96700</v>
      </c>
      <c r="EB60" s="229">
        <v>6.0000000000000001E-3</v>
      </c>
      <c r="EC60" s="229">
        <v>6.1800000000000001E-2</v>
      </c>
      <c r="ED60" s="228">
        <v>52.52</v>
      </c>
      <c r="EE60" s="229">
        <v>6.7999999999999996E-3</v>
      </c>
      <c r="EF60" s="230">
        <v>724845</v>
      </c>
      <c r="EG60" s="230">
        <v>249729</v>
      </c>
      <c r="EH60" s="229">
        <v>1.9025000000000001</v>
      </c>
      <c r="EI60" s="229">
        <v>0.2954</v>
      </c>
      <c r="EJ60" s="231">
        <v>2367436.67</v>
      </c>
      <c r="EK60" s="231">
        <v>963551.92</v>
      </c>
      <c r="EL60" s="231">
        <v>202296.27</v>
      </c>
      <c r="EM60" s="231">
        <v>4225</v>
      </c>
      <c r="EN60" s="231">
        <v>3533284.86</v>
      </c>
      <c r="EO60" s="231">
        <v>574350.77</v>
      </c>
      <c r="EP60" s="231">
        <v>2958934.09</v>
      </c>
      <c r="EQ60" s="229">
        <v>5.1517999999999997</v>
      </c>
      <c r="ER60" s="231">
        <v>217846</v>
      </c>
      <c r="ES60" s="231">
        <v>190074</v>
      </c>
      <c r="ET60" s="231">
        <v>261810</v>
      </c>
      <c r="EU60" s="231">
        <v>19199175</v>
      </c>
      <c r="EV60" s="231">
        <v>669730</v>
      </c>
      <c r="EW60" s="231">
        <v>465655</v>
      </c>
      <c r="EX60" s="231">
        <v>204075</v>
      </c>
      <c r="EY60" s="229">
        <v>0.43830000000000002</v>
      </c>
      <c r="EZ60" s="229">
        <v>0.45600000000000002</v>
      </c>
      <c r="FA60" s="227" t="s">
        <v>555</v>
      </c>
      <c r="FB60" s="161">
        <f t="shared" si="0"/>
        <v>207600</v>
      </c>
    </row>
    <row r="61" spans="1:158" ht="17.25" hidden="1" thickBot="1" x14ac:dyDescent="0.3">
      <c r="A61" s="226">
        <v>46064</v>
      </c>
      <c r="B61" s="227" t="s">
        <v>615</v>
      </c>
      <c r="C61" s="227" t="s">
        <v>666</v>
      </c>
      <c r="D61" s="228">
        <v>2425</v>
      </c>
      <c r="E61" s="228">
        <v>301.64999999999998</v>
      </c>
      <c r="F61" s="228">
        <v>304.10000000000002</v>
      </c>
      <c r="G61" s="228">
        <v>-2.4500000000000002</v>
      </c>
      <c r="H61" s="229">
        <v>-8.0999999999999996E-3</v>
      </c>
      <c r="I61" s="228">
        <v>300.7</v>
      </c>
      <c r="J61" s="228">
        <v>303.8</v>
      </c>
      <c r="K61" s="228">
        <v>-3.1</v>
      </c>
      <c r="L61" s="229">
        <v>-1.0200000000000001E-2</v>
      </c>
      <c r="M61" s="228">
        <v>301.64999999999998</v>
      </c>
      <c r="N61" s="228">
        <v>304.10000000000002</v>
      </c>
      <c r="O61" s="228">
        <v>-2.4500000000000002</v>
      </c>
      <c r="P61" s="229">
        <v>-8.0999999999999996E-3</v>
      </c>
      <c r="Q61" s="228">
        <v>303.55</v>
      </c>
      <c r="R61" s="228">
        <v>306</v>
      </c>
      <c r="S61" s="228">
        <v>-2.4500000000000002</v>
      </c>
      <c r="T61" s="229">
        <v>-8.0000000000000002E-3</v>
      </c>
      <c r="U61" s="228">
        <v>305.39999999999998</v>
      </c>
      <c r="V61" s="228">
        <v>307.8</v>
      </c>
      <c r="W61" s="228">
        <v>-2.4</v>
      </c>
      <c r="X61" s="229">
        <v>-7.7999999999999996E-3</v>
      </c>
      <c r="Y61" s="228">
        <v>0.95</v>
      </c>
      <c r="Z61" s="228">
        <v>0.3</v>
      </c>
      <c r="AA61" s="228">
        <v>0.65</v>
      </c>
      <c r="AB61" s="229">
        <v>3.2000000000000002E-3</v>
      </c>
      <c r="AC61" s="228">
        <v>0.95</v>
      </c>
      <c r="AD61" s="228">
        <v>0.3</v>
      </c>
      <c r="AE61" s="228">
        <v>0.65</v>
      </c>
      <c r="AF61" s="229">
        <v>3.2000000000000002E-3</v>
      </c>
      <c r="AG61" s="228">
        <v>2.85</v>
      </c>
      <c r="AH61" s="228">
        <v>2.2000000000000002</v>
      </c>
      <c r="AI61" s="228">
        <v>0.65</v>
      </c>
      <c r="AJ61" s="229">
        <v>9.4999999999999998E-3</v>
      </c>
      <c r="AK61" s="228">
        <v>4.7</v>
      </c>
      <c r="AL61" s="228">
        <v>4</v>
      </c>
      <c r="AM61" s="228">
        <v>0.7</v>
      </c>
      <c r="AN61" s="229">
        <v>1.5599999999999999E-2</v>
      </c>
      <c r="AO61" s="228">
        <v>303.12</v>
      </c>
      <c r="AP61" s="228">
        <v>305.14</v>
      </c>
      <c r="AQ61" s="228">
        <v>0</v>
      </c>
      <c r="AR61" s="230">
        <v>23779550</v>
      </c>
      <c r="AS61" s="230">
        <v>69034900</v>
      </c>
      <c r="AT61" s="230">
        <v>-45255350</v>
      </c>
      <c r="AU61" s="229">
        <v>-0.65549999999999997</v>
      </c>
      <c r="AV61" s="230">
        <v>20503375</v>
      </c>
      <c r="AW61" s="230">
        <v>62501950</v>
      </c>
      <c r="AX61" s="230">
        <v>-41998575</v>
      </c>
      <c r="AY61" s="229">
        <v>-0.67200000000000004</v>
      </c>
      <c r="AZ61" s="230">
        <v>2973050</v>
      </c>
      <c r="BA61" s="230">
        <v>5613875</v>
      </c>
      <c r="BB61" s="230">
        <v>-2640825</v>
      </c>
      <c r="BC61" s="229">
        <v>-0.47039999999999998</v>
      </c>
      <c r="BD61" s="230">
        <v>303125</v>
      </c>
      <c r="BE61" s="230">
        <v>919075</v>
      </c>
      <c r="BF61" s="230">
        <v>-615950</v>
      </c>
      <c r="BG61" s="229">
        <v>-0.67020000000000002</v>
      </c>
      <c r="BH61" s="230">
        <v>127385250</v>
      </c>
      <c r="BI61" s="230">
        <v>530817950</v>
      </c>
      <c r="BJ61" s="230">
        <v>-403432700</v>
      </c>
      <c r="BK61" s="229">
        <v>-0.76</v>
      </c>
      <c r="BL61" s="230">
        <v>74690000</v>
      </c>
      <c r="BM61" s="230">
        <v>213819525</v>
      </c>
      <c r="BN61" s="230">
        <v>-139129525</v>
      </c>
      <c r="BO61" s="229">
        <v>-0.65069999999999995</v>
      </c>
      <c r="BP61" s="230">
        <v>225854800</v>
      </c>
      <c r="BQ61" s="230">
        <v>813672375</v>
      </c>
      <c r="BR61" s="230">
        <v>-587817575</v>
      </c>
      <c r="BS61" s="229">
        <v>-0.72240000000000004</v>
      </c>
      <c r="BT61" s="230">
        <v>33388024</v>
      </c>
      <c r="BU61" s="230">
        <v>107493975</v>
      </c>
      <c r="BV61" s="230">
        <v>-74105951</v>
      </c>
      <c r="BW61" s="229">
        <v>-0.68940000000000001</v>
      </c>
      <c r="BX61" s="230">
        <v>250233325</v>
      </c>
      <c r="BY61" s="230">
        <v>251285775</v>
      </c>
      <c r="BZ61" s="230">
        <v>-1052450</v>
      </c>
      <c r="CA61" s="229">
        <v>-4.1999999999999997E-3</v>
      </c>
      <c r="CB61" s="230">
        <v>235865200</v>
      </c>
      <c r="CC61" s="230">
        <v>237392950</v>
      </c>
      <c r="CD61" s="230">
        <v>-1527750</v>
      </c>
      <c r="CE61" s="229">
        <v>-6.4000000000000003E-3</v>
      </c>
      <c r="CF61" s="230">
        <v>12932525</v>
      </c>
      <c r="CG61" s="230">
        <v>12510575</v>
      </c>
      <c r="CH61" s="230">
        <v>421950</v>
      </c>
      <c r="CI61" s="229">
        <v>3.3700000000000001E-2</v>
      </c>
      <c r="CJ61" s="230">
        <v>1435600</v>
      </c>
      <c r="CK61" s="230">
        <v>1382250</v>
      </c>
      <c r="CL61" s="230">
        <v>53350</v>
      </c>
      <c r="CM61" s="229">
        <v>3.8600000000000002E-2</v>
      </c>
      <c r="CN61" s="230">
        <v>74774875</v>
      </c>
      <c r="CO61" s="230">
        <v>73664225</v>
      </c>
      <c r="CP61" s="230">
        <v>1110650</v>
      </c>
      <c r="CQ61" s="229">
        <v>1.5100000000000001E-2</v>
      </c>
      <c r="CR61" s="230">
        <v>61323400</v>
      </c>
      <c r="CS61" s="230">
        <v>64521975</v>
      </c>
      <c r="CT61" s="230">
        <v>-3198575</v>
      </c>
      <c r="CU61" s="229">
        <v>-4.9599999999999998E-2</v>
      </c>
      <c r="CV61" s="230">
        <v>386331600</v>
      </c>
      <c r="CW61" s="230">
        <v>389471975</v>
      </c>
      <c r="CX61" s="230">
        <v>-3140375</v>
      </c>
      <c r="CY61" s="229">
        <v>-8.0999999999999996E-3</v>
      </c>
      <c r="CZ61" s="228">
        <v>39.17</v>
      </c>
      <c r="DA61" s="228">
        <v>38.369999999999997</v>
      </c>
      <c r="DB61" s="228">
        <v>0.8</v>
      </c>
      <c r="DC61" s="228">
        <v>0.8</v>
      </c>
      <c r="DD61" s="228">
        <v>45.02</v>
      </c>
      <c r="DE61" s="228">
        <v>45.11</v>
      </c>
      <c r="DF61" s="228">
        <v>-5.85</v>
      </c>
      <c r="DG61" s="228">
        <v>-0.09</v>
      </c>
      <c r="DH61" s="228">
        <v>38.65</v>
      </c>
      <c r="DI61" s="228">
        <v>37.49</v>
      </c>
      <c r="DJ61" s="228">
        <v>1.1599999999999999</v>
      </c>
      <c r="DK61" s="228">
        <v>1.1599999999999999</v>
      </c>
      <c r="DL61" s="228">
        <v>40.06</v>
      </c>
      <c r="DM61" s="228">
        <v>40.549999999999997</v>
      </c>
      <c r="DN61" s="228">
        <v>-0.49</v>
      </c>
      <c r="DO61" s="228">
        <v>-0.49</v>
      </c>
      <c r="DP61" s="228">
        <v>0.82</v>
      </c>
      <c r="DQ61" s="228">
        <v>0.88</v>
      </c>
      <c r="DR61" s="228">
        <v>-0.06</v>
      </c>
      <c r="DS61" s="229">
        <v>-6.8199999999999997E-2</v>
      </c>
      <c r="DT61" s="228">
        <v>300</v>
      </c>
      <c r="DU61" s="228">
        <v>270</v>
      </c>
      <c r="DV61" s="228">
        <v>0.59</v>
      </c>
      <c r="DW61" s="228">
        <v>0.4</v>
      </c>
      <c r="DX61" s="228">
        <v>0.19</v>
      </c>
      <c r="DY61" s="229">
        <v>0.47499999999999998</v>
      </c>
      <c r="DZ61" s="229">
        <v>5.74E-2</v>
      </c>
      <c r="EA61" s="230">
        <v>13892825</v>
      </c>
      <c r="EB61" s="229">
        <v>6.3E-3</v>
      </c>
      <c r="EC61" s="229">
        <v>5.74E-2</v>
      </c>
      <c r="ED61" s="228">
        <v>2.02</v>
      </c>
      <c r="EE61" s="229">
        <v>6.7000000000000002E-3</v>
      </c>
      <c r="EF61" s="230">
        <v>17842564</v>
      </c>
      <c r="EG61" s="230">
        <v>52705880</v>
      </c>
      <c r="EH61" s="229">
        <v>-0.66149999999999998</v>
      </c>
      <c r="EI61" s="229">
        <v>0.53439999999999999</v>
      </c>
      <c r="EJ61" s="231">
        <v>411127.54</v>
      </c>
      <c r="EK61" s="231">
        <v>217669.47</v>
      </c>
      <c r="EL61" s="231">
        <v>72151.13</v>
      </c>
      <c r="EM61" s="231">
        <v>14950</v>
      </c>
      <c r="EN61" s="231">
        <v>700948.14</v>
      </c>
      <c r="EO61" s="231">
        <v>2530250.9</v>
      </c>
      <c r="EP61" s="231">
        <v>-1829302.76</v>
      </c>
      <c r="EQ61" s="229">
        <v>-0.72299999999999998</v>
      </c>
      <c r="ER61" s="231">
        <v>229538</v>
      </c>
      <c r="ES61" s="231">
        <v>166105</v>
      </c>
      <c r="ET61" s="231">
        <v>755128</v>
      </c>
      <c r="EU61" s="231">
        <v>1251309857</v>
      </c>
      <c r="EV61" s="231">
        <v>1150772</v>
      </c>
      <c r="EW61" s="231">
        <v>1165519</v>
      </c>
      <c r="EX61" s="231">
        <v>-14747</v>
      </c>
      <c r="EY61" s="229">
        <v>-1.2699999999999999E-2</v>
      </c>
      <c r="EZ61" s="229">
        <v>0.30869999999999997</v>
      </c>
      <c r="FA61" s="227" t="s">
        <v>568</v>
      </c>
      <c r="FB61" s="161">
        <f t="shared" si="0"/>
        <v>14368125</v>
      </c>
    </row>
    <row r="62" spans="1:158" ht="17.25" hidden="1" thickBot="1" x14ac:dyDescent="0.3">
      <c r="A62" s="226">
        <v>46064</v>
      </c>
      <c r="B62" s="227" t="s">
        <v>162</v>
      </c>
      <c r="C62" s="227" t="s">
        <v>211</v>
      </c>
      <c r="D62" s="228">
        <v>1800</v>
      </c>
      <c r="E62" s="228">
        <v>341.45</v>
      </c>
      <c r="F62" s="228">
        <v>339.05</v>
      </c>
      <c r="G62" s="228">
        <v>2.4</v>
      </c>
      <c r="H62" s="229">
        <v>7.1000000000000004E-3</v>
      </c>
      <c r="I62" s="228">
        <v>341.1</v>
      </c>
      <c r="J62" s="228">
        <v>338.8</v>
      </c>
      <c r="K62" s="228">
        <v>2.2999999999999998</v>
      </c>
      <c r="L62" s="229">
        <v>6.7999999999999996E-3</v>
      </c>
      <c r="M62" s="228">
        <v>341.45</v>
      </c>
      <c r="N62" s="228">
        <v>339.05</v>
      </c>
      <c r="O62" s="228">
        <v>2.4</v>
      </c>
      <c r="P62" s="229">
        <v>7.1000000000000004E-3</v>
      </c>
      <c r="Q62" s="228">
        <v>343.7</v>
      </c>
      <c r="R62" s="228">
        <v>341.3</v>
      </c>
      <c r="S62" s="228">
        <v>2.4</v>
      </c>
      <c r="T62" s="229">
        <v>7.0000000000000001E-3</v>
      </c>
      <c r="U62" s="228">
        <v>345.55</v>
      </c>
      <c r="V62" s="228">
        <v>343.15</v>
      </c>
      <c r="W62" s="228">
        <v>2.4</v>
      </c>
      <c r="X62" s="229">
        <v>7.0000000000000001E-3</v>
      </c>
      <c r="Y62" s="228">
        <v>0.35</v>
      </c>
      <c r="Z62" s="228">
        <v>0.25</v>
      </c>
      <c r="AA62" s="228">
        <v>0.1</v>
      </c>
      <c r="AB62" s="229">
        <v>1E-3</v>
      </c>
      <c r="AC62" s="228">
        <v>0.35</v>
      </c>
      <c r="AD62" s="228">
        <v>0.25</v>
      </c>
      <c r="AE62" s="228">
        <v>0.1</v>
      </c>
      <c r="AF62" s="229">
        <v>1E-3</v>
      </c>
      <c r="AG62" s="228">
        <v>2.6</v>
      </c>
      <c r="AH62" s="228">
        <v>2.5</v>
      </c>
      <c r="AI62" s="228">
        <v>0.1</v>
      </c>
      <c r="AJ62" s="229">
        <v>7.6E-3</v>
      </c>
      <c r="AK62" s="228">
        <v>4.45</v>
      </c>
      <c r="AL62" s="228">
        <v>4.3499999999999996</v>
      </c>
      <c r="AM62" s="228">
        <v>0.1</v>
      </c>
      <c r="AN62" s="229">
        <v>1.2999999999999999E-2</v>
      </c>
      <c r="AO62" s="228">
        <v>340.41</v>
      </c>
      <c r="AP62" s="228">
        <v>342.6</v>
      </c>
      <c r="AQ62" s="228">
        <v>0</v>
      </c>
      <c r="AR62" s="230">
        <v>3148200</v>
      </c>
      <c r="AS62" s="230">
        <v>3861000</v>
      </c>
      <c r="AT62" s="230">
        <v>-712800</v>
      </c>
      <c r="AU62" s="229">
        <v>-0.18459999999999999</v>
      </c>
      <c r="AV62" s="230">
        <v>2811600</v>
      </c>
      <c r="AW62" s="230">
        <v>3342600</v>
      </c>
      <c r="AX62" s="230">
        <v>-531000</v>
      </c>
      <c r="AY62" s="229">
        <v>-0.15890000000000001</v>
      </c>
      <c r="AZ62" s="230">
        <v>271800</v>
      </c>
      <c r="BA62" s="230">
        <v>448200</v>
      </c>
      <c r="BB62" s="230">
        <v>-176400</v>
      </c>
      <c r="BC62" s="229">
        <v>-0.39360000000000001</v>
      </c>
      <c r="BD62" s="230">
        <v>64800</v>
      </c>
      <c r="BE62" s="230">
        <v>70200</v>
      </c>
      <c r="BF62" s="230">
        <v>-5400</v>
      </c>
      <c r="BG62" s="229">
        <v>-7.6899999999999996E-2</v>
      </c>
      <c r="BH62" s="230">
        <v>7898400</v>
      </c>
      <c r="BI62" s="230">
        <v>11770200</v>
      </c>
      <c r="BJ62" s="230">
        <v>-3871800</v>
      </c>
      <c r="BK62" s="229">
        <v>-0.32890000000000003</v>
      </c>
      <c r="BL62" s="230">
        <v>3036600</v>
      </c>
      <c r="BM62" s="230">
        <v>3812400</v>
      </c>
      <c r="BN62" s="230">
        <v>-775800</v>
      </c>
      <c r="BO62" s="229">
        <v>-0.20349999999999999</v>
      </c>
      <c r="BP62" s="230">
        <v>14083200</v>
      </c>
      <c r="BQ62" s="230">
        <v>19443600</v>
      </c>
      <c r="BR62" s="230">
        <v>-5360400</v>
      </c>
      <c r="BS62" s="229">
        <v>-0.2757</v>
      </c>
      <c r="BT62" s="230">
        <v>953605</v>
      </c>
      <c r="BU62" s="230">
        <v>1473711</v>
      </c>
      <c r="BV62" s="230">
        <v>-520106</v>
      </c>
      <c r="BW62" s="229">
        <v>-0.35289999999999999</v>
      </c>
      <c r="BX62" s="230">
        <v>34947000</v>
      </c>
      <c r="BY62" s="230">
        <v>35208000</v>
      </c>
      <c r="BZ62" s="230">
        <v>-261000</v>
      </c>
      <c r="CA62" s="229">
        <v>-7.4000000000000003E-3</v>
      </c>
      <c r="CB62" s="230">
        <v>32650200</v>
      </c>
      <c r="CC62" s="230">
        <v>33012000</v>
      </c>
      <c r="CD62" s="230">
        <v>-361800</v>
      </c>
      <c r="CE62" s="229">
        <v>-1.0999999999999999E-2</v>
      </c>
      <c r="CF62" s="230">
        <v>1929600</v>
      </c>
      <c r="CG62" s="230">
        <v>1859400</v>
      </c>
      <c r="CH62" s="230">
        <v>70200</v>
      </c>
      <c r="CI62" s="229">
        <v>3.78E-2</v>
      </c>
      <c r="CJ62" s="230">
        <v>367200</v>
      </c>
      <c r="CK62" s="230">
        <v>336600</v>
      </c>
      <c r="CL62" s="230">
        <v>30600</v>
      </c>
      <c r="CM62" s="229">
        <v>9.0899999999999995E-2</v>
      </c>
      <c r="CN62" s="230">
        <v>19071000</v>
      </c>
      <c r="CO62" s="230">
        <v>18662400</v>
      </c>
      <c r="CP62" s="230">
        <v>408600</v>
      </c>
      <c r="CQ62" s="229">
        <v>2.1899999999999999E-2</v>
      </c>
      <c r="CR62" s="230">
        <v>11127600</v>
      </c>
      <c r="CS62" s="230">
        <v>11089800</v>
      </c>
      <c r="CT62" s="230">
        <v>37800</v>
      </c>
      <c r="CU62" s="229">
        <v>3.3999999999999998E-3</v>
      </c>
      <c r="CV62" s="230">
        <v>65145600</v>
      </c>
      <c r="CW62" s="230">
        <v>64960200</v>
      </c>
      <c r="CX62" s="230">
        <v>185400</v>
      </c>
      <c r="CY62" s="229">
        <v>2.8999999999999998E-3</v>
      </c>
      <c r="CZ62" s="228">
        <v>30.72</v>
      </c>
      <c r="DA62" s="228">
        <v>31.35</v>
      </c>
      <c r="DB62" s="228">
        <v>-0.63</v>
      </c>
      <c r="DC62" s="228">
        <v>-0.63</v>
      </c>
      <c r="DD62" s="228">
        <v>32.909999999999997</v>
      </c>
      <c r="DE62" s="228">
        <v>32.979999999999997</v>
      </c>
      <c r="DF62" s="228">
        <v>-2.19</v>
      </c>
      <c r="DG62" s="228">
        <v>-7.0000000000000007E-2</v>
      </c>
      <c r="DH62" s="228">
        <v>30.46</v>
      </c>
      <c r="DI62" s="228">
        <v>31.68</v>
      </c>
      <c r="DJ62" s="228">
        <v>-1.22</v>
      </c>
      <c r="DK62" s="228">
        <v>-1.22</v>
      </c>
      <c r="DL62" s="228">
        <v>31.4</v>
      </c>
      <c r="DM62" s="228">
        <v>30.32</v>
      </c>
      <c r="DN62" s="228">
        <v>1.08</v>
      </c>
      <c r="DO62" s="228">
        <v>1.08</v>
      </c>
      <c r="DP62" s="228">
        <v>0.57999999999999996</v>
      </c>
      <c r="DQ62" s="228">
        <v>0.59</v>
      </c>
      <c r="DR62" s="228">
        <v>-0.01</v>
      </c>
      <c r="DS62" s="229">
        <v>-1.6899999999999998E-2</v>
      </c>
      <c r="DT62" s="228">
        <v>360</v>
      </c>
      <c r="DU62" s="228">
        <v>330</v>
      </c>
      <c r="DV62" s="228">
        <v>0.38</v>
      </c>
      <c r="DW62" s="228">
        <v>0.32</v>
      </c>
      <c r="DX62" s="228">
        <v>0.06</v>
      </c>
      <c r="DY62" s="229">
        <v>0.1875</v>
      </c>
      <c r="DZ62" s="229">
        <v>6.5699999999999995E-2</v>
      </c>
      <c r="EA62" s="230">
        <v>2196000</v>
      </c>
      <c r="EB62" s="229">
        <v>6.6E-3</v>
      </c>
      <c r="EC62" s="229">
        <v>6.5699999999999995E-2</v>
      </c>
      <c r="ED62" s="228">
        <v>2.19</v>
      </c>
      <c r="EE62" s="229">
        <v>6.4000000000000003E-3</v>
      </c>
      <c r="EF62" s="230">
        <v>363042</v>
      </c>
      <c r="EG62" s="230">
        <v>669791</v>
      </c>
      <c r="EH62" s="229">
        <v>-0.45800000000000002</v>
      </c>
      <c r="EI62" s="229">
        <v>0.38069999999999998</v>
      </c>
      <c r="EJ62" s="231">
        <v>28024.720000000001</v>
      </c>
      <c r="EK62" s="231">
        <v>10089.99</v>
      </c>
      <c r="EL62" s="231">
        <v>10725.37</v>
      </c>
      <c r="EM62" s="231">
        <v>3434</v>
      </c>
      <c r="EN62" s="231">
        <v>48840.08</v>
      </c>
      <c r="EO62" s="231">
        <v>68199.02</v>
      </c>
      <c r="EP62" s="231">
        <v>-19358.939999999999</v>
      </c>
      <c r="EQ62" s="229">
        <v>-0.28389999999999999</v>
      </c>
      <c r="ER62" s="231">
        <v>67351</v>
      </c>
      <c r="ES62" s="231">
        <v>37494</v>
      </c>
      <c r="ET62" s="231">
        <v>119385</v>
      </c>
      <c r="EU62" s="231">
        <v>68856800</v>
      </c>
      <c r="EV62" s="231">
        <v>224230</v>
      </c>
      <c r="EW62" s="231">
        <v>222575</v>
      </c>
      <c r="EX62" s="231">
        <v>1655</v>
      </c>
      <c r="EY62" s="229">
        <v>7.4000000000000003E-3</v>
      </c>
      <c r="EZ62" s="229">
        <v>0.94610000000000005</v>
      </c>
      <c r="FA62" s="227" t="s">
        <v>556</v>
      </c>
      <c r="FB62" s="161">
        <f t="shared" si="0"/>
        <v>2296800</v>
      </c>
    </row>
    <row r="63" spans="1:158" ht="17.25" hidden="1" thickBot="1" x14ac:dyDescent="0.3">
      <c r="A63" s="226">
        <v>46064</v>
      </c>
      <c r="B63" s="227" t="s">
        <v>172</v>
      </c>
      <c r="C63" s="227" t="s">
        <v>212</v>
      </c>
      <c r="D63" s="228">
        <v>5000</v>
      </c>
      <c r="E63" s="228">
        <v>291.5</v>
      </c>
      <c r="F63" s="228">
        <v>281.85000000000002</v>
      </c>
      <c r="G63" s="228">
        <v>9.65</v>
      </c>
      <c r="H63" s="229">
        <v>3.4200000000000001E-2</v>
      </c>
      <c r="I63" s="228">
        <v>290.5</v>
      </c>
      <c r="J63" s="228">
        <v>282.25</v>
      </c>
      <c r="K63" s="228">
        <v>8.25</v>
      </c>
      <c r="L63" s="229">
        <v>2.92E-2</v>
      </c>
      <c r="M63" s="228">
        <v>291.5</v>
      </c>
      <c r="N63" s="228">
        <v>281.85000000000002</v>
      </c>
      <c r="O63" s="228">
        <v>9.65</v>
      </c>
      <c r="P63" s="229">
        <v>3.4200000000000001E-2</v>
      </c>
      <c r="Q63" s="228">
        <v>291.8</v>
      </c>
      <c r="R63" s="228">
        <v>282.64999999999998</v>
      </c>
      <c r="S63" s="228">
        <v>9.15</v>
      </c>
      <c r="T63" s="229">
        <v>3.2399999999999998E-2</v>
      </c>
      <c r="U63" s="228">
        <v>292.7</v>
      </c>
      <c r="V63" s="228">
        <v>284</v>
      </c>
      <c r="W63" s="228">
        <v>8.6999999999999993</v>
      </c>
      <c r="X63" s="229">
        <v>3.0599999999999999E-2</v>
      </c>
      <c r="Y63" s="228">
        <v>1</v>
      </c>
      <c r="Z63" s="228">
        <v>-0.4</v>
      </c>
      <c r="AA63" s="228">
        <v>1.4</v>
      </c>
      <c r="AB63" s="229">
        <v>3.3999999999999998E-3</v>
      </c>
      <c r="AC63" s="228">
        <v>1</v>
      </c>
      <c r="AD63" s="228">
        <v>-0.4</v>
      </c>
      <c r="AE63" s="228">
        <v>1.4</v>
      </c>
      <c r="AF63" s="229">
        <v>3.3999999999999998E-3</v>
      </c>
      <c r="AG63" s="228">
        <v>1.3</v>
      </c>
      <c r="AH63" s="228">
        <v>0.4</v>
      </c>
      <c r="AI63" s="228">
        <v>0.9</v>
      </c>
      <c r="AJ63" s="229">
        <v>4.4999999999999997E-3</v>
      </c>
      <c r="AK63" s="228">
        <v>2.2000000000000002</v>
      </c>
      <c r="AL63" s="228">
        <v>1.75</v>
      </c>
      <c r="AM63" s="228">
        <v>0.45</v>
      </c>
      <c r="AN63" s="229">
        <v>7.6E-3</v>
      </c>
      <c r="AO63" s="228">
        <v>289.27</v>
      </c>
      <c r="AP63" s="228">
        <v>289.97000000000003</v>
      </c>
      <c r="AQ63" s="228">
        <v>0</v>
      </c>
      <c r="AR63" s="230">
        <v>48215000</v>
      </c>
      <c r="AS63" s="230">
        <v>18435000</v>
      </c>
      <c r="AT63" s="230">
        <v>29780000</v>
      </c>
      <c r="AU63" s="229">
        <v>1.6153999999999999</v>
      </c>
      <c r="AV63" s="230">
        <v>44420000</v>
      </c>
      <c r="AW63" s="230">
        <v>17060000</v>
      </c>
      <c r="AX63" s="230">
        <v>27360000</v>
      </c>
      <c r="AY63" s="229">
        <v>1.6037999999999999</v>
      </c>
      <c r="AZ63" s="230">
        <v>3320000</v>
      </c>
      <c r="BA63" s="230">
        <v>1215000</v>
      </c>
      <c r="BB63" s="230">
        <v>2105000</v>
      </c>
      <c r="BC63" s="229">
        <v>1.7324999999999999</v>
      </c>
      <c r="BD63" s="230">
        <v>475000</v>
      </c>
      <c r="BE63" s="230">
        <v>160000</v>
      </c>
      <c r="BF63" s="230">
        <v>315000</v>
      </c>
      <c r="BG63" s="229">
        <v>1.9688000000000001</v>
      </c>
      <c r="BH63" s="230">
        <v>180605000</v>
      </c>
      <c r="BI63" s="230">
        <v>41640000</v>
      </c>
      <c r="BJ63" s="230">
        <v>138965000</v>
      </c>
      <c r="BK63" s="229">
        <v>3.3372999999999999</v>
      </c>
      <c r="BL63" s="230">
        <v>86080000</v>
      </c>
      <c r="BM63" s="230">
        <v>35670000</v>
      </c>
      <c r="BN63" s="230">
        <v>50410000</v>
      </c>
      <c r="BO63" s="229">
        <v>1.4132</v>
      </c>
      <c r="BP63" s="230">
        <v>314900000</v>
      </c>
      <c r="BQ63" s="230">
        <v>95745000</v>
      </c>
      <c r="BR63" s="230">
        <v>219155000</v>
      </c>
      <c r="BS63" s="229">
        <v>2.2888999999999999</v>
      </c>
      <c r="BT63" s="230">
        <v>17265978</v>
      </c>
      <c r="BU63" s="230">
        <v>5283686</v>
      </c>
      <c r="BV63" s="230">
        <v>11982292</v>
      </c>
      <c r="BW63" s="229">
        <v>2.2677999999999998</v>
      </c>
      <c r="BX63" s="230">
        <v>61090000</v>
      </c>
      <c r="BY63" s="230">
        <v>55715000</v>
      </c>
      <c r="BZ63" s="230">
        <v>5375000</v>
      </c>
      <c r="CA63" s="229">
        <v>9.6500000000000002E-2</v>
      </c>
      <c r="CB63" s="230">
        <v>57100000</v>
      </c>
      <c r="CC63" s="230">
        <v>51975000</v>
      </c>
      <c r="CD63" s="230">
        <v>5125000</v>
      </c>
      <c r="CE63" s="229">
        <v>9.8599999999999993E-2</v>
      </c>
      <c r="CF63" s="230">
        <v>3615000</v>
      </c>
      <c r="CG63" s="230">
        <v>3470000</v>
      </c>
      <c r="CH63" s="230">
        <v>145000</v>
      </c>
      <c r="CI63" s="229">
        <v>4.1799999999999997E-2</v>
      </c>
      <c r="CJ63" s="230">
        <v>375000</v>
      </c>
      <c r="CK63" s="230">
        <v>270000</v>
      </c>
      <c r="CL63" s="230">
        <v>105000</v>
      </c>
      <c r="CM63" s="229">
        <v>0.38890000000000002</v>
      </c>
      <c r="CN63" s="230">
        <v>41050000</v>
      </c>
      <c r="CO63" s="230">
        <v>40420000</v>
      </c>
      <c r="CP63" s="230">
        <v>630000</v>
      </c>
      <c r="CQ63" s="229">
        <v>1.5599999999999999E-2</v>
      </c>
      <c r="CR63" s="230">
        <v>36110000</v>
      </c>
      <c r="CS63" s="230">
        <v>32815000</v>
      </c>
      <c r="CT63" s="230">
        <v>3295000</v>
      </c>
      <c r="CU63" s="229">
        <v>0.1004</v>
      </c>
      <c r="CV63" s="230">
        <v>138250000</v>
      </c>
      <c r="CW63" s="230">
        <v>128950000</v>
      </c>
      <c r="CX63" s="230">
        <v>9300000</v>
      </c>
      <c r="CY63" s="229">
        <v>7.2099999999999997E-2</v>
      </c>
      <c r="CZ63" s="228">
        <v>30.06</v>
      </c>
      <c r="DA63" s="228">
        <v>28.23</v>
      </c>
      <c r="DB63" s="228">
        <v>1.83</v>
      </c>
      <c r="DC63" s="228">
        <v>1.83</v>
      </c>
      <c r="DD63" s="228">
        <v>30.35</v>
      </c>
      <c r="DE63" s="228">
        <v>30.18</v>
      </c>
      <c r="DF63" s="228">
        <v>-0.28999999999999998</v>
      </c>
      <c r="DG63" s="228">
        <v>0.17</v>
      </c>
      <c r="DH63" s="228">
        <v>29.81</v>
      </c>
      <c r="DI63" s="228">
        <v>28.23</v>
      </c>
      <c r="DJ63" s="228">
        <v>1.58</v>
      </c>
      <c r="DK63" s="228">
        <v>1.58</v>
      </c>
      <c r="DL63" s="228">
        <v>30.6</v>
      </c>
      <c r="DM63" s="228">
        <v>28.24</v>
      </c>
      <c r="DN63" s="228">
        <v>2.36</v>
      </c>
      <c r="DO63" s="228">
        <v>2.36</v>
      </c>
      <c r="DP63" s="228">
        <v>0.88</v>
      </c>
      <c r="DQ63" s="228">
        <v>0.81</v>
      </c>
      <c r="DR63" s="228">
        <v>7.0000000000000007E-2</v>
      </c>
      <c r="DS63" s="229">
        <v>8.6400000000000005E-2</v>
      </c>
      <c r="DT63" s="228">
        <v>300</v>
      </c>
      <c r="DU63" s="228">
        <v>250</v>
      </c>
      <c r="DV63" s="228">
        <v>0.48</v>
      </c>
      <c r="DW63" s="228">
        <v>0.86</v>
      </c>
      <c r="DX63" s="228">
        <v>-0.38</v>
      </c>
      <c r="DY63" s="229">
        <v>-0.44190000000000002</v>
      </c>
      <c r="DZ63" s="229">
        <v>6.5299999999999997E-2</v>
      </c>
      <c r="EA63" s="230">
        <v>3740000</v>
      </c>
      <c r="EB63" s="229">
        <v>1E-3</v>
      </c>
      <c r="EC63" s="229">
        <v>6.5299999999999997E-2</v>
      </c>
      <c r="ED63" s="228">
        <v>0.7</v>
      </c>
      <c r="EE63" s="229">
        <v>2.3999999999999998E-3</v>
      </c>
      <c r="EF63" s="230">
        <v>8890309</v>
      </c>
      <c r="EG63" s="230">
        <v>3264434</v>
      </c>
      <c r="EH63" s="229">
        <v>1.7234</v>
      </c>
      <c r="EI63" s="229">
        <v>0.51490000000000002</v>
      </c>
      <c r="EJ63" s="231">
        <v>549007.18999999994</v>
      </c>
      <c r="EK63" s="231">
        <v>243125.02</v>
      </c>
      <c r="EL63" s="231">
        <v>139504.78</v>
      </c>
      <c r="EM63" s="231">
        <v>2861</v>
      </c>
      <c r="EN63" s="231">
        <v>931636.99</v>
      </c>
      <c r="EO63" s="231">
        <v>276395.06</v>
      </c>
      <c r="EP63" s="231">
        <v>655241.93000000005</v>
      </c>
      <c r="EQ63" s="229">
        <v>2.3706999999999998</v>
      </c>
      <c r="ER63" s="231">
        <v>122219</v>
      </c>
      <c r="ES63" s="231">
        <v>97451</v>
      </c>
      <c r="ET63" s="231">
        <v>178093</v>
      </c>
      <c r="EU63" s="231">
        <v>320636733</v>
      </c>
      <c r="EV63" s="231">
        <v>397762</v>
      </c>
      <c r="EW63" s="231">
        <v>364454</v>
      </c>
      <c r="EX63" s="231">
        <v>33308</v>
      </c>
      <c r="EY63" s="229">
        <v>9.1399999999999995E-2</v>
      </c>
      <c r="EZ63" s="229">
        <v>0.43120000000000003</v>
      </c>
      <c r="FA63" s="227" t="s">
        <v>555</v>
      </c>
      <c r="FB63" s="161">
        <f t="shared" si="0"/>
        <v>3990000</v>
      </c>
    </row>
    <row r="64" spans="1:158" ht="17.25" hidden="1" thickBot="1" x14ac:dyDescent="0.3">
      <c r="A64" s="226">
        <v>46064</v>
      </c>
      <c r="B64" s="227" t="s">
        <v>181</v>
      </c>
      <c r="C64" s="227" t="s">
        <v>480</v>
      </c>
      <c r="D64" s="228">
        <v>60</v>
      </c>
      <c r="E64" s="231">
        <v>28286.799999999999</v>
      </c>
      <c r="F64" s="231">
        <v>28210.2</v>
      </c>
      <c r="G64" s="228">
        <v>76.599999999999994</v>
      </c>
      <c r="H64" s="229">
        <v>2.7000000000000001E-3</v>
      </c>
      <c r="I64" s="231">
        <v>28276.95</v>
      </c>
      <c r="J64" s="231">
        <v>28186.25</v>
      </c>
      <c r="K64" s="228">
        <v>90.7</v>
      </c>
      <c r="L64" s="229">
        <v>3.2000000000000002E-3</v>
      </c>
      <c r="M64" s="231">
        <v>28286.799999999999</v>
      </c>
      <c r="N64" s="231">
        <v>28210.2</v>
      </c>
      <c r="O64" s="228">
        <v>76.599999999999994</v>
      </c>
      <c r="P64" s="229">
        <v>2.7000000000000001E-3</v>
      </c>
      <c r="Q64" s="231">
        <v>28457.200000000001</v>
      </c>
      <c r="R64" s="231">
        <v>27921.8</v>
      </c>
      <c r="S64" s="228">
        <v>535.4</v>
      </c>
      <c r="T64" s="229">
        <v>1.9199999999999998E-2</v>
      </c>
      <c r="U64" s="228">
        <v>0</v>
      </c>
      <c r="V64" s="228">
        <v>0</v>
      </c>
      <c r="W64" s="228">
        <v>0</v>
      </c>
      <c r="X64" s="229">
        <v>0</v>
      </c>
      <c r="Y64" s="228">
        <v>9.85</v>
      </c>
      <c r="Z64" s="228">
        <v>23.95</v>
      </c>
      <c r="AA64" s="228">
        <v>-14.1</v>
      </c>
      <c r="AB64" s="229">
        <v>2.9999999999999997E-4</v>
      </c>
      <c r="AC64" s="228">
        <v>9.85</v>
      </c>
      <c r="AD64" s="228">
        <v>23.95</v>
      </c>
      <c r="AE64" s="228">
        <v>-14.1</v>
      </c>
      <c r="AF64" s="229">
        <v>2.9999999999999997E-4</v>
      </c>
      <c r="AG64" s="228">
        <v>180.25</v>
      </c>
      <c r="AH64" s="228">
        <v>-264.45</v>
      </c>
      <c r="AI64" s="228">
        <v>444.7</v>
      </c>
      <c r="AJ64" s="229">
        <v>6.4000000000000003E-3</v>
      </c>
      <c r="AK64" s="228">
        <v>0</v>
      </c>
      <c r="AL64" s="228">
        <v>0</v>
      </c>
      <c r="AM64" s="228">
        <v>0</v>
      </c>
      <c r="AN64" s="229">
        <v>0</v>
      </c>
      <c r="AO64" s="231">
        <v>28268.58</v>
      </c>
      <c r="AP64" s="231">
        <v>28433.33</v>
      </c>
      <c r="AQ64" s="228">
        <v>0</v>
      </c>
      <c r="AR64" s="230">
        <v>13800</v>
      </c>
      <c r="AS64" s="230">
        <v>8040</v>
      </c>
      <c r="AT64" s="230">
        <v>5760</v>
      </c>
      <c r="AU64" s="229">
        <v>0.71640000000000004</v>
      </c>
      <c r="AV64" s="230">
        <v>13620</v>
      </c>
      <c r="AW64" s="230">
        <v>7980</v>
      </c>
      <c r="AX64" s="230">
        <v>5640</v>
      </c>
      <c r="AY64" s="229">
        <v>0.70679999999999998</v>
      </c>
      <c r="AZ64" s="228">
        <v>180</v>
      </c>
      <c r="BA64" s="228">
        <v>60</v>
      </c>
      <c r="BB64" s="228">
        <v>120</v>
      </c>
      <c r="BC64" s="229">
        <v>2</v>
      </c>
      <c r="BD64" s="228">
        <v>0</v>
      </c>
      <c r="BE64" s="228">
        <v>0</v>
      </c>
      <c r="BF64" s="228">
        <v>0</v>
      </c>
      <c r="BG64" s="229">
        <v>0</v>
      </c>
      <c r="BH64" s="230">
        <v>1252080</v>
      </c>
      <c r="BI64" s="230">
        <v>928320</v>
      </c>
      <c r="BJ64" s="230">
        <v>323760</v>
      </c>
      <c r="BK64" s="229">
        <v>0.3488</v>
      </c>
      <c r="BL64" s="230">
        <v>1461540</v>
      </c>
      <c r="BM64" s="230">
        <v>1617300</v>
      </c>
      <c r="BN64" s="230">
        <v>-155760</v>
      </c>
      <c r="BO64" s="229">
        <v>-9.6299999999999997E-2</v>
      </c>
      <c r="BP64" s="230">
        <v>2727420</v>
      </c>
      <c r="BQ64" s="230">
        <v>2553660</v>
      </c>
      <c r="BR64" s="230">
        <v>173760</v>
      </c>
      <c r="BS64" s="229">
        <v>6.8000000000000005E-2</v>
      </c>
      <c r="BT64" s="228">
        <v>0</v>
      </c>
      <c r="BU64" s="228">
        <v>0</v>
      </c>
      <c r="BV64" s="228">
        <v>0</v>
      </c>
      <c r="BW64" s="229">
        <v>0</v>
      </c>
      <c r="BX64" s="230">
        <v>47820</v>
      </c>
      <c r="BY64" s="230">
        <v>47880</v>
      </c>
      <c r="BZ64" s="228">
        <v>-60</v>
      </c>
      <c r="CA64" s="229">
        <v>-1.2999999999999999E-3</v>
      </c>
      <c r="CB64" s="230">
        <v>46680</v>
      </c>
      <c r="CC64" s="230">
        <v>46800</v>
      </c>
      <c r="CD64" s="228">
        <v>-120</v>
      </c>
      <c r="CE64" s="229">
        <v>-2.5999999999999999E-3</v>
      </c>
      <c r="CF64" s="230">
        <v>1140</v>
      </c>
      <c r="CG64" s="230">
        <v>1080</v>
      </c>
      <c r="CH64" s="228">
        <v>60</v>
      </c>
      <c r="CI64" s="229">
        <v>5.5599999999999997E-2</v>
      </c>
      <c r="CJ64" s="228">
        <v>0</v>
      </c>
      <c r="CK64" s="228">
        <v>0</v>
      </c>
      <c r="CL64" s="228">
        <v>0</v>
      </c>
      <c r="CM64" s="229">
        <v>0</v>
      </c>
      <c r="CN64" s="230">
        <v>815640</v>
      </c>
      <c r="CO64" s="230">
        <v>690420</v>
      </c>
      <c r="CP64" s="230">
        <v>125220</v>
      </c>
      <c r="CQ64" s="229">
        <v>0.18140000000000001</v>
      </c>
      <c r="CR64" s="230">
        <v>996240</v>
      </c>
      <c r="CS64" s="230">
        <v>961800</v>
      </c>
      <c r="CT64" s="230">
        <v>34440</v>
      </c>
      <c r="CU64" s="229">
        <v>3.5799999999999998E-2</v>
      </c>
      <c r="CV64" s="230">
        <v>1859700</v>
      </c>
      <c r="CW64" s="230">
        <v>1700100</v>
      </c>
      <c r="CX64" s="230">
        <v>159600</v>
      </c>
      <c r="CY64" s="229">
        <v>9.3899999999999997E-2</v>
      </c>
      <c r="CZ64" s="228">
        <v>13</v>
      </c>
      <c r="DA64" s="228">
        <v>12.84</v>
      </c>
      <c r="DB64" s="228">
        <v>0.16</v>
      </c>
      <c r="DC64" s="228">
        <v>0.16</v>
      </c>
      <c r="DD64" s="228">
        <v>16.71</v>
      </c>
      <c r="DE64" s="228">
        <v>16.739999999999998</v>
      </c>
      <c r="DF64" s="228">
        <v>-3.71</v>
      </c>
      <c r="DG64" s="228">
        <v>-0.03</v>
      </c>
      <c r="DH64" s="228">
        <v>11.53</v>
      </c>
      <c r="DI64" s="228">
        <v>11.89</v>
      </c>
      <c r="DJ64" s="228">
        <v>-0.36</v>
      </c>
      <c r="DK64" s="228">
        <v>-0.36</v>
      </c>
      <c r="DL64" s="228">
        <v>14.25</v>
      </c>
      <c r="DM64" s="228">
        <v>13.38</v>
      </c>
      <c r="DN64" s="228">
        <v>0.87</v>
      </c>
      <c r="DO64" s="228">
        <v>0.87</v>
      </c>
      <c r="DP64" s="228">
        <v>1.22</v>
      </c>
      <c r="DQ64" s="228">
        <v>1.39</v>
      </c>
      <c r="DR64" s="228">
        <v>-0.17</v>
      </c>
      <c r="DS64" s="229">
        <v>-0.12230000000000001</v>
      </c>
      <c r="DT64" s="231">
        <v>28000</v>
      </c>
      <c r="DU64" s="231">
        <v>28000</v>
      </c>
      <c r="DV64" s="228">
        <v>1.17</v>
      </c>
      <c r="DW64" s="228">
        <v>1.74</v>
      </c>
      <c r="DX64" s="228">
        <v>-0.56999999999999995</v>
      </c>
      <c r="DY64" s="229">
        <v>-0.3276</v>
      </c>
      <c r="DZ64" s="229">
        <v>2.3800000000000002E-2</v>
      </c>
      <c r="EA64" s="230">
        <v>1080</v>
      </c>
      <c r="EB64" s="229">
        <v>6.0000000000000001E-3</v>
      </c>
      <c r="EC64" s="229">
        <v>2.3800000000000002E-2</v>
      </c>
      <c r="ED64" s="228">
        <v>164.75</v>
      </c>
      <c r="EE64" s="229">
        <v>5.7999999999999996E-3</v>
      </c>
      <c r="EF64" s="228">
        <v>0</v>
      </c>
      <c r="EG64" s="228">
        <v>0</v>
      </c>
      <c r="EH64" s="229">
        <v>0</v>
      </c>
      <c r="EI64" s="229">
        <v>0</v>
      </c>
      <c r="EJ64" s="231">
        <v>358903.55</v>
      </c>
      <c r="EK64" s="231">
        <v>405070.04</v>
      </c>
      <c r="EL64" s="231">
        <v>3901.36</v>
      </c>
      <c r="EM64" s="228">
        <v>0</v>
      </c>
      <c r="EN64" s="231">
        <v>767874.95</v>
      </c>
      <c r="EO64" s="231">
        <v>718403.71</v>
      </c>
      <c r="EP64" s="231">
        <v>49471.24</v>
      </c>
      <c r="EQ64" s="229">
        <v>6.8900000000000003E-2</v>
      </c>
      <c r="ER64" s="231">
        <v>231119</v>
      </c>
      <c r="ES64" s="231">
        <v>270645</v>
      </c>
      <c r="ET64" s="231">
        <v>13529</v>
      </c>
      <c r="EU64" s="228">
        <v>0</v>
      </c>
      <c r="EV64" s="231">
        <v>515293</v>
      </c>
      <c r="EW64" s="231">
        <v>470127</v>
      </c>
      <c r="EX64" s="231">
        <v>45166</v>
      </c>
      <c r="EY64" s="229">
        <v>9.6100000000000005E-2</v>
      </c>
      <c r="EZ64" s="229">
        <v>0</v>
      </c>
      <c r="FA64" s="227" t="s">
        <v>556</v>
      </c>
      <c r="FB64" s="161">
        <f t="shared" si="0"/>
        <v>1140</v>
      </c>
    </row>
    <row r="65" spans="1:158" ht="17.25" hidden="1" thickBot="1" x14ac:dyDescent="0.3">
      <c r="A65" s="226">
        <v>46064</v>
      </c>
      <c r="B65" s="227" t="s">
        <v>170</v>
      </c>
      <c r="C65" s="227" t="s">
        <v>676</v>
      </c>
      <c r="D65" s="228">
        <v>775</v>
      </c>
      <c r="E65" s="228">
        <v>921.25</v>
      </c>
      <c r="F65" s="228">
        <v>892.95</v>
      </c>
      <c r="G65" s="228">
        <v>28.3</v>
      </c>
      <c r="H65" s="229">
        <v>3.1699999999999999E-2</v>
      </c>
      <c r="I65" s="228">
        <v>918.85</v>
      </c>
      <c r="J65" s="228">
        <v>891.85</v>
      </c>
      <c r="K65" s="228">
        <v>27</v>
      </c>
      <c r="L65" s="229">
        <v>3.0300000000000001E-2</v>
      </c>
      <c r="M65" s="228">
        <v>921.25</v>
      </c>
      <c r="N65" s="228">
        <v>892.95</v>
      </c>
      <c r="O65" s="228">
        <v>28.3</v>
      </c>
      <c r="P65" s="229">
        <v>3.1699999999999999E-2</v>
      </c>
      <c r="Q65" s="228">
        <v>926.85</v>
      </c>
      <c r="R65" s="228">
        <v>898.35</v>
      </c>
      <c r="S65" s="228">
        <v>28.5</v>
      </c>
      <c r="T65" s="229">
        <v>3.1699999999999999E-2</v>
      </c>
      <c r="U65" s="228">
        <v>930.45</v>
      </c>
      <c r="V65" s="228">
        <v>903.2</v>
      </c>
      <c r="W65" s="228">
        <v>27.25</v>
      </c>
      <c r="X65" s="229">
        <v>3.0200000000000001E-2</v>
      </c>
      <c r="Y65" s="228">
        <v>2.4</v>
      </c>
      <c r="Z65" s="228">
        <v>1.1000000000000001</v>
      </c>
      <c r="AA65" s="228">
        <v>1.3</v>
      </c>
      <c r="AB65" s="229">
        <v>2.5999999999999999E-3</v>
      </c>
      <c r="AC65" s="228">
        <v>2.4</v>
      </c>
      <c r="AD65" s="228">
        <v>1.1000000000000001</v>
      </c>
      <c r="AE65" s="228">
        <v>1.3</v>
      </c>
      <c r="AF65" s="229">
        <v>2.5999999999999999E-3</v>
      </c>
      <c r="AG65" s="228">
        <v>8</v>
      </c>
      <c r="AH65" s="228">
        <v>6.5</v>
      </c>
      <c r="AI65" s="228">
        <v>1.5</v>
      </c>
      <c r="AJ65" s="229">
        <v>8.6999999999999994E-3</v>
      </c>
      <c r="AK65" s="228">
        <v>11.6</v>
      </c>
      <c r="AL65" s="228">
        <v>11.35</v>
      </c>
      <c r="AM65" s="228">
        <v>0.25</v>
      </c>
      <c r="AN65" s="229">
        <v>1.26E-2</v>
      </c>
      <c r="AO65" s="228">
        <v>920.17</v>
      </c>
      <c r="AP65" s="228">
        <v>927.92</v>
      </c>
      <c r="AQ65" s="228">
        <v>0</v>
      </c>
      <c r="AR65" s="230">
        <v>4150900</v>
      </c>
      <c r="AS65" s="230">
        <v>1551550</v>
      </c>
      <c r="AT65" s="230">
        <v>2599350</v>
      </c>
      <c r="AU65" s="229">
        <v>1.6753</v>
      </c>
      <c r="AV65" s="230">
        <v>3811450</v>
      </c>
      <c r="AW65" s="230">
        <v>1446925</v>
      </c>
      <c r="AX65" s="230">
        <v>2364525</v>
      </c>
      <c r="AY65" s="229">
        <v>1.6342000000000001</v>
      </c>
      <c r="AZ65" s="230">
        <v>323950</v>
      </c>
      <c r="BA65" s="230">
        <v>99975</v>
      </c>
      <c r="BB65" s="230">
        <v>223975</v>
      </c>
      <c r="BC65" s="229">
        <v>2.2403</v>
      </c>
      <c r="BD65" s="230">
        <v>15500</v>
      </c>
      <c r="BE65" s="230">
        <v>4650</v>
      </c>
      <c r="BF65" s="230">
        <v>10850</v>
      </c>
      <c r="BG65" s="229">
        <v>2.3332999999999999</v>
      </c>
      <c r="BH65" s="230">
        <v>35033100</v>
      </c>
      <c r="BI65" s="230">
        <v>3075200</v>
      </c>
      <c r="BJ65" s="230">
        <v>31957900</v>
      </c>
      <c r="BK65" s="229">
        <v>10.392099999999999</v>
      </c>
      <c r="BL65" s="230">
        <v>11005775</v>
      </c>
      <c r="BM65" s="230">
        <v>1628275</v>
      </c>
      <c r="BN65" s="230">
        <v>9377500</v>
      </c>
      <c r="BO65" s="229">
        <v>5.7591999999999999</v>
      </c>
      <c r="BP65" s="230">
        <v>50189775</v>
      </c>
      <c r="BQ65" s="230">
        <v>6255025</v>
      </c>
      <c r="BR65" s="230">
        <v>43934750</v>
      </c>
      <c r="BS65" s="229">
        <v>7.0239000000000003</v>
      </c>
      <c r="BT65" s="230">
        <v>4054037</v>
      </c>
      <c r="BU65" s="230">
        <v>1145331</v>
      </c>
      <c r="BV65" s="230">
        <v>2908706</v>
      </c>
      <c r="BW65" s="229">
        <v>2.5396000000000001</v>
      </c>
      <c r="BX65" s="230">
        <v>12547250</v>
      </c>
      <c r="BY65" s="230">
        <v>12124875</v>
      </c>
      <c r="BZ65" s="230">
        <v>422375</v>
      </c>
      <c r="CA65" s="229">
        <v>3.4799999999999998E-2</v>
      </c>
      <c r="CB65" s="230">
        <v>12283750</v>
      </c>
      <c r="CC65" s="230">
        <v>11910975</v>
      </c>
      <c r="CD65" s="230">
        <v>372775</v>
      </c>
      <c r="CE65" s="229">
        <v>3.1300000000000001E-2</v>
      </c>
      <c r="CF65" s="230">
        <v>248000</v>
      </c>
      <c r="CG65" s="230">
        <v>203050</v>
      </c>
      <c r="CH65" s="230">
        <v>44950</v>
      </c>
      <c r="CI65" s="229">
        <v>0.22140000000000001</v>
      </c>
      <c r="CJ65" s="230">
        <v>15500</v>
      </c>
      <c r="CK65" s="230">
        <v>10850</v>
      </c>
      <c r="CL65" s="230">
        <v>4650</v>
      </c>
      <c r="CM65" s="229">
        <v>0.42859999999999998</v>
      </c>
      <c r="CN65" s="230">
        <v>4747650</v>
      </c>
      <c r="CO65" s="230">
        <v>2845800</v>
      </c>
      <c r="CP65" s="230">
        <v>1901850</v>
      </c>
      <c r="CQ65" s="229">
        <v>0.66830000000000001</v>
      </c>
      <c r="CR65" s="230">
        <v>3159675</v>
      </c>
      <c r="CS65" s="230">
        <v>2221150</v>
      </c>
      <c r="CT65" s="230">
        <v>938525</v>
      </c>
      <c r="CU65" s="229">
        <v>0.42249999999999999</v>
      </c>
      <c r="CV65" s="230">
        <v>20454575</v>
      </c>
      <c r="CW65" s="230">
        <v>17191825</v>
      </c>
      <c r="CX65" s="230">
        <v>3262750</v>
      </c>
      <c r="CY65" s="229">
        <v>0.1898</v>
      </c>
      <c r="CZ65" s="228">
        <v>37.68</v>
      </c>
      <c r="DA65" s="228">
        <v>34.56</v>
      </c>
      <c r="DB65" s="228">
        <v>3.12</v>
      </c>
      <c r="DC65" s="228">
        <v>3.12</v>
      </c>
      <c r="DD65" s="228">
        <v>34.96</v>
      </c>
      <c r="DE65" s="228">
        <v>34.82</v>
      </c>
      <c r="DF65" s="228">
        <v>2.72</v>
      </c>
      <c r="DG65" s="228">
        <v>0.14000000000000001</v>
      </c>
      <c r="DH65" s="228">
        <v>37.770000000000003</v>
      </c>
      <c r="DI65" s="228">
        <v>34.5</v>
      </c>
      <c r="DJ65" s="228">
        <v>3.27</v>
      </c>
      <c r="DK65" s="228">
        <v>3.27</v>
      </c>
      <c r="DL65" s="228">
        <v>37.380000000000003</v>
      </c>
      <c r="DM65" s="228">
        <v>34.68</v>
      </c>
      <c r="DN65" s="228">
        <v>2.7</v>
      </c>
      <c r="DO65" s="228">
        <v>2.7</v>
      </c>
      <c r="DP65" s="228">
        <v>0.67</v>
      </c>
      <c r="DQ65" s="228">
        <v>0.78</v>
      </c>
      <c r="DR65" s="228">
        <v>-0.11</v>
      </c>
      <c r="DS65" s="229">
        <v>-0.14099999999999999</v>
      </c>
      <c r="DT65" s="228">
        <v>930</v>
      </c>
      <c r="DU65" s="228">
        <v>880</v>
      </c>
      <c r="DV65" s="228">
        <v>0.31</v>
      </c>
      <c r="DW65" s="228">
        <v>0.53</v>
      </c>
      <c r="DX65" s="228">
        <v>-0.22</v>
      </c>
      <c r="DY65" s="229">
        <v>-0.41510000000000002</v>
      </c>
      <c r="DZ65" s="229">
        <v>2.1000000000000001E-2</v>
      </c>
      <c r="EA65" s="230">
        <v>213900</v>
      </c>
      <c r="EB65" s="229">
        <v>6.1000000000000004E-3</v>
      </c>
      <c r="EC65" s="229">
        <v>2.1000000000000001E-2</v>
      </c>
      <c r="ED65" s="228">
        <v>7.75</v>
      </c>
      <c r="EE65" s="229">
        <v>8.3999999999999995E-3</v>
      </c>
      <c r="EF65" s="230">
        <v>1702825</v>
      </c>
      <c r="EG65" s="230">
        <v>612904</v>
      </c>
      <c r="EH65" s="229">
        <v>1.7783</v>
      </c>
      <c r="EI65" s="229">
        <v>0.42</v>
      </c>
      <c r="EJ65" s="231">
        <v>337955.68</v>
      </c>
      <c r="EK65" s="231">
        <v>97794.38</v>
      </c>
      <c r="EL65" s="231">
        <v>38222.019999999997</v>
      </c>
      <c r="EM65" s="231">
        <v>2200</v>
      </c>
      <c r="EN65" s="231">
        <v>473972.08</v>
      </c>
      <c r="EO65" s="231">
        <v>57026.73</v>
      </c>
      <c r="EP65" s="231">
        <v>416945.35</v>
      </c>
      <c r="EQ65" s="229">
        <v>7.3113999999999999</v>
      </c>
      <c r="ER65" s="231">
        <v>44876</v>
      </c>
      <c r="ES65" s="231">
        <v>27661</v>
      </c>
      <c r="ET65" s="231">
        <v>115607</v>
      </c>
      <c r="EU65" s="231">
        <v>77949604</v>
      </c>
      <c r="EV65" s="231">
        <v>188144</v>
      </c>
      <c r="EW65" s="231">
        <v>153496</v>
      </c>
      <c r="EX65" s="231">
        <v>34648</v>
      </c>
      <c r="EY65" s="229">
        <v>0.22570000000000001</v>
      </c>
      <c r="EZ65" s="229">
        <v>0.26240000000000002</v>
      </c>
      <c r="FA65" s="227" t="s">
        <v>555</v>
      </c>
      <c r="FB65" s="161">
        <f t="shared" si="0"/>
        <v>263500</v>
      </c>
    </row>
    <row r="66" spans="1:158" ht="17.25" hidden="1" thickBot="1" x14ac:dyDescent="0.3">
      <c r="A66" s="226">
        <v>46064</v>
      </c>
      <c r="B66" s="227" t="s">
        <v>193</v>
      </c>
      <c r="C66" s="227" t="s">
        <v>213</v>
      </c>
      <c r="D66" s="228">
        <v>3150</v>
      </c>
      <c r="E66" s="228">
        <v>164.01</v>
      </c>
      <c r="F66" s="228">
        <v>165.06</v>
      </c>
      <c r="G66" s="228">
        <v>-1.05</v>
      </c>
      <c r="H66" s="229">
        <v>-6.4000000000000003E-3</v>
      </c>
      <c r="I66" s="228">
        <v>163.47</v>
      </c>
      <c r="J66" s="228">
        <v>164.55</v>
      </c>
      <c r="K66" s="228">
        <v>-1.08</v>
      </c>
      <c r="L66" s="229">
        <v>-6.6E-3</v>
      </c>
      <c r="M66" s="228">
        <v>164.01</v>
      </c>
      <c r="N66" s="228">
        <v>165.06</v>
      </c>
      <c r="O66" s="228">
        <v>-1.05</v>
      </c>
      <c r="P66" s="229">
        <v>-6.4000000000000003E-3</v>
      </c>
      <c r="Q66" s="228">
        <v>164.98</v>
      </c>
      <c r="R66" s="228">
        <v>166.08</v>
      </c>
      <c r="S66" s="228">
        <v>-1.1000000000000001</v>
      </c>
      <c r="T66" s="229">
        <v>-6.6E-3</v>
      </c>
      <c r="U66" s="228">
        <v>166.35</v>
      </c>
      <c r="V66" s="228">
        <v>167.26</v>
      </c>
      <c r="W66" s="228">
        <v>-0.91</v>
      </c>
      <c r="X66" s="229">
        <v>-5.4000000000000003E-3</v>
      </c>
      <c r="Y66" s="228">
        <v>0.54</v>
      </c>
      <c r="Z66" s="228">
        <v>0.51</v>
      </c>
      <c r="AA66" s="228">
        <v>0.03</v>
      </c>
      <c r="AB66" s="229">
        <v>3.3E-3</v>
      </c>
      <c r="AC66" s="228">
        <v>0.54</v>
      </c>
      <c r="AD66" s="228">
        <v>0.51</v>
      </c>
      <c r="AE66" s="228">
        <v>0.03</v>
      </c>
      <c r="AF66" s="229">
        <v>3.3E-3</v>
      </c>
      <c r="AG66" s="228">
        <v>1.51</v>
      </c>
      <c r="AH66" s="228">
        <v>1.53</v>
      </c>
      <c r="AI66" s="228">
        <v>-0.02</v>
      </c>
      <c r="AJ66" s="229">
        <v>9.1999999999999998E-3</v>
      </c>
      <c r="AK66" s="228">
        <v>2.88</v>
      </c>
      <c r="AL66" s="228">
        <v>2.71</v>
      </c>
      <c r="AM66" s="228">
        <v>0.17</v>
      </c>
      <c r="AN66" s="229">
        <v>1.7600000000000001E-2</v>
      </c>
      <c r="AO66" s="228">
        <v>163.56</v>
      </c>
      <c r="AP66" s="228">
        <v>164.48</v>
      </c>
      <c r="AQ66" s="228">
        <v>0</v>
      </c>
      <c r="AR66" s="230">
        <v>8076600</v>
      </c>
      <c r="AS66" s="230">
        <v>14096250</v>
      </c>
      <c r="AT66" s="230">
        <v>-6019650</v>
      </c>
      <c r="AU66" s="229">
        <v>-0.42699999999999999</v>
      </c>
      <c r="AV66" s="230">
        <v>6233850</v>
      </c>
      <c r="AW66" s="230">
        <v>11743200</v>
      </c>
      <c r="AX66" s="230">
        <v>-5509350</v>
      </c>
      <c r="AY66" s="229">
        <v>-0.46920000000000001</v>
      </c>
      <c r="AZ66" s="230">
        <v>1593900</v>
      </c>
      <c r="BA66" s="230">
        <v>2047500</v>
      </c>
      <c r="BB66" s="230">
        <v>-453600</v>
      </c>
      <c r="BC66" s="229">
        <v>-0.2215</v>
      </c>
      <c r="BD66" s="230">
        <v>248850</v>
      </c>
      <c r="BE66" s="230">
        <v>305550</v>
      </c>
      <c r="BF66" s="230">
        <v>-56700</v>
      </c>
      <c r="BG66" s="229">
        <v>-0.18559999999999999</v>
      </c>
      <c r="BH66" s="230">
        <v>19196100</v>
      </c>
      <c r="BI66" s="230">
        <v>40792500</v>
      </c>
      <c r="BJ66" s="230">
        <v>-21596400</v>
      </c>
      <c r="BK66" s="229">
        <v>-0.52939999999999998</v>
      </c>
      <c r="BL66" s="230">
        <v>9576000</v>
      </c>
      <c r="BM66" s="230">
        <v>22264200</v>
      </c>
      <c r="BN66" s="230">
        <v>-12688200</v>
      </c>
      <c r="BO66" s="229">
        <v>-0.56989999999999996</v>
      </c>
      <c r="BP66" s="230">
        <v>36848700</v>
      </c>
      <c r="BQ66" s="230">
        <v>77152950</v>
      </c>
      <c r="BR66" s="230">
        <v>-40304250</v>
      </c>
      <c r="BS66" s="229">
        <v>-0.52239999999999998</v>
      </c>
      <c r="BT66" s="230">
        <v>11041561</v>
      </c>
      <c r="BU66" s="230">
        <v>18486508</v>
      </c>
      <c r="BV66" s="230">
        <v>-7444947</v>
      </c>
      <c r="BW66" s="229">
        <v>-0.4027</v>
      </c>
      <c r="BX66" s="230">
        <v>117413100</v>
      </c>
      <c r="BY66" s="230">
        <v>115957800</v>
      </c>
      <c r="BZ66" s="230">
        <v>1455300</v>
      </c>
      <c r="CA66" s="229">
        <v>1.26E-2</v>
      </c>
      <c r="CB66" s="230">
        <v>110687850</v>
      </c>
      <c r="CC66" s="230">
        <v>110020050</v>
      </c>
      <c r="CD66" s="230">
        <v>667800</v>
      </c>
      <c r="CE66" s="229">
        <v>6.1000000000000004E-3</v>
      </c>
      <c r="CF66" s="230">
        <v>5799150</v>
      </c>
      <c r="CG66" s="230">
        <v>5172300</v>
      </c>
      <c r="CH66" s="230">
        <v>626850</v>
      </c>
      <c r="CI66" s="229">
        <v>0.1212</v>
      </c>
      <c r="CJ66" s="230">
        <v>926100</v>
      </c>
      <c r="CK66" s="230">
        <v>765450</v>
      </c>
      <c r="CL66" s="230">
        <v>160650</v>
      </c>
      <c r="CM66" s="229">
        <v>0.2099</v>
      </c>
      <c r="CN66" s="230">
        <v>41469750</v>
      </c>
      <c r="CO66" s="230">
        <v>41205150</v>
      </c>
      <c r="CP66" s="230">
        <v>264600</v>
      </c>
      <c r="CQ66" s="229">
        <v>6.4000000000000003E-3</v>
      </c>
      <c r="CR66" s="230">
        <v>31396050</v>
      </c>
      <c r="CS66" s="230">
        <v>31295250</v>
      </c>
      <c r="CT66" s="230">
        <v>100800</v>
      </c>
      <c r="CU66" s="229">
        <v>3.2000000000000002E-3</v>
      </c>
      <c r="CV66" s="230">
        <v>190278900</v>
      </c>
      <c r="CW66" s="230">
        <v>188458200</v>
      </c>
      <c r="CX66" s="230">
        <v>1820700</v>
      </c>
      <c r="CY66" s="229">
        <v>9.7000000000000003E-3</v>
      </c>
      <c r="CZ66" s="228">
        <v>26.22</v>
      </c>
      <c r="DA66" s="228">
        <v>26.8</v>
      </c>
      <c r="DB66" s="228">
        <v>-0.57999999999999996</v>
      </c>
      <c r="DC66" s="228">
        <v>-0.57999999999999996</v>
      </c>
      <c r="DD66" s="228">
        <v>33.5</v>
      </c>
      <c r="DE66" s="228">
        <v>33.57</v>
      </c>
      <c r="DF66" s="228">
        <v>-7.28</v>
      </c>
      <c r="DG66" s="228">
        <v>-7.0000000000000007E-2</v>
      </c>
      <c r="DH66" s="228">
        <v>26.12</v>
      </c>
      <c r="DI66" s="228">
        <v>26.09</v>
      </c>
      <c r="DJ66" s="228">
        <v>0.03</v>
      </c>
      <c r="DK66" s="228">
        <v>0.03</v>
      </c>
      <c r="DL66" s="228">
        <v>26.44</v>
      </c>
      <c r="DM66" s="228">
        <v>28.09</v>
      </c>
      <c r="DN66" s="228">
        <v>-1.65</v>
      </c>
      <c r="DO66" s="228">
        <v>-1.65</v>
      </c>
      <c r="DP66" s="228">
        <v>0.76</v>
      </c>
      <c r="DQ66" s="228">
        <v>0.76</v>
      </c>
      <c r="DR66" s="228">
        <v>0</v>
      </c>
      <c r="DS66" s="229">
        <v>0</v>
      </c>
      <c r="DT66" s="228">
        <v>165</v>
      </c>
      <c r="DU66" s="228">
        <v>145</v>
      </c>
      <c r="DV66" s="228">
        <v>0.5</v>
      </c>
      <c r="DW66" s="228">
        <v>0.55000000000000004</v>
      </c>
      <c r="DX66" s="228">
        <v>-0.05</v>
      </c>
      <c r="DY66" s="229">
        <v>-9.0899999999999995E-2</v>
      </c>
      <c r="DZ66" s="229">
        <v>5.7299999999999997E-2</v>
      </c>
      <c r="EA66" s="230">
        <v>5937750</v>
      </c>
      <c r="EB66" s="229">
        <v>5.8999999999999999E-3</v>
      </c>
      <c r="EC66" s="229">
        <v>5.7299999999999997E-2</v>
      </c>
      <c r="ED66" s="228">
        <v>0.92</v>
      </c>
      <c r="EE66" s="229">
        <v>5.5999999999999999E-3</v>
      </c>
      <c r="EF66" s="230">
        <v>7535330</v>
      </c>
      <c r="EG66" s="230">
        <v>11857442</v>
      </c>
      <c r="EH66" s="229">
        <v>-0.36449999999999999</v>
      </c>
      <c r="EI66" s="229">
        <v>0.6825</v>
      </c>
      <c r="EJ66" s="231">
        <v>32780.42</v>
      </c>
      <c r="EK66" s="231">
        <v>15380.82</v>
      </c>
      <c r="EL66" s="231">
        <v>13229.28</v>
      </c>
      <c r="EM66" s="231">
        <v>5017</v>
      </c>
      <c r="EN66" s="231">
        <v>61390.52</v>
      </c>
      <c r="EO66" s="231">
        <v>129066.91</v>
      </c>
      <c r="EP66" s="231">
        <v>-67676.39</v>
      </c>
      <c r="EQ66" s="229">
        <v>-0.52439999999999998</v>
      </c>
      <c r="ER66" s="231">
        <v>70229</v>
      </c>
      <c r="ES66" s="231">
        <v>50657</v>
      </c>
      <c r="ET66" s="231">
        <v>192647</v>
      </c>
      <c r="EU66" s="231">
        <v>435694919</v>
      </c>
      <c r="EV66" s="231">
        <v>313533</v>
      </c>
      <c r="EW66" s="231">
        <v>311675</v>
      </c>
      <c r="EX66" s="231">
        <v>1858</v>
      </c>
      <c r="EY66" s="229">
        <v>6.0000000000000001E-3</v>
      </c>
      <c r="EZ66" s="229">
        <v>0.43669999999999998</v>
      </c>
      <c r="FA66" s="227" t="s">
        <v>567</v>
      </c>
      <c r="FB66" s="161">
        <f t="shared" si="0"/>
        <v>6725250</v>
      </c>
    </row>
    <row r="67" spans="1:158" ht="17.25" hidden="1" thickBot="1" x14ac:dyDescent="0.3">
      <c r="A67" s="226">
        <v>46064</v>
      </c>
      <c r="B67" s="227" t="s">
        <v>170</v>
      </c>
      <c r="C67" s="227" t="s">
        <v>214</v>
      </c>
      <c r="D67" s="228">
        <v>375</v>
      </c>
      <c r="E67" s="231">
        <v>2018</v>
      </c>
      <c r="F67" s="231">
        <v>1963.6</v>
      </c>
      <c r="G67" s="228">
        <v>54.4</v>
      </c>
      <c r="H67" s="229">
        <v>2.7699999999999999E-2</v>
      </c>
      <c r="I67" s="231">
        <v>2015.2</v>
      </c>
      <c r="J67" s="231">
        <v>1958</v>
      </c>
      <c r="K67" s="228">
        <v>57.2</v>
      </c>
      <c r="L67" s="229">
        <v>2.92E-2</v>
      </c>
      <c r="M67" s="231">
        <v>2018</v>
      </c>
      <c r="N67" s="231">
        <v>1963.6</v>
      </c>
      <c r="O67" s="228">
        <v>54.4</v>
      </c>
      <c r="P67" s="229">
        <v>2.7699999999999999E-2</v>
      </c>
      <c r="Q67" s="231">
        <v>2030</v>
      </c>
      <c r="R67" s="231">
        <v>1975.2</v>
      </c>
      <c r="S67" s="228">
        <v>54.8</v>
      </c>
      <c r="T67" s="229">
        <v>2.7699999999999999E-2</v>
      </c>
      <c r="U67" s="231">
        <v>2038.6</v>
      </c>
      <c r="V67" s="231">
        <v>1989.2</v>
      </c>
      <c r="W67" s="228">
        <v>49.4</v>
      </c>
      <c r="X67" s="229">
        <v>2.4799999999999999E-2</v>
      </c>
      <c r="Y67" s="228">
        <v>2.8</v>
      </c>
      <c r="Z67" s="228">
        <v>5.6</v>
      </c>
      <c r="AA67" s="228">
        <v>-2.8</v>
      </c>
      <c r="AB67" s="229">
        <v>1.4E-3</v>
      </c>
      <c r="AC67" s="228">
        <v>2.8</v>
      </c>
      <c r="AD67" s="228">
        <v>5.6</v>
      </c>
      <c r="AE67" s="228">
        <v>-2.8</v>
      </c>
      <c r="AF67" s="229">
        <v>1.4E-3</v>
      </c>
      <c r="AG67" s="228">
        <v>14.8</v>
      </c>
      <c r="AH67" s="228">
        <v>17.2</v>
      </c>
      <c r="AI67" s="228">
        <v>-2.4</v>
      </c>
      <c r="AJ67" s="229">
        <v>7.3000000000000001E-3</v>
      </c>
      <c r="AK67" s="228">
        <v>23.4</v>
      </c>
      <c r="AL67" s="228">
        <v>31.2</v>
      </c>
      <c r="AM67" s="228">
        <v>-7.8</v>
      </c>
      <c r="AN67" s="229">
        <v>1.1599999999999999E-2</v>
      </c>
      <c r="AO67" s="231">
        <v>2000.61</v>
      </c>
      <c r="AP67" s="231">
        <v>2011.97</v>
      </c>
      <c r="AQ67" s="228">
        <v>0</v>
      </c>
      <c r="AR67" s="230">
        <v>1475625</v>
      </c>
      <c r="AS67" s="230">
        <v>690000</v>
      </c>
      <c r="AT67" s="230">
        <v>785625</v>
      </c>
      <c r="AU67" s="229">
        <v>1.1386000000000001</v>
      </c>
      <c r="AV67" s="230">
        <v>1393875</v>
      </c>
      <c r="AW67" s="230">
        <v>661500</v>
      </c>
      <c r="AX67" s="230">
        <v>732375</v>
      </c>
      <c r="AY67" s="229">
        <v>1.1071</v>
      </c>
      <c r="AZ67" s="230">
        <v>77625</v>
      </c>
      <c r="BA67" s="230">
        <v>25125</v>
      </c>
      <c r="BB67" s="230">
        <v>52500</v>
      </c>
      <c r="BC67" s="229">
        <v>2.0895999999999999</v>
      </c>
      <c r="BD67" s="230">
        <v>4125</v>
      </c>
      <c r="BE67" s="230">
        <v>3375</v>
      </c>
      <c r="BF67" s="228">
        <v>750</v>
      </c>
      <c r="BG67" s="229">
        <v>0.22220000000000001</v>
      </c>
      <c r="BH67" s="230">
        <v>4966500</v>
      </c>
      <c r="BI67" s="230">
        <v>1977000</v>
      </c>
      <c r="BJ67" s="230">
        <v>2989500</v>
      </c>
      <c r="BK67" s="229">
        <v>1.5121</v>
      </c>
      <c r="BL67" s="230">
        <v>1532250</v>
      </c>
      <c r="BM67" s="230">
        <v>712875</v>
      </c>
      <c r="BN67" s="230">
        <v>819375</v>
      </c>
      <c r="BO67" s="229">
        <v>1.1494</v>
      </c>
      <c r="BP67" s="230">
        <v>7974375</v>
      </c>
      <c r="BQ67" s="230">
        <v>3379875</v>
      </c>
      <c r="BR67" s="230">
        <v>4594500</v>
      </c>
      <c r="BS67" s="229">
        <v>1.3593999999999999</v>
      </c>
      <c r="BT67" s="230">
        <v>555389</v>
      </c>
      <c r="BU67" s="230">
        <v>289274</v>
      </c>
      <c r="BV67" s="230">
        <v>266115</v>
      </c>
      <c r="BW67" s="229">
        <v>0.91990000000000005</v>
      </c>
      <c r="BX67" s="230">
        <v>11357250</v>
      </c>
      <c r="BY67" s="230">
        <v>11506125</v>
      </c>
      <c r="BZ67" s="230">
        <v>-148875</v>
      </c>
      <c r="CA67" s="229">
        <v>-1.29E-2</v>
      </c>
      <c r="CB67" s="230">
        <v>11257875</v>
      </c>
      <c r="CC67" s="230">
        <v>11409750</v>
      </c>
      <c r="CD67" s="230">
        <v>-151875</v>
      </c>
      <c r="CE67" s="229">
        <v>-1.3299999999999999E-2</v>
      </c>
      <c r="CF67" s="230">
        <v>88500</v>
      </c>
      <c r="CG67" s="230">
        <v>87375</v>
      </c>
      <c r="CH67" s="230">
        <v>1125</v>
      </c>
      <c r="CI67" s="229">
        <v>1.29E-2</v>
      </c>
      <c r="CJ67" s="230">
        <v>10875</v>
      </c>
      <c r="CK67" s="230">
        <v>9000</v>
      </c>
      <c r="CL67" s="230">
        <v>1875</v>
      </c>
      <c r="CM67" s="229">
        <v>0.20830000000000001</v>
      </c>
      <c r="CN67" s="230">
        <v>2550750</v>
      </c>
      <c r="CO67" s="230">
        <v>2496750</v>
      </c>
      <c r="CP67" s="230">
        <v>54000</v>
      </c>
      <c r="CQ67" s="229">
        <v>2.1600000000000001E-2</v>
      </c>
      <c r="CR67" s="230">
        <v>1806000</v>
      </c>
      <c r="CS67" s="230">
        <v>1628250</v>
      </c>
      <c r="CT67" s="230">
        <v>177750</v>
      </c>
      <c r="CU67" s="229">
        <v>0.10920000000000001</v>
      </c>
      <c r="CV67" s="230">
        <v>15714000</v>
      </c>
      <c r="CW67" s="230">
        <v>15631125</v>
      </c>
      <c r="CX67" s="230">
        <v>82875</v>
      </c>
      <c r="CY67" s="229">
        <v>5.3E-3</v>
      </c>
      <c r="CZ67" s="228">
        <v>30.3</v>
      </c>
      <c r="DA67" s="228">
        <v>30.91</v>
      </c>
      <c r="DB67" s="228">
        <v>-0.61</v>
      </c>
      <c r="DC67" s="228">
        <v>-0.61</v>
      </c>
      <c r="DD67" s="228">
        <v>35.130000000000003</v>
      </c>
      <c r="DE67" s="228">
        <v>35.01</v>
      </c>
      <c r="DF67" s="228">
        <v>-4.83</v>
      </c>
      <c r="DG67" s="228">
        <v>0.12</v>
      </c>
      <c r="DH67" s="228">
        <v>30.1</v>
      </c>
      <c r="DI67" s="228">
        <v>30.75</v>
      </c>
      <c r="DJ67" s="228">
        <v>-0.65</v>
      </c>
      <c r="DK67" s="228">
        <v>-0.65</v>
      </c>
      <c r="DL67" s="228">
        <v>30.97</v>
      </c>
      <c r="DM67" s="228">
        <v>31.35</v>
      </c>
      <c r="DN67" s="228">
        <v>-0.38</v>
      </c>
      <c r="DO67" s="228">
        <v>-0.38</v>
      </c>
      <c r="DP67" s="228">
        <v>0.71</v>
      </c>
      <c r="DQ67" s="228">
        <v>0.65</v>
      </c>
      <c r="DR67" s="228">
        <v>0.06</v>
      </c>
      <c r="DS67" s="229">
        <v>9.2299999999999993E-2</v>
      </c>
      <c r="DT67" s="231">
        <v>2100</v>
      </c>
      <c r="DU67" s="231">
        <v>1900</v>
      </c>
      <c r="DV67" s="228">
        <v>0.31</v>
      </c>
      <c r="DW67" s="228">
        <v>0.36</v>
      </c>
      <c r="DX67" s="228">
        <v>-0.05</v>
      </c>
      <c r="DY67" s="229">
        <v>-0.1389</v>
      </c>
      <c r="DZ67" s="229">
        <v>8.6999999999999994E-3</v>
      </c>
      <c r="EA67" s="230">
        <v>96375</v>
      </c>
      <c r="EB67" s="229">
        <v>5.8999999999999999E-3</v>
      </c>
      <c r="EC67" s="229">
        <v>8.6999999999999994E-3</v>
      </c>
      <c r="ED67" s="228">
        <v>11.36</v>
      </c>
      <c r="EE67" s="229">
        <v>5.7000000000000002E-3</v>
      </c>
      <c r="EF67" s="230">
        <v>221559</v>
      </c>
      <c r="EG67" s="230">
        <v>140062</v>
      </c>
      <c r="EH67" s="229">
        <v>0.58189999999999997</v>
      </c>
      <c r="EI67" s="229">
        <v>0.39889999999999998</v>
      </c>
      <c r="EJ67" s="231">
        <v>102978.06</v>
      </c>
      <c r="EK67" s="231">
        <v>30007.51</v>
      </c>
      <c r="EL67" s="231">
        <v>29531.47</v>
      </c>
      <c r="EM67" s="231">
        <v>2581</v>
      </c>
      <c r="EN67" s="231">
        <v>162517.04</v>
      </c>
      <c r="EO67" s="231">
        <v>68209.94</v>
      </c>
      <c r="EP67" s="231">
        <v>94307.1</v>
      </c>
      <c r="EQ67" s="229">
        <v>1.3826000000000001</v>
      </c>
      <c r="ER67" s="231">
        <v>52665</v>
      </c>
      <c r="ES67" s="231">
        <v>34781</v>
      </c>
      <c r="ET67" s="231">
        <v>229202</v>
      </c>
      <c r="EU67" s="231">
        <v>22585180</v>
      </c>
      <c r="EV67" s="231">
        <v>316649</v>
      </c>
      <c r="EW67" s="231">
        <v>308653</v>
      </c>
      <c r="EX67" s="231">
        <v>7996</v>
      </c>
      <c r="EY67" s="229">
        <v>2.5899999999999999E-2</v>
      </c>
      <c r="EZ67" s="229">
        <v>0.69579999999999997</v>
      </c>
      <c r="FA67" s="227" t="s">
        <v>556</v>
      </c>
      <c r="FB67" s="161">
        <f t="shared" ref="FB67:FB130" si="1">BX67-CB67</f>
        <v>99375</v>
      </c>
    </row>
    <row r="68" spans="1:158" ht="17.25" hidden="1" thickBot="1" x14ac:dyDescent="0.3">
      <c r="A68" s="226">
        <v>46064</v>
      </c>
      <c r="B68" s="227" t="s">
        <v>215</v>
      </c>
      <c r="C68" s="227" t="s">
        <v>631</v>
      </c>
      <c r="D68" s="228">
        <v>6975</v>
      </c>
      <c r="E68" s="228">
        <v>97.09</v>
      </c>
      <c r="F68" s="228">
        <v>97.94</v>
      </c>
      <c r="G68" s="228">
        <v>-0.85</v>
      </c>
      <c r="H68" s="229">
        <v>-8.6999999999999994E-3</v>
      </c>
      <c r="I68" s="228">
        <v>96.81</v>
      </c>
      <c r="J68" s="228">
        <v>97.81</v>
      </c>
      <c r="K68" s="228">
        <v>-1</v>
      </c>
      <c r="L68" s="229">
        <v>-1.0200000000000001E-2</v>
      </c>
      <c r="M68" s="228">
        <v>97.09</v>
      </c>
      <c r="N68" s="228">
        <v>97.94</v>
      </c>
      <c r="O68" s="228">
        <v>-0.85</v>
      </c>
      <c r="P68" s="229">
        <v>-8.6999999999999994E-3</v>
      </c>
      <c r="Q68" s="228">
        <v>97.75</v>
      </c>
      <c r="R68" s="228">
        <v>98.54</v>
      </c>
      <c r="S68" s="228">
        <v>-0.79</v>
      </c>
      <c r="T68" s="229">
        <v>-8.0000000000000002E-3</v>
      </c>
      <c r="U68" s="228">
        <v>98.36</v>
      </c>
      <c r="V68" s="228">
        <v>99.35</v>
      </c>
      <c r="W68" s="228">
        <v>-0.99</v>
      </c>
      <c r="X68" s="229">
        <v>-0.01</v>
      </c>
      <c r="Y68" s="228">
        <v>0.28000000000000003</v>
      </c>
      <c r="Z68" s="228">
        <v>0.13</v>
      </c>
      <c r="AA68" s="228">
        <v>0.15</v>
      </c>
      <c r="AB68" s="229">
        <v>2.8999999999999998E-3</v>
      </c>
      <c r="AC68" s="228">
        <v>0.28000000000000003</v>
      </c>
      <c r="AD68" s="228">
        <v>0.13</v>
      </c>
      <c r="AE68" s="228">
        <v>0.15</v>
      </c>
      <c r="AF68" s="229">
        <v>2.8999999999999998E-3</v>
      </c>
      <c r="AG68" s="228">
        <v>0.94</v>
      </c>
      <c r="AH68" s="228">
        <v>0.73</v>
      </c>
      <c r="AI68" s="228">
        <v>0.21</v>
      </c>
      <c r="AJ68" s="229">
        <v>9.7000000000000003E-3</v>
      </c>
      <c r="AK68" s="228">
        <v>1.55</v>
      </c>
      <c r="AL68" s="228">
        <v>1.54</v>
      </c>
      <c r="AM68" s="228">
        <v>0.01</v>
      </c>
      <c r="AN68" s="229">
        <v>1.6E-2</v>
      </c>
      <c r="AO68" s="228">
        <v>96.97</v>
      </c>
      <c r="AP68" s="228">
        <v>97.5</v>
      </c>
      <c r="AQ68" s="228">
        <v>0</v>
      </c>
      <c r="AR68" s="230">
        <v>10804275</v>
      </c>
      <c r="AS68" s="230">
        <v>10057950</v>
      </c>
      <c r="AT68" s="230">
        <v>746325</v>
      </c>
      <c r="AU68" s="229">
        <v>7.4200000000000002E-2</v>
      </c>
      <c r="AV68" s="230">
        <v>9541800</v>
      </c>
      <c r="AW68" s="230">
        <v>9053550</v>
      </c>
      <c r="AX68" s="230">
        <v>488250</v>
      </c>
      <c r="AY68" s="229">
        <v>5.3900000000000003E-2</v>
      </c>
      <c r="AZ68" s="230">
        <v>1164825</v>
      </c>
      <c r="BA68" s="230">
        <v>927675</v>
      </c>
      <c r="BB68" s="230">
        <v>237150</v>
      </c>
      <c r="BC68" s="229">
        <v>0.25559999999999999</v>
      </c>
      <c r="BD68" s="230">
        <v>97650</v>
      </c>
      <c r="BE68" s="230">
        <v>76725</v>
      </c>
      <c r="BF68" s="230">
        <v>20925</v>
      </c>
      <c r="BG68" s="229">
        <v>0.2727</v>
      </c>
      <c r="BH68" s="230">
        <v>33124275</v>
      </c>
      <c r="BI68" s="230">
        <v>29853000</v>
      </c>
      <c r="BJ68" s="230">
        <v>3271275</v>
      </c>
      <c r="BK68" s="229">
        <v>0.1096</v>
      </c>
      <c r="BL68" s="230">
        <v>10462500</v>
      </c>
      <c r="BM68" s="230">
        <v>15393825</v>
      </c>
      <c r="BN68" s="230">
        <v>-4931325</v>
      </c>
      <c r="BO68" s="229">
        <v>-0.32029999999999997</v>
      </c>
      <c r="BP68" s="230">
        <v>54391050</v>
      </c>
      <c r="BQ68" s="230">
        <v>55304775</v>
      </c>
      <c r="BR68" s="230">
        <v>-913725</v>
      </c>
      <c r="BS68" s="229">
        <v>-1.6500000000000001E-2</v>
      </c>
      <c r="BT68" s="230">
        <v>4881186</v>
      </c>
      <c r="BU68" s="230">
        <v>7299407</v>
      </c>
      <c r="BV68" s="230">
        <v>-2418221</v>
      </c>
      <c r="BW68" s="229">
        <v>-0.33129999999999998</v>
      </c>
      <c r="BX68" s="230">
        <v>155124000</v>
      </c>
      <c r="BY68" s="230">
        <v>154614825</v>
      </c>
      <c r="BZ68" s="230">
        <v>509175</v>
      </c>
      <c r="CA68" s="229">
        <v>3.3E-3</v>
      </c>
      <c r="CB68" s="230">
        <v>149209200</v>
      </c>
      <c r="CC68" s="230">
        <v>148769775</v>
      </c>
      <c r="CD68" s="230">
        <v>439425</v>
      </c>
      <c r="CE68" s="229">
        <v>3.0000000000000001E-3</v>
      </c>
      <c r="CF68" s="230">
        <v>5447475</v>
      </c>
      <c r="CG68" s="230">
        <v>5433525</v>
      </c>
      <c r="CH68" s="230">
        <v>13950</v>
      </c>
      <c r="CI68" s="229">
        <v>2.5999999999999999E-3</v>
      </c>
      <c r="CJ68" s="230">
        <v>467325</v>
      </c>
      <c r="CK68" s="230">
        <v>411525</v>
      </c>
      <c r="CL68" s="230">
        <v>55800</v>
      </c>
      <c r="CM68" s="229">
        <v>0.1356</v>
      </c>
      <c r="CN68" s="230">
        <v>82646775</v>
      </c>
      <c r="CO68" s="230">
        <v>77073750</v>
      </c>
      <c r="CP68" s="230">
        <v>5573025</v>
      </c>
      <c r="CQ68" s="229">
        <v>7.2300000000000003E-2</v>
      </c>
      <c r="CR68" s="230">
        <v>56288250</v>
      </c>
      <c r="CS68" s="230">
        <v>54990900</v>
      </c>
      <c r="CT68" s="230">
        <v>1297350</v>
      </c>
      <c r="CU68" s="229">
        <v>2.3599999999999999E-2</v>
      </c>
      <c r="CV68" s="230">
        <v>294059025</v>
      </c>
      <c r="CW68" s="230">
        <v>286679475</v>
      </c>
      <c r="CX68" s="230">
        <v>7379550</v>
      </c>
      <c r="CY68" s="229">
        <v>2.5700000000000001E-2</v>
      </c>
      <c r="CZ68" s="228">
        <v>38.69</v>
      </c>
      <c r="DA68" s="228">
        <v>36.78</v>
      </c>
      <c r="DB68" s="228">
        <v>1.91</v>
      </c>
      <c r="DC68" s="228">
        <v>1.91</v>
      </c>
      <c r="DD68" s="228">
        <v>37</v>
      </c>
      <c r="DE68" s="228">
        <v>37.08</v>
      </c>
      <c r="DF68" s="228">
        <v>1.69</v>
      </c>
      <c r="DG68" s="228">
        <v>-0.08</v>
      </c>
      <c r="DH68" s="228">
        <v>38.94</v>
      </c>
      <c r="DI68" s="228">
        <v>36.6</v>
      </c>
      <c r="DJ68" s="228">
        <v>2.34</v>
      </c>
      <c r="DK68" s="228">
        <v>2.34</v>
      </c>
      <c r="DL68" s="228">
        <v>37.92</v>
      </c>
      <c r="DM68" s="228">
        <v>37.130000000000003</v>
      </c>
      <c r="DN68" s="228">
        <v>0.79</v>
      </c>
      <c r="DO68" s="228">
        <v>0.79</v>
      </c>
      <c r="DP68" s="228">
        <v>0.68</v>
      </c>
      <c r="DQ68" s="228">
        <v>0.71</v>
      </c>
      <c r="DR68" s="228">
        <v>-0.03</v>
      </c>
      <c r="DS68" s="229">
        <v>-4.2299999999999997E-2</v>
      </c>
      <c r="DT68" s="228">
        <v>100</v>
      </c>
      <c r="DU68" s="228">
        <v>98</v>
      </c>
      <c r="DV68" s="228">
        <v>0.32</v>
      </c>
      <c r="DW68" s="228">
        <v>0.52</v>
      </c>
      <c r="DX68" s="228">
        <v>-0.2</v>
      </c>
      <c r="DY68" s="229">
        <v>-0.3846</v>
      </c>
      <c r="DZ68" s="229">
        <v>3.8100000000000002E-2</v>
      </c>
      <c r="EA68" s="230">
        <v>5845050</v>
      </c>
      <c r="EB68" s="229">
        <v>6.7999999999999996E-3</v>
      </c>
      <c r="EC68" s="229">
        <v>3.8100000000000002E-2</v>
      </c>
      <c r="ED68" s="228">
        <v>0.53</v>
      </c>
      <c r="EE68" s="229">
        <v>5.4999999999999997E-3</v>
      </c>
      <c r="EF68" s="230">
        <v>2376664</v>
      </c>
      <c r="EG68" s="230">
        <v>3546691</v>
      </c>
      <c r="EH68" s="229">
        <v>-0.32990000000000003</v>
      </c>
      <c r="EI68" s="229">
        <v>0.4869</v>
      </c>
      <c r="EJ68" s="231">
        <v>33988.03</v>
      </c>
      <c r="EK68" s="231">
        <v>10028.629999999999</v>
      </c>
      <c r="EL68" s="231">
        <v>10484.25</v>
      </c>
      <c r="EM68" s="231">
        <v>2785</v>
      </c>
      <c r="EN68" s="231">
        <v>54500.91</v>
      </c>
      <c r="EO68" s="231">
        <v>55024.43</v>
      </c>
      <c r="EP68" s="228">
        <v>-523.52</v>
      </c>
      <c r="EQ68" s="229">
        <v>-9.4999999999999998E-3</v>
      </c>
      <c r="ER68" s="231">
        <v>83854</v>
      </c>
      <c r="ES68" s="231">
        <v>53115</v>
      </c>
      <c r="ET68" s="231">
        <v>150652</v>
      </c>
      <c r="EU68" s="231">
        <v>534704421</v>
      </c>
      <c r="EV68" s="231">
        <v>287621</v>
      </c>
      <c r="EW68" s="231">
        <v>281482</v>
      </c>
      <c r="EX68" s="231">
        <v>6139</v>
      </c>
      <c r="EY68" s="229">
        <v>2.18E-2</v>
      </c>
      <c r="EZ68" s="229">
        <v>0.54990000000000006</v>
      </c>
      <c r="FA68" s="227" t="s">
        <v>567</v>
      </c>
      <c r="FB68" s="161">
        <f t="shared" si="1"/>
        <v>5914800</v>
      </c>
    </row>
    <row r="69" spans="1:158" ht="17.25" hidden="1" thickBot="1" x14ac:dyDescent="0.3">
      <c r="A69" s="226">
        <v>46064</v>
      </c>
      <c r="B69" s="227" t="s">
        <v>168</v>
      </c>
      <c r="C69" s="227" t="s">
        <v>217</v>
      </c>
      <c r="D69" s="228">
        <v>500</v>
      </c>
      <c r="E69" s="231">
        <v>1211.7</v>
      </c>
      <c r="F69" s="231">
        <v>1206.8</v>
      </c>
      <c r="G69" s="228">
        <v>4.9000000000000004</v>
      </c>
      <c r="H69" s="229">
        <v>4.1000000000000003E-3</v>
      </c>
      <c r="I69" s="231">
        <v>1208.5999999999999</v>
      </c>
      <c r="J69" s="231">
        <v>1206.5999999999999</v>
      </c>
      <c r="K69" s="228">
        <v>2</v>
      </c>
      <c r="L69" s="229">
        <v>1.6999999999999999E-3</v>
      </c>
      <c r="M69" s="231">
        <v>1211.7</v>
      </c>
      <c r="N69" s="231">
        <v>1206.8</v>
      </c>
      <c r="O69" s="228">
        <v>4.9000000000000004</v>
      </c>
      <c r="P69" s="229">
        <v>4.1000000000000003E-3</v>
      </c>
      <c r="Q69" s="231">
        <v>1220.0999999999999</v>
      </c>
      <c r="R69" s="231">
        <v>1212.0999999999999</v>
      </c>
      <c r="S69" s="228">
        <v>8</v>
      </c>
      <c r="T69" s="229">
        <v>6.6E-3</v>
      </c>
      <c r="U69" s="231">
        <v>1220</v>
      </c>
      <c r="V69" s="231">
        <v>1195.7</v>
      </c>
      <c r="W69" s="228">
        <v>24.3</v>
      </c>
      <c r="X69" s="229">
        <v>2.0299999999999999E-2</v>
      </c>
      <c r="Y69" s="228">
        <v>3.1</v>
      </c>
      <c r="Z69" s="228">
        <v>0.2</v>
      </c>
      <c r="AA69" s="228">
        <v>2.9</v>
      </c>
      <c r="AB69" s="229">
        <v>2.5999999999999999E-3</v>
      </c>
      <c r="AC69" s="228">
        <v>3.1</v>
      </c>
      <c r="AD69" s="228">
        <v>0.2</v>
      </c>
      <c r="AE69" s="228">
        <v>2.9</v>
      </c>
      <c r="AF69" s="229">
        <v>2.5999999999999999E-3</v>
      </c>
      <c r="AG69" s="228">
        <v>11.5</v>
      </c>
      <c r="AH69" s="228">
        <v>5.5</v>
      </c>
      <c r="AI69" s="228">
        <v>6</v>
      </c>
      <c r="AJ69" s="229">
        <v>9.4999999999999998E-3</v>
      </c>
      <c r="AK69" s="228">
        <v>11.4</v>
      </c>
      <c r="AL69" s="228">
        <v>-10.9</v>
      </c>
      <c r="AM69" s="228">
        <v>22.3</v>
      </c>
      <c r="AN69" s="229">
        <v>9.4000000000000004E-3</v>
      </c>
      <c r="AO69" s="231">
        <v>1210.0999999999999</v>
      </c>
      <c r="AP69" s="231">
        <v>1216.49</v>
      </c>
      <c r="AQ69" s="228">
        <v>0</v>
      </c>
      <c r="AR69" s="230">
        <v>1067000</v>
      </c>
      <c r="AS69" s="230">
        <v>946000</v>
      </c>
      <c r="AT69" s="230">
        <v>121000</v>
      </c>
      <c r="AU69" s="229">
        <v>0.12790000000000001</v>
      </c>
      <c r="AV69" s="230">
        <v>1038000</v>
      </c>
      <c r="AW69" s="230">
        <v>920000</v>
      </c>
      <c r="AX69" s="230">
        <v>118000</v>
      </c>
      <c r="AY69" s="229">
        <v>0.1283</v>
      </c>
      <c r="AZ69" s="230">
        <v>26500</v>
      </c>
      <c r="BA69" s="230">
        <v>26000</v>
      </c>
      <c r="BB69" s="228">
        <v>500</v>
      </c>
      <c r="BC69" s="229">
        <v>1.9199999999999998E-2</v>
      </c>
      <c r="BD69" s="230">
        <v>2500</v>
      </c>
      <c r="BE69" s="228">
        <v>0</v>
      </c>
      <c r="BF69" s="230">
        <v>2500</v>
      </c>
      <c r="BG69" s="229">
        <v>0</v>
      </c>
      <c r="BH69" s="230">
        <v>2549500</v>
      </c>
      <c r="BI69" s="230">
        <v>4132500</v>
      </c>
      <c r="BJ69" s="230">
        <v>-1583000</v>
      </c>
      <c r="BK69" s="229">
        <v>-0.3831</v>
      </c>
      <c r="BL69" s="230">
        <v>920500</v>
      </c>
      <c r="BM69" s="230">
        <v>1581500</v>
      </c>
      <c r="BN69" s="230">
        <v>-661000</v>
      </c>
      <c r="BO69" s="229">
        <v>-0.41799999999999998</v>
      </c>
      <c r="BP69" s="230">
        <v>4537000</v>
      </c>
      <c r="BQ69" s="230">
        <v>6660000</v>
      </c>
      <c r="BR69" s="230">
        <v>-2123000</v>
      </c>
      <c r="BS69" s="229">
        <v>-0.31879999999999997</v>
      </c>
      <c r="BT69" s="230">
        <v>646094</v>
      </c>
      <c r="BU69" s="230">
        <v>600276</v>
      </c>
      <c r="BV69" s="230">
        <v>45818</v>
      </c>
      <c r="BW69" s="229">
        <v>7.6300000000000007E-2</v>
      </c>
      <c r="BX69" s="230">
        <v>8652000</v>
      </c>
      <c r="BY69" s="230">
        <v>8676500</v>
      </c>
      <c r="BZ69" s="230">
        <v>-24500</v>
      </c>
      <c r="CA69" s="229">
        <v>-2.8E-3</v>
      </c>
      <c r="CB69" s="230">
        <v>8431000</v>
      </c>
      <c r="CC69" s="230">
        <v>8455000</v>
      </c>
      <c r="CD69" s="230">
        <v>-24000</v>
      </c>
      <c r="CE69" s="229">
        <v>-2.8E-3</v>
      </c>
      <c r="CF69" s="230">
        <v>211000</v>
      </c>
      <c r="CG69" s="230">
        <v>212500</v>
      </c>
      <c r="CH69" s="230">
        <v>-1500</v>
      </c>
      <c r="CI69" s="229">
        <v>-7.1000000000000004E-3</v>
      </c>
      <c r="CJ69" s="230">
        <v>10000</v>
      </c>
      <c r="CK69" s="230">
        <v>9000</v>
      </c>
      <c r="CL69" s="230">
        <v>1000</v>
      </c>
      <c r="CM69" s="229">
        <v>0.1111</v>
      </c>
      <c r="CN69" s="230">
        <v>2732000</v>
      </c>
      <c r="CO69" s="230">
        <v>2749500</v>
      </c>
      <c r="CP69" s="230">
        <v>-17500</v>
      </c>
      <c r="CQ69" s="229">
        <v>-6.4000000000000003E-3</v>
      </c>
      <c r="CR69" s="230">
        <v>2020000</v>
      </c>
      <c r="CS69" s="230">
        <v>2026500</v>
      </c>
      <c r="CT69" s="230">
        <v>-6500</v>
      </c>
      <c r="CU69" s="229">
        <v>-3.2000000000000002E-3</v>
      </c>
      <c r="CV69" s="230">
        <v>13404000</v>
      </c>
      <c r="CW69" s="230">
        <v>13452500</v>
      </c>
      <c r="CX69" s="230">
        <v>-48500</v>
      </c>
      <c r="CY69" s="229">
        <v>-3.5999999999999999E-3</v>
      </c>
      <c r="CZ69" s="228">
        <v>21.11</v>
      </c>
      <c r="DA69" s="228">
        <v>22.6</v>
      </c>
      <c r="DB69" s="228">
        <v>-1.49</v>
      </c>
      <c r="DC69" s="228">
        <v>-1.49</v>
      </c>
      <c r="DD69" s="228">
        <v>28.12</v>
      </c>
      <c r="DE69" s="228">
        <v>28.19</v>
      </c>
      <c r="DF69" s="228">
        <v>-7.01</v>
      </c>
      <c r="DG69" s="228">
        <v>-7.0000000000000007E-2</v>
      </c>
      <c r="DH69" s="228">
        <v>20.21</v>
      </c>
      <c r="DI69" s="228">
        <v>21.83</v>
      </c>
      <c r="DJ69" s="228">
        <v>-1.62</v>
      </c>
      <c r="DK69" s="228">
        <v>-1.62</v>
      </c>
      <c r="DL69" s="228">
        <v>23.59</v>
      </c>
      <c r="DM69" s="228">
        <v>24.61</v>
      </c>
      <c r="DN69" s="228">
        <v>-1.02</v>
      </c>
      <c r="DO69" s="228">
        <v>-1.02</v>
      </c>
      <c r="DP69" s="228">
        <v>0.74</v>
      </c>
      <c r="DQ69" s="228">
        <v>0.74</v>
      </c>
      <c r="DR69" s="228">
        <v>0</v>
      </c>
      <c r="DS69" s="229">
        <v>0</v>
      </c>
      <c r="DT69" s="231">
        <v>1260</v>
      </c>
      <c r="DU69" s="231">
        <v>1140</v>
      </c>
      <c r="DV69" s="228">
        <v>0.36</v>
      </c>
      <c r="DW69" s="228">
        <v>0.38</v>
      </c>
      <c r="DX69" s="228">
        <v>-0.02</v>
      </c>
      <c r="DY69" s="229">
        <v>-5.2600000000000001E-2</v>
      </c>
      <c r="DZ69" s="229">
        <v>2.5499999999999998E-2</v>
      </c>
      <c r="EA69" s="230">
        <v>221500</v>
      </c>
      <c r="EB69" s="229">
        <v>6.8999999999999999E-3</v>
      </c>
      <c r="EC69" s="229">
        <v>2.5499999999999998E-2</v>
      </c>
      <c r="ED69" s="228">
        <v>6.39</v>
      </c>
      <c r="EE69" s="229">
        <v>5.3E-3</v>
      </c>
      <c r="EF69" s="230">
        <v>390322</v>
      </c>
      <c r="EG69" s="230">
        <v>367005</v>
      </c>
      <c r="EH69" s="229">
        <v>6.3500000000000001E-2</v>
      </c>
      <c r="EI69" s="229">
        <v>0.60409999999999997</v>
      </c>
      <c r="EJ69" s="231">
        <v>31596.27</v>
      </c>
      <c r="EK69" s="231">
        <v>10672.05</v>
      </c>
      <c r="EL69" s="231">
        <v>12913.76</v>
      </c>
      <c r="EM69" s="231">
        <v>5026</v>
      </c>
      <c r="EN69" s="231">
        <v>55182.080000000002</v>
      </c>
      <c r="EO69" s="231">
        <v>80542.09</v>
      </c>
      <c r="EP69" s="231">
        <v>-25360.01</v>
      </c>
      <c r="EQ69" s="229">
        <v>-0.31490000000000001</v>
      </c>
      <c r="ER69" s="231">
        <v>33850</v>
      </c>
      <c r="ES69" s="231">
        <v>23050</v>
      </c>
      <c r="ET69" s="231">
        <v>104855</v>
      </c>
      <c r="EU69" s="231">
        <v>72031016</v>
      </c>
      <c r="EV69" s="231">
        <v>161755</v>
      </c>
      <c r="EW69" s="231">
        <v>161833</v>
      </c>
      <c r="EX69" s="228">
        <v>-78</v>
      </c>
      <c r="EY69" s="229">
        <v>-5.0000000000000001E-4</v>
      </c>
      <c r="EZ69" s="229">
        <v>0.18609999999999999</v>
      </c>
      <c r="FA69" s="227" t="s">
        <v>556</v>
      </c>
      <c r="FB69" s="161">
        <f t="shared" si="1"/>
        <v>221000</v>
      </c>
    </row>
    <row r="70" spans="1:158" ht="17.25" hidden="1" thickBot="1" x14ac:dyDescent="0.3">
      <c r="A70" s="226">
        <v>46064</v>
      </c>
      <c r="B70" s="227" t="s">
        <v>206</v>
      </c>
      <c r="C70" s="227" t="s">
        <v>218</v>
      </c>
      <c r="D70" s="228">
        <v>275</v>
      </c>
      <c r="E70" s="231">
        <v>1853.4</v>
      </c>
      <c r="F70" s="231">
        <v>1824.1</v>
      </c>
      <c r="G70" s="228">
        <v>29.3</v>
      </c>
      <c r="H70" s="229">
        <v>1.61E-2</v>
      </c>
      <c r="I70" s="231">
        <v>1852.1</v>
      </c>
      <c r="J70" s="231">
        <v>1820.8</v>
      </c>
      <c r="K70" s="228">
        <v>31.3</v>
      </c>
      <c r="L70" s="229">
        <v>1.72E-2</v>
      </c>
      <c r="M70" s="231">
        <v>1853.4</v>
      </c>
      <c r="N70" s="231">
        <v>1824.1</v>
      </c>
      <c r="O70" s="228">
        <v>29.3</v>
      </c>
      <c r="P70" s="229">
        <v>1.61E-2</v>
      </c>
      <c r="Q70" s="231">
        <v>1863.4</v>
      </c>
      <c r="R70" s="231">
        <v>1833.9</v>
      </c>
      <c r="S70" s="228">
        <v>29.5</v>
      </c>
      <c r="T70" s="229">
        <v>1.61E-2</v>
      </c>
      <c r="U70" s="231">
        <v>1872.7</v>
      </c>
      <c r="V70" s="231">
        <v>1845.8</v>
      </c>
      <c r="W70" s="228">
        <v>26.9</v>
      </c>
      <c r="X70" s="229">
        <v>1.46E-2</v>
      </c>
      <c r="Y70" s="228">
        <v>1.3</v>
      </c>
      <c r="Z70" s="228">
        <v>3.3</v>
      </c>
      <c r="AA70" s="228">
        <v>-2</v>
      </c>
      <c r="AB70" s="229">
        <v>6.9999999999999999E-4</v>
      </c>
      <c r="AC70" s="228">
        <v>1.3</v>
      </c>
      <c r="AD70" s="228">
        <v>3.3</v>
      </c>
      <c r="AE70" s="228">
        <v>-2</v>
      </c>
      <c r="AF70" s="229">
        <v>6.9999999999999999E-4</v>
      </c>
      <c r="AG70" s="228">
        <v>11.3</v>
      </c>
      <c r="AH70" s="228">
        <v>13.1</v>
      </c>
      <c r="AI70" s="228">
        <v>-1.8</v>
      </c>
      <c r="AJ70" s="229">
        <v>6.1000000000000004E-3</v>
      </c>
      <c r="AK70" s="228">
        <v>20.6</v>
      </c>
      <c r="AL70" s="228">
        <v>25</v>
      </c>
      <c r="AM70" s="228">
        <v>-4.4000000000000004</v>
      </c>
      <c r="AN70" s="229">
        <v>1.11E-2</v>
      </c>
      <c r="AO70" s="231">
        <v>1831.63</v>
      </c>
      <c r="AP70" s="231">
        <v>1848.25</v>
      </c>
      <c r="AQ70" s="228">
        <v>0</v>
      </c>
      <c r="AR70" s="230">
        <v>1862300</v>
      </c>
      <c r="AS70" s="230">
        <v>1518550</v>
      </c>
      <c r="AT70" s="230">
        <v>343750</v>
      </c>
      <c r="AU70" s="229">
        <v>0.22639999999999999</v>
      </c>
      <c r="AV70" s="230">
        <v>1733600</v>
      </c>
      <c r="AW70" s="230">
        <v>1436325</v>
      </c>
      <c r="AX70" s="230">
        <v>297275</v>
      </c>
      <c r="AY70" s="229">
        <v>0.20699999999999999</v>
      </c>
      <c r="AZ70" s="230">
        <v>99550</v>
      </c>
      <c r="BA70" s="230">
        <v>70400</v>
      </c>
      <c r="BB70" s="230">
        <v>29150</v>
      </c>
      <c r="BC70" s="229">
        <v>0.41410000000000002</v>
      </c>
      <c r="BD70" s="230">
        <v>29150</v>
      </c>
      <c r="BE70" s="230">
        <v>11825</v>
      </c>
      <c r="BF70" s="230">
        <v>17325</v>
      </c>
      <c r="BG70" s="229">
        <v>1.4651000000000001</v>
      </c>
      <c r="BH70" s="230">
        <v>6662425</v>
      </c>
      <c r="BI70" s="230">
        <v>6977575</v>
      </c>
      <c r="BJ70" s="230">
        <v>-315150</v>
      </c>
      <c r="BK70" s="229">
        <v>-4.5199999999999997E-2</v>
      </c>
      <c r="BL70" s="230">
        <v>3569775</v>
      </c>
      <c r="BM70" s="230">
        <v>3056350</v>
      </c>
      <c r="BN70" s="230">
        <v>513425</v>
      </c>
      <c r="BO70" s="229">
        <v>0.16800000000000001</v>
      </c>
      <c r="BP70" s="230">
        <v>12094500</v>
      </c>
      <c r="BQ70" s="230">
        <v>11552475</v>
      </c>
      <c r="BR70" s="230">
        <v>542025</v>
      </c>
      <c r="BS70" s="229">
        <v>4.6899999999999997E-2</v>
      </c>
      <c r="BT70" s="230">
        <v>1408375</v>
      </c>
      <c r="BU70" s="230">
        <v>1535116</v>
      </c>
      <c r="BV70" s="230">
        <v>-126741</v>
      </c>
      <c r="BW70" s="229">
        <v>-8.2600000000000007E-2</v>
      </c>
      <c r="BX70" s="230">
        <v>10022925</v>
      </c>
      <c r="BY70" s="230">
        <v>10456325</v>
      </c>
      <c r="BZ70" s="230">
        <v>-433400</v>
      </c>
      <c r="CA70" s="229">
        <v>-4.1399999999999999E-2</v>
      </c>
      <c r="CB70" s="230">
        <v>9599700</v>
      </c>
      <c r="CC70" s="230">
        <v>10046850</v>
      </c>
      <c r="CD70" s="230">
        <v>-447150</v>
      </c>
      <c r="CE70" s="229">
        <v>-4.4499999999999998E-2</v>
      </c>
      <c r="CF70" s="230">
        <v>389125</v>
      </c>
      <c r="CG70" s="230">
        <v>377300</v>
      </c>
      <c r="CH70" s="230">
        <v>11825</v>
      </c>
      <c r="CI70" s="229">
        <v>3.1300000000000001E-2</v>
      </c>
      <c r="CJ70" s="230">
        <v>34100</v>
      </c>
      <c r="CK70" s="230">
        <v>32175</v>
      </c>
      <c r="CL70" s="230">
        <v>1925</v>
      </c>
      <c r="CM70" s="229">
        <v>5.9799999999999999E-2</v>
      </c>
      <c r="CN70" s="230">
        <v>4463800</v>
      </c>
      <c r="CO70" s="230">
        <v>4453075</v>
      </c>
      <c r="CP70" s="230">
        <v>10725</v>
      </c>
      <c r="CQ70" s="229">
        <v>2.3999999999999998E-3</v>
      </c>
      <c r="CR70" s="230">
        <v>3221625</v>
      </c>
      <c r="CS70" s="230">
        <v>3251875</v>
      </c>
      <c r="CT70" s="230">
        <v>-30250</v>
      </c>
      <c r="CU70" s="229">
        <v>-9.2999999999999992E-3</v>
      </c>
      <c r="CV70" s="230">
        <v>17708350</v>
      </c>
      <c r="CW70" s="230">
        <v>18161275</v>
      </c>
      <c r="CX70" s="230">
        <v>-452925</v>
      </c>
      <c r="CY70" s="229">
        <v>-2.4899999999999999E-2</v>
      </c>
      <c r="CZ70" s="228">
        <v>36.83</v>
      </c>
      <c r="DA70" s="228">
        <v>36.049999999999997</v>
      </c>
      <c r="DB70" s="228">
        <v>0.78</v>
      </c>
      <c r="DC70" s="228">
        <v>0.78</v>
      </c>
      <c r="DD70" s="228">
        <v>44.96</v>
      </c>
      <c r="DE70" s="228">
        <v>45.02</v>
      </c>
      <c r="DF70" s="228">
        <v>-8.1300000000000008</v>
      </c>
      <c r="DG70" s="228">
        <v>-0.06</v>
      </c>
      <c r="DH70" s="228">
        <v>36.049999999999997</v>
      </c>
      <c r="DI70" s="228">
        <v>35.32</v>
      </c>
      <c r="DJ70" s="228">
        <v>0.73</v>
      </c>
      <c r="DK70" s="228">
        <v>0.73</v>
      </c>
      <c r="DL70" s="228">
        <v>38.29</v>
      </c>
      <c r="DM70" s="228">
        <v>37.72</v>
      </c>
      <c r="DN70" s="228">
        <v>0.56999999999999995</v>
      </c>
      <c r="DO70" s="228">
        <v>0.56999999999999995</v>
      </c>
      <c r="DP70" s="228">
        <v>0.72</v>
      </c>
      <c r="DQ70" s="228">
        <v>0.73</v>
      </c>
      <c r="DR70" s="228">
        <v>-0.01</v>
      </c>
      <c r="DS70" s="229">
        <v>-1.37E-2</v>
      </c>
      <c r="DT70" s="231">
        <v>2000</v>
      </c>
      <c r="DU70" s="231">
        <v>1700</v>
      </c>
      <c r="DV70" s="228">
        <v>0.54</v>
      </c>
      <c r="DW70" s="228">
        <v>0.44</v>
      </c>
      <c r="DX70" s="228">
        <v>0.1</v>
      </c>
      <c r="DY70" s="229">
        <v>0.2273</v>
      </c>
      <c r="DZ70" s="229">
        <v>4.2200000000000001E-2</v>
      </c>
      <c r="EA70" s="230">
        <v>409475</v>
      </c>
      <c r="EB70" s="229">
        <v>5.4000000000000003E-3</v>
      </c>
      <c r="EC70" s="229">
        <v>4.2200000000000001E-2</v>
      </c>
      <c r="ED70" s="228">
        <v>16.62</v>
      </c>
      <c r="EE70" s="229">
        <v>9.1000000000000004E-3</v>
      </c>
      <c r="EF70" s="230">
        <v>833605</v>
      </c>
      <c r="EG70" s="230">
        <v>901778</v>
      </c>
      <c r="EH70" s="229">
        <v>-7.5600000000000001E-2</v>
      </c>
      <c r="EI70" s="229">
        <v>0.59189999999999998</v>
      </c>
      <c r="EJ70" s="231">
        <v>127978.91</v>
      </c>
      <c r="EK70" s="231">
        <v>64160.92</v>
      </c>
      <c r="EL70" s="231">
        <v>34135.97</v>
      </c>
      <c r="EM70" s="231">
        <v>9604</v>
      </c>
      <c r="EN70" s="231">
        <v>226275.8</v>
      </c>
      <c r="EO70" s="231">
        <v>214650.4</v>
      </c>
      <c r="EP70" s="231">
        <v>11625.4</v>
      </c>
      <c r="EQ70" s="229">
        <v>5.4199999999999998E-2</v>
      </c>
      <c r="ER70" s="231">
        <v>82300</v>
      </c>
      <c r="ES70" s="231">
        <v>53993</v>
      </c>
      <c r="ET70" s="231">
        <v>185810</v>
      </c>
      <c r="EU70" s="231">
        <v>17263909</v>
      </c>
      <c r="EV70" s="231">
        <v>322103</v>
      </c>
      <c r="EW70" s="231">
        <v>326705</v>
      </c>
      <c r="EX70" s="231">
        <v>-4602</v>
      </c>
      <c r="EY70" s="229">
        <v>-1.41E-2</v>
      </c>
      <c r="EZ70" s="229">
        <v>1.0257000000000001</v>
      </c>
      <c r="FA70" s="227" t="s">
        <v>556</v>
      </c>
      <c r="FB70" s="161">
        <f t="shared" si="1"/>
        <v>423225</v>
      </c>
    </row>
    <row r="71" spans="1:158" ht="17.25" hidden="1" thickBot="1" x14ac:dyDescent="0.3">
      <c r="A71" s="226">
        <v>46064</v>
      </c>
      <c r="B71" s="227" t="s">
        <v>157</v>
      </c>
      <c r="C71" s="227" t="s">
        <v>219</v>
      </c>
      <c r="D71" s="228">
        <v>250</v>
      </c>
      <c r="E71" s="231">
        <v>2935.8</v>
      </c>
      <c r="F71" s="231">
        <v>2958.1</v>
      </c>
      <c r="G71" s="228">
        <v>-22.3</v>
      </c>
      <c r="H71" s="229">
        <v>-7.4999999999999997E-3</v>
      </c>
      <c r="I71" s="231">
        <v>2932.6</v>
      </c>
      <c r="J71" s="231">
        <v>2953.9</v>
      </c>
      <c r="K71" s="228">
        <v>-21.3</v>
      </c>
      <c r="L71" s="229">
        <v>-7.1999999999999998E-3</v>
      </c>
      <c r="M71" s="231">
        <v>2935.8</v>
      </c>
      <c r="N71" s="231">
        <v>2958.1</v>
      </c>
      <c r="O71" s="228">
        <v>-22.3</v>
      </c>
      <c r="P71" s="229">
        <v>-7.4999999999999997E-3</v>
      </c>
      <c r="Q71" s="231">
        <v>2953.3</v>
      </c>
      <c r="R71" s="231">
        <v>2977.5</v>
      </c>
      <c r="S71" s="228">
        <v>-24.2</v>
      </c>
      <c r="T71" s="229">
        <v>-8.0999999999999996E-3</v>
      </c>
      <c r="U71" s="231">
        <v>2976.1</v>
      </c>
      <c r="V71" s="231">
        <v>2992.1</v>
      </c>
      <c r="W71" s="228">
        <v>-16</v>
      </c>
      <c r="X71" s="229">
        <v>-5.3E-3</v>
      </c>
      <c r="Y71" s="228">
        <v>3.2</v>
      </c>
      <c r="Z71" s="228">
        <v>4.2</v>
      </c>
      <c r="AA71" s="228">
        <v>-1</v>
      </c>
      <c r="AB71" s="229">
        <v>1.1000000000000001E-3</v>
      </c>
      <c r="AC71" s="228">
        <v>3.2</v>
      </c>
      <c r="AD71" s="228">
        <v>4.2</v>
      </c>
      <c r="AE71" s="228">
        <v>-1</v>
      </c>
      <c r="AF71" s="229">
        <v>1.1000000000000001E-3</v>
      </c>
      <c r="AG71" s="228">
        <v>20.7</v>
      </c>
      <c r="AH71" s="228">
        <v>23.6</v>
      </c>
      <c r="AI71" s="228">
        <v>-2.9</v>
      </c>
      <c r="AJ71" s="229">
        <v>7.1000000000000004E-3</v>
      </c>
      <c r="AK71" s="228">
        <v>43.5</v>
      </c>
      <c r="AL71" s="228">
        <v>38.200000000000003</v>
      </c>
      <c r="AM71" s="228">
        <v>5.3</v>
      </c>
      <c r="AN71" s="229">
        <v>1.4800000000000001E-2</v>
      </c>
      <c r="AO71" s="231">
        <v>2932.28</v>
      </c>
      <c r="AP71" s="231">
        <v>2947.84</v>
      </c>
      <c r="AQ71" s="228">
        <v>0</v>
      </c>
      <c r="AR71" s="230">
        <v>2647500</v>
      </c>
      <c r="AS71" s="230">
        <v>1667750</v>
      </c>
      <c r="AT71" s="230">
        <v>979750</v>
      </c>
      <c r="AU71" s="229">
        <v>0.58750000000000002</v>
      </c>
      <c r="AV71" s="230">
        <v>2518750</v>
      </c>
      <c r="AW71" s="230">
        <v>1435250</v>
      </c>
      <c r="AX71" s="230">
        <v>1083500</v>
      </c>
      <c r="AY71" s="229">
        <v>0.75490000000000002</v>
      </c>
      <c r="AZ71" s="230">
        <v>122250</v>
      </c>
      <c r="BA71" s="230">
        <v>223000</v>
      </c>
      <c r="BB71" s="230">
        <v>-100750</v>
      </c>
      <c r="BC71" s="229">
        <v>-0.45179999999999998</v>
      </c>
      <c r="BD71" s="230">
        <v>6500</v>
      </c>
      <c r="BE71" s="230">
        <v>9500</v>
      </c>
      <c r="BF71" s="230">
        <v>-3000</v>
      </c>
      <c r="BG71" s="229">
        <v>-0.31580000000000003</v>
      </c>
      <c r="BH71" s="230">
        <v>9126250</v>
      </c>
      <c r="BI71" s="230">
        <v>6467250</v>
      </c>
      <c r="BJ71" s="230">
        <v>2659000</v>
      </c>
      <c r="BK71" s="229">
        <v>0.41110000000000002</v>
      </c>
      <c r="BL71" s="230">
        <v>4694000</v>
      </c>
      <c r="BM71" s="230">
        <v>3953750</v>
      </c>
      <c r="BN71" s="230">
        <v>740250</v>
      </c>
      <c r="BO71" s="229">
        <v>0.18720000000000001</v>
      </c>
      <c r="BP71" s="230">
        <v>16467750</v>
      </c>
      <c r="BQ71" s="230">
        <v>12088750</v>
      </c>
      <c r="BR71" s="230">
        <v>4379000</v>
      </c>
      <c r="BS71" s="229">
        <v>0.36220000000000002</v>
      </c>
      <c r="BT71" s="230">
        <v>1035009</v>
      </c>
      <c r="BU71" s="230">
        <v>635441</v>
      </c>
      <c r="BV71" s="230">
        <v>399568</v>
      </c>
      <c r="BW71" s="229">
        <v>0.62880000000000003</v>
      </c>
      <c r="BX71" s="230">
        <v>16775500</v>
      </c>
      <c r="BY71" s="230">
        <v>17216500</v>
      </c>
      <c r="BZ71" s="230">
        <v>-441000</v>
      </c>
      <c r="CA71" s="229">
        <v>-2.5600000000000001E-2</v>
      </c>
      <c r="CB71" s="230">
        <v>16437250</v>
      </c>
      <c r="CC71" s="230">
        <v>16884500</v>
      </c>
      <c r="CD71" s="230">
        <v>-447250</v>
      </c>
      <c r="CE71" s="229">
        <v>-2.6499999999999999E-2</v>
      </c>
      <c r="CF71" s="230">
        <v>324500</v>
      </c>
      <c r="CG71" s="230">
        <v>320250</v>
      </c>
      <c r="CH71" s="230">
        <v>4250</v>
      </c>
      <c r="CI71" s="229">
        <v>1.3299999999999999E-2</v>
      </c>
      <c r="CJ71" s="230">
        <v>13750</v>
      </c>
      <c r="CK71" s="230">
        <v>11750</v>
      </c>
      <c r="CL71" s="230">
        <v>2000</v>
      </c>
      <c r="CM71" s="229">
        <v>0.17019999999999999</v>
      </c>
      <c r="CN71" s="230">
        <v>2410750</v>
      </c>
      <c r="CO71" s="230">
        <v>2100250</v>
      </c>
      <c r="CP71" s="230">
        <v>310500</v>
      </c>
      <c r="CQ71" s="229">
        <v>0.14779999999999999</v>
      </c>
      <c r="CR71" s="230">
        <v>2022750</v>
      </c>
      <c r="CS71" s="230">
        <v>2016750</v>
      </c>
      <c r="CT71" s="230">
        <v>6000</v>
      </c>
      <c r="CU71" s="229">
        <v>3.0000000000000001E-3</v>
      </c>
      <c r="CV71" s="230">
        <v>21209000</v>
      </c>
      <c r="CW71" s="230">
        <v>21333500</v>
      </c>
      <c r="CX71" s="230">
        <v>-124500</v>
      </c>
      <c r="CY71" s="229">
        <v>-5.7999999999999996E-3</v>
      </c>
      <c r="CZ71" s="228">
        <v>24.05</v>
      </c>
      <c r="DA71" s="228">
        <v>29</v>
      </c>
      <c r="DB71" s="228">
        <v>-4.95</v>
      </c>
      <c r="DC71" s="228">
        <v>-4.95</v>
      </c>
      <c r="DD71" s="228">
        <v>25.59</v>
      </c>
      <c r="DE71" s="228">
        <v>25.64</v>
      </c>
      <c r="DF71" s="228">
        <v>-1.54</v>
      </c>
      <c r="DG71" s="228">
        <v>-0.05</v>
      </c>
      <c r="DH71" s="228">
        <v>23.64</v>
      </c>
      <c r="DI71" s="228">
        <v>28.29</v>
      </c>
      <c r="DJ71" s="228">
        <v>-4.6500000000000004</v>
      </c>
      <c r="DK71" s="228">
        <v>-4.6500000000000004</v>
      </c>
      <c r="DL71" s="228">
        <v>24.85</v>
      </c>
      <c r="DM71" s="228">
        <v>30.17</v>
      </c>
      <c r="DN71" s="228">
        <v>-5.32</v>
      </c>
      <c r="DO71" s="228">
        <v>-5.32</v>
      </c>
      <c r="DP71" s="228">
        <v>0.84</v>
      </c>
      <c r="DQ71" s="228">
        <v>0.96</v>
      </c>
      <c r="DR71" s="228">
        <v>-0.12</v>
      </c>
      <c r="DS71" s="229">
        <v>-0.125</v>
      </c>
      <c r="DT71" s="231">
        <v>3000</v>
      </c>
      <c r="DU71" s="231">
        <v>2800</v>
      </c>
      <c r="DV71" s="228">
        <v>0.51</v>
      </c>
      <c r="DW71" s="228">
        <v>0.61</v>
      </c>
      <c r="DX71" s="228">
        <v>-0.1</v>
      </c>
      <c r="DY71" s="229">
        <v>-0.16389999999999999</v>
      </c>
      <c r="DZ71" s="229">
        <v>2.0199999999999999E-2</v>
      </c>
      <c r="EA71" s="230">
        <v>332000</v>
      </c>
      <c r="EB71" s="229">
        <v>6.0000000000000001E-3</v>
      </c>
      <c r="EC71" s="229">
        <v>2.0199999999999999E-2</v>
      </c>
      <c r="ED71" s="228">
        <v>15.56</v>
      </c>
      <c r="EE71" s="229">
        <v>5.3E-3</v>
      </c>
      <c r="EF71" s="230">
        <v>522238</v>
      </c>
      <c r="EG71" s="230">
        <v>310135</v>
      </c>
      <c r="EH71" s="229">
        <v>0.68389999999999995</v>
      </c>
      <c r="EI71" s="229">
        <v>0.50460000000000005</v>
      </c>
      <c r="EJ71" s="231">
        <v>277266.90000000002</v>
      </c>
      <c r="EK71" s="231">
        <v>135970.04999999999</v>
      </c>
      <c r="EL71" s="231">
        <v>77653.759999999995</v>
      </c>
      <c r="EM71" s="231">
        <v>4112</v>
      </c>
      <c r="EN71" s="231">
        <v>490890.71</v>
      </c>
      <c r="EO71" s="231">
        <v>359625.52</v>
      </c>
      <c r="EP71" s="231">
        <v>131265.19</v>
      </c>
      <c r="EQ71" s="229">
        <v>0.36499999999999999</v>
      </c>
      <c r="ER71" s="231">
        <v>72961</v>
      </c>
      <c r="ES71" s="231">
        <v>56273</v>
      </c>
      <c r="ET71" s="231">
        <v>492557</v>
      </c>
      <c r="EU71" s="231">
        <v>38505832</v>
      </c>
      <c r="EV71" s="231">
        <v>621792</v>
      </c>
      <c r="EW71" s="231">
        <v>629092</v>
      </c>
      <c r="EX71" s="231">
        <v>-7300</v>
      </c>
      <c r="EY71" s="229">
        <v>-1.1599999999999999E-2</v>
      </c>
      <c r="EZ71" s="229">
        <v>0.55079999999999996</v>
      </c>
      <c r="FA71" s="227" t="s">
        <v>568</v>
      </c>
      <c r="FB71" s="161">
        <f t="shared" si="1"/>
        <v>338250</v>
      </c>
    </row>
    <row r="72" spans="1:158" ht="17.25" hidden="1" thickBot="1" x14ac:dyDescent="0.3">
      <c r="A72" s="226">
        <v>46064</v>
      </c>
      <c r="B72" s="227" t="s">
        <v>184</v>
      </c>
      <c r="C72" s="227" t="s">
        <v>513</v>
      </c>
      <c r="D72" s="228">
        <v>150</v>
      </c>
      <c r="E72" s="231">
        <v>4117.6000000000004</v>
      </c>
      <c r="F72" s="231">
        <v>4139.3999999999996</v>
      </c>
      <c r="G72" s="228">
        <v>-21.8</v>
      </c>
      <c r="H72" s="229">
        <v>-5.3E-3</v>
      </c>
      <c r="I72" s="231">
        <v>4133</v>
      </c>
      <c r="J72" s="231">
        <v>4168.3</v>
      </c>
      <c r="K72" s="228">
        <v>-35.299999999999997</v>
      </c>
      <c r="L72" s="229">
        <v>-8.5000000000000006E-3</v>
      </c>
      <c r="M72" s="231">
        <v>4117.6000000000004</v>
      </c>
      <c r="N72" s="231">
        <v>4139.3999999999996</v>
      </c>
      <c r="O72" s="228">
        <v>-21.8</v>
      </c>
      <c r="P72" s="229">
        <v>-5.3E-3</v>
      </c>
      <c r="Q72" s="231">
        <v>4143.3999999999996</v>
      </c>
      <c r="R72" s="231">
        <v>4162.3</v>
      </c>
      <c r="S72" s="228">
        <v>-18.899999999999999</v>
      </c>
      <c r="T72" s="229">
        <v>-4.4999999999999997E-3</v>
      </c>
      <c r="U72" s="231">
        <v>4168.2</v>
      </c>
      <c r="V72" s="231">
        <v>4178.8</v>
      </c>
      <c r="W72" s="228">
        <v>-10.6</v>
      </c>
      <c r="X72" s="229">
        <v>-2.5000000000000001E-3</v>
      </c>
      <c r="Y72" s="228">
        <v>-15.4</v>
      </c>
      <c r="Z72" s="228">
        <v>-28.9</v>
      </c>
      <c r="AA72" s="228">
        <v>13.5</v>
      </c>
      <c r="AB72" s="229">
        <v>-3.7000000000000002E-3</v>
      </c>
      <c r="AC72" s="228">
        <v>-15.4</v>
      </c>
      <c r="AD72" s="228">
        <v>-28.9</v>
      </c>
      <c r="AE72" s="228">
        <v>13.5</v>
      </c>
      <c r="AF72" s="229">
        <v>-3.7000000000000002E-3</v>
      </c>
      <c r="AG72" s="228">
        <v>10.4</v>
      </c>
      <c r="AH72" s="228">
        <v>-6</v>
      </c>
      <c r="AI72" s="228">
        <v>16.399999999999999</v>
      </c>
      <c r="AJ72" s="229">
        <v>2.5000000000000001E-3</v>
      </c>
      <c r="AK72" s="228">
        <v>35.200000000000003</v>
      </c>
      <c r="AL72" s="228">
        <v>10.5</v>
      </c>
      <c r="AM72" s="228">
        <v>24.7</v>
      </c>
      <c r="AN72" s="229">
        <v>8.5000000000000006E-3</v>
      </c>
      <c r="AO72" s="231">
        <v>4102.3900000000003</v>
      </c>
      <c r="AP72" s="231">
        <v>4126.75</v>
      </c>
      <c r="AQ72" s="228">
        <v>0</v>
      </c>
      <c r="AR72" s="230">
        <v>1116900</v>
      </c>
      <c r="AS72" s="230">
        <v>1595250</v>
      </c>
      <c r="AT72" s="230">
        <v>-478350</v>
      </c>
      <c r="AU72" s="229">
        <v>-0.2999</v>
      </c>
      <c r="AV72" s="230">
        <v>968400</v>
      </c>
      <c r="AW72" s="230">
        <v>1314450</v>
      </c>
      <c r="AX72" s="230">
        <v>-346050</v>
      </c>
      <c r="AY72" s="229">
        <v>-0.26329999999999998</v>
      </c>
      <c r="AZ72" s="230">
        <v>128250</v>
      </c>
      <c r="BA72" s="230">
        <v>228750</v>
      </c>
      <c r="BB72" s="230">
        <v>-100500</v>
      </c>
      <c r="BC72" s="229">
        <v>-0.43930000000000002</v>
      </c>
      <c r="BD72" s="230">
        <v>20250</v>
      </c>
      <c r="BE72" s="230">
        <v>52050</v>
      </c>
      <c r="BF72" s="230">
        <v>-31800</v>
      </c>
      <c r="BG72" s="229">
        <v>-0.61099999999999999</v>
      </c>
      <c r="BH72" s="230">
        <v>6155850</v>
      </c>
      <c r="BI72" s="230">
        <v>7777200</v>
      </c>
      <c r="BJ72" s="230">
        <v>-1621350</v>
      </c>
      <c r="BK72" s="229">
        <v>-0.20849999999999999</v>
      </c>
      <c r="BL72" s="230">
        <v>2220450</v>
      </c>
      <c r="BM72" s="230">
        <v>2780550</v>
      </c>
      <c r="BN72" s="230">
        <v>-560100</v>
      </c>
      <c r="BO72" s="229">
        <v>-0.2014</v>
      </c>
      <c r="BP72" s="230">
        <v>9493200</v>
      </c>
      <c r="BQ72" s="230">
        <v>12153000</v>
      </c>
      <c r="BR72" s="230">
        <v>-2659800</v>
      </c>
      <c r="BS72" s="229">
        <v>-0.21890000000000001</v>
      </c>
      <c r="BT72" s="230">
        <v>999340</v>
      </c>
      <c r="BU72" s="230">
        <v>1073636</v>
      </c>
      <c r="BV72" s="230">
        <v>-74296</v>
      </c>
      <c r="BW72" s="229">
        <v>-6.9199999999999998E-2</v>
      </c>
      <c r="BX72" s="230">
        <v>10698000</v>
      </c>
      <c r="BY72" s="230">
        <v>10654650</v>
      </c>
      <c r="BZ72" s="230">
        <v>43350</v>
      </c>
      <c r="CA72" s="229">
        <v>4.1000000000000003E-3</v>
      </c>
      <c r="CB72" s="230">
        <v>9425400</v>
      </c>
      <c r="CC72" s="230">
        <v>9418500</v>
      </c>
      <c r="CD72" s="230">
        <v>6900</v>
      </c>
      <c r="CE72" s="229">
        <v>6.9999999999999999E-4</v>
      </c>
      <c r="CF72" s="230">
        <v>1073550</v>
      </c>
      <c r="CG72" s="230">
        <v>1038300</v>
      </c>
      <c r="CH72" s="230">
        <v>35250</v>
      </c>
      <c r="CI72" s="229">
        <v>3.39E-2</v>
      </c>
      <c r="CJ72" s="230">
        <v>199050</v>
      </c>
      <c r="CK72" s="230">
        <v>197850</v>
      </c>
      <c r="CL72" s="230">
        <v>1200</v>
      </c>
      <c r="CM72" s="229">
        <v>6.1000000000000004E-3</v>
      </c>
      <c r="CN72" s="230">
        <v>9697350</v>
      </c>
      <c r="CO72" s="230">
        <v>9555450</v>
      </c>
      <c r="CP72" s="230">
        <v>141900</v>
      </c>
      <c r="CQ72" s="229">
        <v>1.49E-2</v>
      </c>
      <c r="CR72" s="230">
        <v>5320350</v>
      </c>
      <c r="CS72" s="230">
        <v>5300250</v>
      </c>
      <c r="CT72" s="230">
        <v>20100</v>
      </c>
      <c r="CU72" s="229">
        <v>3.8E-3</v>
      </c>
      <c r="CV72" s="230">
        <v>25715700</v>
      </c>
      <c r="CW72" s="230">
        <v>25510350</v>
      </c>
      <c r="CX72" s="230">
        <v>205350</v>
      </c>
      <c r="CY72" s="229">
        <v>8.0000000000000002E-3</v>
      </c>
      <c r="CZ72" s="228">
        <v>45.67</v>
      </c>
      <c r="DA72" s="228">
        <v>43.42</v>
      </c>
      <c r="DB72" s="228">
        <v>2.25</v>
      </c>
      <c r="DC72" s="228">
        <v>2.25</v>
      </c>
      <c r="DD72" s="228">
        <v>38.85</v>
      </c>
      <c r="DE72" s="228">
        <v>38.94</v>
      </c>
      <c r="DF72" s="228">
        <v>6.82</v>
      </c>
      <c r="DG72" s="228">
        <v>-0.09</v>
      </c>
      <c r="DH72" s="228">
        <v>46.25</v>
      </c>
      <c r="DI72" s="228">
        <v>43.6</v>
      </c>
      <c r="DJ72" s="228">
        <v>2.65</v>
      </c>
      <c r="DK72" s="228">
        <v>2.65</v>
      </c>
      <c r="DL72" s="228">
        <v>44.07</v>
      </c>
      <c r="DM72" s="228">
        <v>42.93</v>
      </c>
      <c r="DN72" s="228">
        <v>1.1399999999999999</v>
      </c>
      <c r="DO72" s="228">
        <v>1.1399999999999999</v>
      </c>
      <c r="DP72" s="228">
        <v>0.55000000000000004</v>
      </c>
      <c r="DQ72" s="228">
        <v>0.55000000000000004</v>
      </c>
      <c r="DR72" s="228">
        <v>0</v>
      </c>
      <c r="DS72" s="229">
        <v>0</v>
      </c>
      <c r="DT72" s="231">
        <v>5000</v>
      </c>
      <c r="DU72" s="231">
        <v>4000</v>
      </c>
      <c r="DV72" s="228">
        <v>0.36</v>
      </c>
      <c r="DW72" s="228">
        <v>0.36</v>
      </c>
      <c r="DX72" s="228">
        <v>0</v>
      </c>
      <c r="DY72" s="229">
        <v>0</v>
      </c>
      <c r="DZ72" s="229">
        <v>0.11899999999999999</v>
      </c>
      <c r="EA72" s="230">
        <v>1236150</v>
      </c>
      <c r="EB72" s="229">
        <v>6.3E-3</v>
      </c>
      <c r="EC72" s="229">
        <v>0.11899999999999999</v>
      </c>
      <c r="ED72" s="228">
        <v>24.36</v>
      </c>
      <c r="EE72" s="229">
        <v>5.8999999999999999E-3</v>
      </c>
      <c r="EF72" s="230">
        <v>412286</v>
      </c>
      <c r="EG72" s="230">
        <v>471283</v>
      </c>
      <c r="EH72" s="229">
        <v>-0.12520000000000001</v>
      </c>
      <c r="EI72" s="229">
        <v>0.41260000000000002</v>
      </c>
      <c r="EJ72" s="231">
        <v>275024.48</v>
      </c>
      <c r="EK72" s="231">
        <v>90559.81</v>
      </c>
      <c r="EL72" s="231">
        <v>45860.71</v>
      </c>
      <c r="EM72" s="231">
        <v>26237</v>
      </c>
      <c r="EN72" s="231">
        <v>411445</v>
      </c>
      <c r="EO72" s="231">
        <v>524157.53</v>
      </c>
      <c r="EP72" s="231">
        <v>-112712.53</v>
      </c>
      <c r="EQ72" s="229">
        <v>-0.215</v>
      </c>
      <c r="ER72" s="231">
        <v>443026</v>
      </c>
      <c r="ES72" s="231">
        <v>223076</v>
      </c>
      <c r="ET72" s="231">
        <v>440879</v>
      </c>
      <c r="EU72" s="231">
        <v>28450886</v>
      </c>
      <c r="EV72" s="231">
        <v>1106981</v>
      </c>
      <c r="EW72" s="231">
        <v>1100995</v>
      </c>
      <c r="EX72" s="231">
        <v>5986</v>
      </c>
      <c r="EY72" s="229">
        <v>5.4000000000000003E-3</v>
      </c>
      <c r="EZ72" s="229">
        <v>0.90390000000000004</v>
      </c>
      <c r="FA72" s="227" t="s">
        <v>567</v>
      </c>
      <c r="FB72" s="161">
        <f t="shared" si="1"/>
        <v>1272600</v>
      </c>
    </row>
    <row r="73" spans="1:158" ht="17.25" hidden="1" thickBot="1" x14ac:dyDescent="0.3">
      <c r="A73" s="226">
        <v>46064</v>
      </c>
      <c r="B73" s="227" t="s">
        <v>184</v>
      </c>
      <c r="C73" s="227" t="s">
        <v>220</v>
      </c>
      <c r="D73" s="228">
        <v>500</v>
      </c>
      <c r="E73" s="231">
        <v>1387.1</v>
      </c>
      <c r="F73" s="231">
        <v>1374.6</v>
      </c>
      <c r="G73" s="228">
        <v>12.5</v>
      </c>
      <c r="H73" s="229">
        <v>9.1000000000000004E-3</v>
      </c>
      <c r="I73" s="231">
        <v>1383.8</v>
      </c>
      <c r="J73" s="231">
        <v>1373.1</v>
      </c>
      <c r="K73" s="228">
        <v>10.7</v>
      </c>
      <c r="L73" s="229">
        <v>7.7999999999999996E-3</v>
      </c>
      <c r="M73" s="231">
        <v>1387.1</v>
      </c>
      <c r="N73" s="231">
        <v>1374.6</v>
      </c>
      <c r="O73" s="228">
        <v>12.5</v>
      </c>
      <c r="P73" s="229">
        <v>9.1000000000000004E-3</v>
      </c>
      <c r="Q73" s="231">
        <v>1393</v>
      </c>
      <c r="R73" s="231">
        <v>1381</v>
      </c>
      <c r="S73" s="228">
        <v>12</v>
      </c>
      <c r="T73" s="229">
        <v>8.6999999999999994E-3</v>
      </c>
      <c r="U73" s="231">
        <v>1401.3</v>
      </c>
      <c r="V73" s="231">
        <v>1388.5</v>
      </c>
      <c r="W73" s="228">
        <v>12.8</v>
      </c>
      <c r="X73" s="229">
        <v>9.1999999999999998E-3</v>
      </c>
      <c r="Y73" s="228">
        <v>3.3</v>
      </c>
      <c r="Z73" s="228">
        <v>1.5</v>
      </c>
      <c r="AA73" s="228">
        <v>1.8</v>
      </c>
      <c r="AB73" s="229">
        <v>2.3999999999999998E-3</v>
      </c>
      <c r="AC73" s="228">
        <v>3.3</v>
      </c>
      <c r="AD73" s="228">
        <v>1.5</v>
      </c>
      <c r="AE73" s="228">
        <v>1.8</v>
      </c>
      <c r="AF73" s="229">
        <v>2.3999999999999998E-3</v>
      </c>
      <c r="AG73" s="228">
        <v>9.1999999999999993</v>
      </c>
      <c r="AH73" s="228">
        <v>7.9</v>
      </c>
      <c r="AI73" s="228">
        <v>1.3</v>
      </c>
      <c r="AJ73" s="229">
        <v>6.6E-3</v>
      </c>
      <c r="AK73" s="228">
        <v>17.5</v>
      </c>
      <c r="AL73" s="228">
        <v>15.4</v>
      </c>
      <c r="AM73" s="228">
        <v>2.1</v>
      </c>
      <c r="AN73" s="229">
        <v>1.26E-2</v>
      </c>
      <c r="AO73" s="231">
        <v>1382.58</v>
      </c>
      <c r="AP73" s="231">
        <v>1390.7</v>
      </c>
      <c r="AQ73" s="228">
        <v>0</v>
      </c>
      <c r="AR73" s="230">
        <v>1246000</v>
      </c>
      <c r="AS73" s="230">
        <v>1113500</v>
      </c>
      <c r="AT73" s="230">
        <v>132500</v>
      </c>
      <c r="AU73" s="229">
        <v>0.11899999999999999</v>
      </c>
      <c r="AV73" s="230">
        <v>1147000</v>
      </c>
      <c r="AW73" s="230">
        <v>1034500</v>
      </c>
      <c r="AX73" s="230">
        <v>112500</v>
      </c>
      <c r="AY73" s="229">
        <v>0.1087</v>
      </c>
      <c r="AZ73" s="230">
        <v>91500</v>
      </c>
      <c r="BA73" s="230">
        <v>65500</v>
      </c>
      <c r="BB73" s="230">
        <v>26000</v>
      </c>
      <c r="BC73" s="229">
        <v>0.39689999999999998</v>
      </c>
      <c r="BD73" s="230">
        <v>7500</v>
      </c>
      <c r="BE73" s="230">
        <v>13500</v>
      </c>
      <c r="BF73" s="230">
        <v>-6000</v>
      </c>
      <c r="BG73" s="229">
        <v>-0.44440000000000002</v>
      </c>
      <c r="BH73" s="230">
        <v>2363000</v>
      </c>
      <c r="BI73" s="230">
        <v>3316500</v>
      </c>
      <c r="BJ73" s="230">
        <v>-953500</v>
      </c>
      <c r="BK73" s="229">
        <v>-0.28749999999999998</v>
      </c>
      <c r="BL73" s="230">
        <v>1083500</v>
      </c>
      <c r="BM73" s="230">
        <v>1635000</v>
      </c>
      <c r="BN73" s="230">
        <v>-551500</v>
      </c>
      <c r="BO73" s="229">
        <v>-0.33729999999999999</v>
      </c>
      <c r="BP73" s="230">
        <v>4692500</v>
      </c>
      <c r="BQ73" s="230">
        <v>6065000</v>
      </c>
      <c r="BR73" s="230">
        <v>-1372500</v>
      </c>
      <c r="BS73" s="229">
        <v>-0.2263</v>
      </c>
      <c r="BT73" s="230">
        <v>492286</v>
      </c>
      <c r="BU73" s="230">
        <v>428707</v>
      </c>
      <c r="BV73" s="230">
        <v>63579</v>
      </c>
      <c r="BW73" s="229">
        <v>0.14829999999999999</v>
      </c>
      <c r="BX73" s="230">
        <v>10501000</v>
      </c>
      <c r="BY73" s="230">
        <v>10536000</v>
      </c>
      <c r="BZ73" s="230">
        <v>-35000</v>
      </c>
      <c r="CA73" s="229">
        <v>-3.3E-3</v>
      </c>
      <c r="CB73" s="230">
        <v>10206500</v>
      </c>
      <c r="CC73" s="230">
        <v>10250000</v>
      </c>
      <c r="CD73" s="230">
        <v>-43500</v>
      </c>
      <c r="CE73" s="229">
        <v>-4.1999999999999997E-3</v>
      </c>
      <c r="CF73" s="230">
        <v>266500</v>
      </c>
      <c r="CG73" s="230">
        <v>257000</v>
      </c>
      <c r="CH73" s="230">
        <v>9500</v>
      </c>
      <c r="CI73" s="229">
        <v>3.6999999999999998E-2</v>
      </c>
      <c r="CJ73" s="230">
        <v>28000</v>
      </c>
      <c r="CK73" s="230">
        <v>29000</v>
      </c>
      <c r="CL73" s="230">
        <v>-1000</v>
      </c>
      <c r="CM73" s="229">
        <v>-3.4500000000000003E-2</v>
      </c>
      <c r="CN73" s="230">
        <v>3173000</v>
      </c>
      <c r="CO73" s="230">
        <v>3123500</v>
      </c>
      <c r="CP73" s="230">
        <v>49500</v>
      </c>
      <c r="CQ73" s="229">
        <v>1.5800000000000002E-2</v>
      </c>
      <c r="CR73" s="230">
        <v>2169000</v>
      </c>
      <c r="CS73" s="230">
        <v>2154500</v>
      </c>
      <c r="CT73" s="230">
        <v>14500</v>
      </c>
      <c r="CU73" s="229">
        <v>6.7000000000000002E-3</v>
      </c>
      <c r="CV73" s="230">
        <v>15843000</v>
      </c>
      <c r="CW73" s="230">
        <v>15814000</v>
      </c>
      <c r="CX73" s="230">
        <v>29000</v>
      </c>
      <c r="CY73" s="229">
        <v>1.8E-3</v>
      </c>
      <c r="CZ73" s="228">
        <v>21.7</v>
      </c>
      <c r="DA73" s="228">
        <v>22.12</v>
      </c>
      <c r="DB73" s="228">
        <v>-0.42</v>
      </c>
      <c r="DC73" s="228">
        <v>-0.42</v>
      </c>
      <c r="DD73" s="228">
        <v>28.11</v>
      </c>
      <c r="DE73" s="228">
        <v>28.15</v>
      </c>
      <c r="DF73" s="228">
        <v>-6.41</v>
      </c>
      <c r="DG73" s="228">
        <v>-0.04</v>
      </c>
      <c r="DH73" s="228">
        <v>21.23</v>
      </c>
      <c r="DI73" s="228">
        <v>21.5</v>
      </c>
      <c r="DJ73" s="228">
        <v>-0.27</v>
      </c>
      <c r="DK73" s="228">
        <v>-0.27</v>
      </c>
      <c r="DL73" s="228">
        <v>22.73</v>
      </c>
      <c r="DM73" s="228">
        <v>23.39</v>
      </c>
      <c r="DN73" s="228">
        <v>-0.66</v>
      </c>
      <c r="DO73" s="228">
        <v>-0.66</v>
      </c>
      <c r="DP73" s="228">
        <v>0.68</v>
      </c>
      <c r="DQ73" s="228">
        <v>0.69</v>
      </c>
      <c r="DR73" s="228">
        <v>-0.01</v>
      </c>
      <c r="DS73" s="229">
        <v>-1.4500000000000001E-2</v>
      </c>
      <c r="DT73" s="231">
        <v>1400</v>
      </c>
      <c r="DU73" s="231">
        <v>1300</v>
      </c>
      <c r="DV73" s="228">
        <v>0.46</v>
      </c>
      <c r="DW73" s="228">
        <v>0.49</v>
      </c>
      <c r="DX73" s="228">
        <v>-0.03</v>
      </c>
      <c r="DY73" s="229">
        <v>-6.1199999999999997E-2</v>
      </c>
      <c r="DZ73" s="229">
        <v>2.8000000000000001E-2</v>
      </c>
      <c r="EA73" s="230">
        <v>286000</v>
      </c>
      <c r="EB73" s="229">
        <v>4.3E-3</v>
      </c>
      <c r="EC73" s="229">
        <v>2.8000000000000001E-2</v>
      </c>
      <c r="ED73" s="228">
        <v>8.1199999999999992</v>
      </c>
      <c r="EE73" s="229">
        <v>5.8999999999999999E-3</v>
      </c>
      <c r="EF73" s="230">
        <v>271055</v>
      </c>
      <c r="EG73" s="230">
        <v>208689</v>
      </c>
      <c r="EH73" s="229">
        <v>0.29880000000000001</v>
      </c>
      <c r="EI73" s="229">
        <v>0.55059999999999998</v>
      </c>
      <c r="EJ73" s="231">
        <v>33590.519999999997</v>
      </c>
      <c r="EK73" s="231">
        <v>14701.34</v>
      </c>
      <c r="EL73" s="231">
        <v>17235.38</v>
      </c>
      <c r="EM73" s="231">
        <v>2291</v>
      </c>
      <c r="EN73" s="231">
        <v>65527.24</v>
      </c>
      <c r="EO73" s="231">
        <v>84322.62</v>
      </c>
      <c r="EP73" s="231">
        <v>-18795.38</v>
      </c>
      <c r="EQ73" s="229">
        <v>-0.22289999999999999</v>
      </c>
      <c r="ER73" s="231">
        <v>44695</v>
      </c>
      <c r="ES73" s="231">
        <v>28384</v>
      </c>
      <c r="ET73" s="231">
        <v>145679</v>
      </c>
      <c r="EU73" s="231">
        <v>35667502</v>
      </c>
      <c r="EV73" s="231">
        <v>218757</v>
      </c>
      <c r="EW73" s="231">
        <v>216874</v>
      </c>
      <c r="EX73" s="231">
        <v>1883</v>
      </c>
      <c r="EY73" s="229">
        <v>8.6999999999999994E-3</v>
      </c>
      <c r="EZ73" s="229">
        <v>0.44419999999999998</v>
      </c>
      <c r="FA73" s="227" t="s">
        <v>556</v>
      </c>
      <c r="FB73" s="161">
        <f t="shared" si="1"/>
        <v>294500</v>
      </c>
    </row>
    <row r="74" spans="1:158" ht="17.25" hidden="1" thickBot="1" x14ac:dyDescent="0.3">
      <c r="A74" s="226">
        <v>46064</v>
      </c>
      <c r="B74" s="227" t="s">
        <v>221</v>
      </c>
      <c r="C74" s="227" t="s">
        <v>222</v>
      </c>
      <c r="D74" s="228">
        <v>350</v>
      </c>
      <c r="E74" s="231">
        <v>1553.5</v>
      </c>
      <c r="F74" s="231">
        <v>1578.3</v>
      </c>
      <c r="G74" s="228">
        <v>-24.8</v>
      </c>
      <c r="H74" s="229">
        <v>-1.5699999999999999E-2</v>
      </c>
      <c r="I74" s="231">
        <v>1551.6</v>
      </c>
      <c r="J74" s="231">
        <v>1573.1</v>
      </c>
      <c r="K74" s="228">
        <v>-21.5</v>
      </c>
      <c r="L74" s="229">
        <v>-1.37E-2</v>
      </c>
      <c r="M74" s="231">
        <v>1553.5</v>
      </c>
      <c r="N74" s="231">
        <v>1578.3</v>
      </c>
      <c r="O74" s="228">
        <v>-24.8</v>
      </c>
      <c r="P74" s="229">
        <v>-1.5699999999999999E-2</v>
      </c>
      <c r="Q74" s="231">
        <v>1562.3</v>
      </c>
      <c r="R74" s="231">
        <v>1587.8</v>
      </c>
      <c r="S74" s="228">
        <v>-25.5</v>
      </c>
      <c r="T74" s="229">
        <v>-1.61E-2</v>
      </c>
      <c r="U74" s="231">
        <v>1563.3</v>
      </c>
      <c r="V74" s="231">
        <v>1587.3</v>
      </c>
      <c r="W74" s="228">
        <v>-24</v>
      </c>
      <c r="X74" s="229">
        <v>-1.5100000000000001E-2</v>
      </c>
      <c r="Y74" s="228">
        <v>1.9</v>
      </c>
      <c r="Z74" s="228">
        <v>5.2</v>
      </c>
      <c r="AA74" s="228">
        <v>-3.3</v>
      </c>
      <c r="AB74" s="229">
        <v>1.1999999999999999E-3</v>
      </c>
      <c r="AC74" s="228">
        <v>1.9</v>
      </c>
      <c r="AD74" s="228">
        <v>5.2</v>
      </c>
      <c r="AE74" s="228">
        <v>-3.3</v>
      </c>
      <c r="AF74" s="229">
        <v>1.1999999999999999E-3</v>
      </c>
      <c r="AG74" s="228">
        <v>10.7</v>
      </c>
      <c r="AH74" s="228">
        <v>14.7</v>
      </c>
      <c r="AI74" s="228">
        <v>-4</v>
      </c>
      <c r="AJ74" s="229">
        <v>6.8999999999999999E-3</v>
      </c>
      <c r="AK74" s="228">
        <v>11.7</v>
      </c>
      <c r="AL74" s="228">
        <v>14.2</v>
      </c>
      <c r="AM74" s="228">
        <v>-2.5</v>
      </c>
      <c r="AN74" s="229">
        <v>7.4999999999999997E-3</v>
      </c>
      <c r="AO74" s="231">
        <v>1561.94</v>
      </c>
      <c r="AP74" s="231">
        <v>1570.41</v>
      </c>
      <c r="AQ74" s="228">
        <v>0</v>
      </c>
      <c r="AR74" s="230">
        <v>2094750</v>
      </c>
      <c r="AS74" s="230">
        <v>3792600</v>
      </c>
      <c r="AT74" s="230">
        <v>-1697850</v>
      </c>
      <c r="AU74" s="229">
        <v>-0.44769999999999999</v>
      </c>
      <c r="AV74" s="230">
        <v>1889300</v>
      </c>
      <c r="AW74" s="230">
        <v>3291050</v>
      </c>
      <c r="AX74" s="230">
        <v>-1401750</v>
      </c>
      <c r="AY74" s="229">
        <v>-0.4259</v>
      </c>
      <c r="AZ74" s="230">
        <v>171500</v>
      </c>
      <c r="BA74" s="230">
        <v>447650</v>
      </c>
      <c r="BB74" s="230">
        <v>-276150</v>
      </c>
      <c r="BC74" s="229">
        <v>-0.6169</v>
      </c>
      <c r="BD74" s="230">
        <v>33950</v>
      </c>
      <c r="BE74" s="230">
        <v>53900</v>
      </c>
      <c r="BF74" s="230">
        <v>-19950</v>
      </c>
      <c r="BG74" s="229">
        <v>-0.37009999999999998</v>
      </c>
      <c r="BH74" s="230">
        <v>11212250</v>
      </c>
      <c r="BI74" s="230">
        <v>10828300</v>
      </c>
      <c r="BJ74" s="230">
        <v>383950</v>
      </c>
      <c r="BK74" s="229">
        <v>3.5499999999999997E-2</v>
      </c>
      <c r="BL74" s="230">
        <v>7889000</v>
      </c>
      <c r="BM74" s="230">
        <v>6246100</v>
      </c>
      <c r="BN74" s="230">
        <v>1642900</v>
      </c>
      <c r="BO74" s="229">
        <v>0.26300000000000001</v>
      </c>
      <c r="BP74" s="230">
        <v>21196000</v>
      </c>
      <c r="BQ74" s="230">
        <v>20867000</v>
      </c>
      <c r="BR74" s="230">
        <v>329000</v>
      </c>
      <c r="BS74" s="229">
        <v>1.5800000000000002E-2</v>
      </c>
      <c r="BT74" s="230">
        <v>3006786</v>
      </c>
      <c r="BU74" s="230">
        <v>3643682</v>
      </c>
      <c r="BV74" s="230">
        <v>-636896</v>
      </c>
      <c r="BW74" s="229">
        <v>-0.17480000000000001</v>
      </c>
      <c r="BX74" s="230">
        <v>19005700</v>
      </c>
      <c r="BY74" s="230">
        <v>19006400</v>
      </c>
      <c r="BZ74" s="228">
        <v>-700</v>
      </c>
      <c r="CA74" s="229">
        <v>0</v>
      </c>
      <c r="CB74" s="230">
        <v>18071900</v>
      </c>
      <c r="CC74" s="230">
        <v>18119850</v>
      </c>
      <c r="CD74" s="230">
        <v>-47950</v>
      </c>
      <c r="CE74" s="229">
        <v>-2.5999999999999999E-3</v>
      </c>
      <c r="CF74" s="230">
        <v>782250</v>
      </c>
      <c r="CG74" s="230">
        <v>752500</v>
      </c>
      <c r="CH74" s="230">
        <v>29750</v>
      </c>
      <c r="CI74" s="229">
        <v>3.95E-2</v>
      </c>
      <c r="CJ74" s="230">
        <v>151550</v>
      </c>
      <c r="CK74" s="230">
        <v>134050</v>
      </c>
      <c r="CL74" s="230">
        <v>17500</v>
      </c>
      <c r="CM74" s="229">
        <v>0.1305</v>
      </c>
      <c r="CN74" s="230">
        <v>10905650</v>
      </c>
      <c r="CO74" s="230">
        <v>9673300</v>
      </c>
      <c r="CP74" s="230">
        <v>1232350</v>
      </c>
      <c r="CQ74" s="229">
        <v>0.12740000000000001</v>
      </c>
      <c r="CR74" s="230">
        <v>5746650</v>
      </c>
      <c r="CS74" s="230">
        <v>5714450</v>
      </c>
      <c r="CT74" s="230">
        <v>32200</v>
      </c>
      <c r="CU74" s="229">
        <v>5.5999999999999999E-3</v>
      </c>
      <c r="CV74" s="230">
        <v>35658000</v>
      </c>
      <c r="CW74" s="230">
        <v>34394150</v>
      </c>
      <c r="CX74" s="230">
        <v>1263850</v>
      </c>
      <c r="CY74" s="229">
        <v>3.6700000000000003E-2</v>
      </c>
      <c r="CZ74" s="228">
        <v>29.83</v>
      </c>
      <c r="DA74" s="228">
        <v>28.65</v>
      </c>
      <c r="DB74" s="228">
        <v>1.18</v>
      </c>
      <c r="DC74" s="228">
        <v>1.18</v>
      </c>
      <c r="DD74" s="228">
        <v>27.62</v>
      </c>
      <c r="DE74" s="228">
        <v>27.62</v>
      </c>
      <c r="DF74" s="228">
        <v>2.21</v>
      </c>
      <c r="DG74" s="228">
        <v>0</v>
      </c>
      <c r="DH74" s="228">
        <v>29.63</v>
      </c>
      <c r="DI74" s="228">
        <v>28.41</v>
      </c>
      <c r="DJ74" s="228">
        <v>1.22</v>
      </c>
      <c r="DK74" s="228">
        <v>1.22</v>
      </c>
      <c r="DL74" s="228">
        <v>30.12</v>
      </c>
      <c r="DM74" s="228">
        <v>29.08</v>
      </c>
      <c r="DN74" s="228">
        <v>1.04</v>
      </c>
      <c r="DO74" s="228">
        <v>1.04</v>
      </c>
      <c r="DP74" s="228">
        <v>0.53</v>
      </c>
      <c r="DQ74" s="228">
        <v>0.59</v>
      </c>
      <c r="DR74" s="228">
        <v>-0.06</v>
      </c>
      <c r="DS74" s="229">
        <v>-0.1017</v>
      </c>
      <c r="DT74" s="231">
        <v>1700</v>
      </c>
      <c r="DU74" s="231">
        <v>1480</v>
      </c>
      <c r="DV74" s="228">
        <v>0.7</v>
      </c>
      <c r="DW74" s="228">
        <v>0.57999999999999996</v>
      </c>
      <c r="DX74" s="228">
        <v>0.12</v>
      </c>
      <c r="DY74" s="229">
        <v>0.2069</v>
      </c>
      <c r="DZ74" s="229">
        <v>4.9099999999999998E-2</v>
      </c>
      <c r="EA74" s="230">
        <v>886550</v>
      </c>
      <c r="EB74" s="229">
        <v>5.7000000000000002E-3</v>
      </c>
      <c r="EC74" s="229">
        <v>4.9099999999999998E-2</v>
      </c>
      <c r="ED74" s="228">
        <v>8.4700000000000006</v>
      </c>
      <c r="EE74" s="229">
        <v>5.4000000000000003E-3</v>
      </c>
      <c r="EF74" s="230">
        <v>1913264</v>
      </c>
      <c r="EG74" s="230">
        <v>2464140</v>
      </c>
      <c r="EH74" s="229">
        <v>-0.22359999999999999</v>
      </c>
      <c r="EI74" s="229">
        <v>0.63629999999999998</v>
      </c>
      <c r="EJ74" s="231">
        <v>184096.98</v>
      </c>
      <c r="EK74" s="231">
        <v>121726.96</v>
      </c>
      <c r="EL74" s="231">
        <v>32736.5</v>
      </c>
      <c r="EM74" s="231">
        <v>12320</v>
      </c>
      <c r="EN74" s="231">
        <v>338560.44</v>
      </c>
      <c r="EO74" s="231">
        <v>338772.58</v>
      </c>
      <c r="EP74" s="228">
        <v>-212.14</v>
      </c>
      <c r="EQ74" s="229">
        <v>-5.9999999999999995E-4</v>
      </c>
      <c r="ER74" s="231">
        <v>184440</v>
      </c>
      <c r="ES74" s="231">
        <v>89235</v>
      </c>
      <c r="ET74" s="231">
        <v>295337</v>
      </c>
      <c r="EU74" s="231">
        <v>106857976</v>
      </c>
      <c r="EV74" s="231">
        <v>569012</v>
      </c>
      <c r="EW74" s="231">
        <v>553988</v>
      </c>
      <c r="EX74" s="231">
        <v>15024</v>
      </c>
      <c r="EY74" s="229">
        <v>2.7099999999999999E-2</v>
      </c>
      <c r="EZ74" s="229">
        <v>0.3337</v>
      </c>
      <c r="FA74" s="227" t="s">
        <v>237</v>
      </c>
      <c r="FB74" s="161">
        <f t="shared" si="1"/>
        <v>933800</v>
      </c>
    </row>
    <row r="75" spans="1:158" ht="17.25" hidden="1" thickBot="1" x14ac:dyDescent="0.3">
      <c r="A75" s="226">
        <v>46064</v>
      </c>
      <c r="B75" s="227" t="s">
        <v>175</v>
      </c>
      <c r="C75" s="227" t="s">
        <v>475</v>
      </c>
      <c r="D75" s="228">
        <v>300</v>
      </c>
      <c r="E75" s="231">
        <v>2831.7</v>
      </c>
      <c r="F75" s="231">
        <v>2819.5</v>
      </c>
      <c r="G75" s="228">
        <v>12.2</v>
      </c>
      <c r="H75" s="229">
        <v>4.3E-3</v>
      </c>
      <c r="I75" s="231">
        <v>2826.9</v>
      </c>
      <c r="J75" s="231">
        <v>2816.8</v>
      </c>
      <c r="K75" s="228">
        <v>10.1</v>
      </c>
      <c r="L75" s="229">
        <v>3.5999999999999999E-3</v>
      </c>
      <c r="M75" s="231">
        <v>2831.7</v>
      </c>
      <c r="N75" s="231">
        <v>2819.5</v>
      </c>
      <c r="O75" s="228">
        <v>12.2</v>
      </c>
      <c r="P75" s="229">
        <v>4.3E-3</v>
      </c>
      <c r="Q75" s="231">
        <v>2847.3</v>
      </c>
      <c r="R75" s="231">
        <v>2834.5</v>
      </c>
      <c r="S75" s="228">
        <v>12.8</v>
      </c>
      <c r="T75" s="229">
        <v>4.4999999999999997E-3</v>
      </c>
      <c r="U75" s="231">
        <v>2862.7</v>
      </c>
      <c r="V75" s="231">
        <v>2849.5</v>
      </c>
      <c r="W75" s="228">
        <v>13.2</v>
      </c>
      <c r="X75" s="229">
        <v>4.5999999999999999E-3</v>
      </c>
      <c r="Y75" s="228">
        <v>4.8</v>
      </c>
      <c r="Z75" s="228">
        <v>2.7</v>
      </c>
      <c r="AA75" s="228">
        <v>2.1</v>
      </c>
      <c r="AB75" s="229">
        <v>1.6999999999999999E-3</v>
      </c>
      <c r="AC75" s="228">
        <v>4.8</v>
      </c>
      <c r="AD75" s="228">
        <v>2.7</v>
      </c>
      <c r="AE75" s="228">
        <v>2.1</v>
      </c>
      <c r="AF75" s="229">
        <v>1.6999999999999999E-3</v>
      </c>
      <c r="AG75" s="228">
        <v>20.399999999999999</v>
      </c>
      <c r="AH75" s="228">
        <v>17.7</v>
      </c>
      <c r="AI75" s="228">
        <v>2.7</v>
      </c>
      <c r="AJ75" s="229">
        <v>7.1999999999999998E-3</v>
      </c>
      <c r="AK75" s="228">
        <v>35.799999999999997</v>
      </c>
      <c r="AL75" s="228">
        <v>32.700000000000003</v>
      </c>
      <c r="AM75" s="228">
        <v>3.1</v>
      </c>
      <c r="AN75" s="229">
        <v>1.2699999999999999E-2</v>
      </c>
      <c r="AO75" s="231">
        <v>2826.93</v>
      </c>
      <c r="AP75" s="231">
        <v>2842.03</v>
      </c>
      <c r="AQ75" s="228">
        <v>0</v>
      </c>
      <c r="AR75" s="230">
        <v>785400</v>
      </c>
      <c r="AS75" s="230">
        <v>1311600</v>
      </c>
      <c r="AT75" s="230">
        <v>-526200</v>
      </c>
      <c r="AU75" s="229">
        <v>-0.4012</v>
      </c>
      <c r="AV75" s="230">
        <v>747000</v>
      </c>
      <c r="AW75" s="230">
        <v>1228500</v>
      </c>
      <c r="AX75" s="230">
        <v>-481500</v>
      </c>
      <c r="AY75" s="229">
        <v>-0.39190000000000003</v>
      </c>
      <c r="AZ75" s="230">
        <v>36900</v>
      </c>
      <c r="BA75" s="230">
        <v>78000</v>
      </c>
      <c r="BB75" s="230">
        <v>-41100</v>
      </c>
      <c r="BC75" s="229">
        <v>-0.52690000000000003</v>
      </c>
      <c r="BD75" s="230">
        <v>1500</v>
      </c>
      <c r="BE75" s="230">
        <v>5100</v>
      </c>
      <c r="BF75" s="230">
        <v>-3600</v>
      </c>
      <c r="BG75" s="229">
        <v>-0.70589999999999997</v>
      </c>
      <c r="BH75" s="230">
        <v>2273700</v>
      </c>
      <c r="BI75" s="230">
        <v>6105300</v>
      </c>
      <c r="BJ75" s="230">
        <v>-3831600</v>
      </c>
      <c r="BK75" s="229">
        <v>-0.62760000000000005</v>
      </c>
      <c r="BL75" s="230">
        <v>1087200</v>
      </c>
      <c r="BM75" s="230">
        <v>2355300</v>
      </c>
      <c r="BN75" s="230">
        <v>-1268100</v>
      </c>
      <c r="BO75" s="229">
        <v>-0.53839999999999999</v>
      </c>
      <c r="BP75" s="230">
        <v>4146300</v>
      </c>
      <c r="BQ75" s="230">
        <v>9772200</v>
      </c>
      <c r="BR75" s="230">
        <v>-5625900</v>
      </c>
      <c r="BS75" s="229">
        <v>-0.57569999999999999</v>
      </c>
      <c r="BT75" s="230">
        <v>758268</v>
      </c>
      <c r="BU75" s="230">
        <v>1018252</v>
      </c>
      <c r="BV75" s="230">
        <v>-259984</v>
      </c>
      <c r="BW75" s="229">
        <v>-0.25530000000000003</v>
      </c>
      <c r="BX75" s="230">
        <v>6191700</v>
      </c>
      <c r="BY75" s="230">
        <v>6334800</v>
      </c>
      <c r="BZ75" s="230">
        <v>-143100</v>
      </c>
      <c r="CA75" s="229">
        <v>-2.2599999999999999E-2</v>
      </c>
      <c r="CB75" s="230">
        <v>6081900</v>
      </c>
      <c r="CC75" s="230">
        <v>6228600</v>
      </c>
      <c r="CD75" s="230">
        <v>-146700</v>
      </c>
      <c r="CE75" s="229">
        <v>-2.3599999999999999E-2</v>
      </c>
      <c r="CF75" s="230">
        <v>102600</v>
      </c>
      <c r="CG75" s="230">
        <v>99900</v>
      </c>
      <c r="CH75" s="230">
        <v>2700</v>
      </c>
      <c r="CI75" s="229">
        <v>2.7E-2</v>
      </c>
      <c r="CJ75" s="230">
        <v>7200</v>
      </c>
      <c r="CK75" s="230">
        <v>6300</v>
      </c>
      <c r="CL75" s="228">
        <v>900</v>
      </c>
      <c r="CM75" s="229">
        <v>0.1429</v>
      </c>
      <c r="CN75" s="230">
        <v>1933500</v>
      </c>
      <c r="CO75" s="230">
        <v>1900500</v>
      </c>
      <c r="CP75" s="230">
        <v>33000</v>
      </c>
      <c r="CQ75" s="229">
        <v>1.7399999999999999E-2</v>
      </c>
      <c r="CR75" s="230">
        <v>1759500</v>
      </c>
      <c r="CS75" s="230">
        <v>1722000</v>
      </c>
      <c r="CT75" s="230">
        <v>37500</v>
      </c>
      <c r="CU75" s="229">
        <v>2.18E-2</v>
      </c>
      <c r="CV75" s="230">
        <v>9884700</v>
      </c>
      <c r="CW75" s="230">
        <v>9957300</v>
      </c>
      <c r="CX75" s="230">
        <v>-72600</v>
      </c>
      <c r="CY75" s="229">
        <v>-7.3000000000000001E-3</v>
      </c>
      <c r="CZ75" s="228">
        <v>23.67</v>
      </c>
      <c r="DA75" s="228">
        <v>24.47</v>
      </c>
      <c r="DB75" s="228">
        <v>-0.8</v>
      </c>
      <c r="DC75" s="228">
        <v>-0.8</v>
      </c>
      <c r="DD75" s="228">
        <v>34.380000000000003</v>
      </c>
      <c r="DE75" s="228">
        <v>34.47</v>
      </c>
      <c r="DF75" s="228">
        <v>-10.71</v>
      </c>
      <c r="DG75" s="228">
        <v>-0.09</v>
      </c>
      <c r="DH75" s="228">
        <v>22.81</v>
      </c>
      <c r="DI75" s="228">
        <v>23.44</v>
      </c>
      <c r="DJ75" s="228">
        <v>-0.63</v>
      </c>
      <c r="DK75" s="228">
        <v>-0.63</v>
      </c>
      <c r="DL75" s="228">
        <v>25.47</v>
      </c>
      <c r="DM75" s="228">
        <v>27.14</v>
      </c>
      <c r="DN75" s="228">
        <v>-1.67</v>
      </c>
      <c r="DO75" s="228">
        <v>-1.67</v>
      </c>
      <c r="DP75" s="228">
        <v>0.91</v>
      </c>
      <c r="DQ75" s="228">
        <v>0.91</v>
      </c>
      <c r="DR75" s="228">
        <v>0</v>
      </c>
      <c r="DS75" s="229">
        <v>0</v>
      </c>
      <c r="DT75" s="231">
        <v>3000</v>
      </c>
      <c r="DU75" s="231">
        <v>2600</v>
      </c>
      <c r="DV75" s="228">
        <v>0.48</v>
      </c>
      <c r="DW75" s="228">
        <v>0.39</v>
      </c>
      <c r="DX75" s="228">
        <v>0.09</v>
      </c>
      <c r="DY75" s="229">
        <v>0.23080000000000001</v>
      </c>
      <c r="DZ75" s="229">
        <v>1.77E-2</v>
      </c>
      <c r="EA75" s="230">
        <v>106200</v>
      </c>
      <c r="EB75" s="229">
        <v>5.4999999999999997E-3</v>
      </c>
      <c r="EC75" s="229">
        <v>1.77E-2</v>
      </c>
      <c r="ED75" s="228">
        <v>15.1</v>
      </c>
      <c r="EE75" s="229">
        <v>5.3E-3</v>
      </c>
      <c r="EF75" s="230">
        <v>544703</v>
      </c>
      <c r="EG75" s="230">
        <v>532135</v>
      </c>
      <c r="EH75" s="229">
        <v>2.3599999999999999E-2</v>
      </c>
      <c r="EI75" s="229">
        <v>0.71840000000000004</v>
      </c>
      <c r="EJ75" s="231">
        <v>66150.720000000001</v>
      </c>
      <c r="EK75" s="231">
        <v>29705.72</v>
      </c>
      <c r="EL75" s="231">
        <v>22208.73</v>
      </c>
      <c r="EM75" s="231">
        <v>4553</v>
      </c>
      <c r="EN75" s="231">
        <v>118065.17</v>
      </c>
      <c r="EO75" s="231">
        <v>276086.15999999997</v>
      </c>
      <c r="EP75" s="231">
        <v>-158020.99</v>
      </c>
      <c r="EQ75" s="229">
        <v>-0.57240000000000002</v>
      </c>
      <c r="ER75" s="231">
        <v>54283</v>
      </c>
      <c r="ES75" s="231">
        <v>45671</v>
      </c>
      <c r="ET75" s="231">
        <v>175349</v>
      </c>
      <c r="EU75" s="231">
        <v>30592324</v>
      </c>
      <c r="EV75" s="231">
        <v>275302</v>
      </c>
      <c r="EW75" s="231">
        <v>276445</v>
      </c>
      <c r="EX75" s="231">
        <v>-1143</v>
      </c>
      <c r="EY75" s="229">
        <v>-4.1000000000000003E-3</v>
      </c>
      <c r="EZ75" s="229">
        <v>0.3231</v>
      </c>
      <c r="FA75" s="227" t="s">
        <v>556</v>
      </c>
      <c r="FB75" s="161">
        <f t="shared" si="1"/>
        <v>109800</v>
      </c>
    </row>
    <row r="76" spans="1:158" ht="17.25" hidden="1" thickBot="1" x14ac:dyDescent="0.3">
      <c r="A76" s="226">
        <v>46064</v>
      </c>
      <c r="B76" s="227" t="s">
        <v>172</v>
      </c>
      <c r="C76" s="227" t="s">
        <v>224</v>
      </c>
      <c r="D76" s="228">
        <v>550</v>
      </c>
      <c r="E76" s="228">
        <v>930.7</v>
      </c>
      <c r="F76" s="228">
        <v>935.8</v>
      </c>
      <c r="G76" s="228">
        <v>-5.0999999999999996</v>
      </c>
      <c r="H76" s="229">
        <v>-5.4000000000000003E-3</v>
      </c>
      <c r="I76" s="228">
        <v>927.1</v>
      </c>
      <c r="J76" s="228">
        <v>932.4</v>
      </c>
      <c r="K76" s="228">
        <v>-5.3</v>
      </c>
      <c r="L76" s="229">
        <v>-5.7000000000000002E-3</v>
      </c>
      <c r="M76" s="228">
        <v>930.7</v>
      </c>
      <c r="N76" s="228">
        <v>935.8</v>
      </c>
      <c r="O76" s="228">
        <v>-5.0999999999999996</v>
      </c>
      <c r="P76" s="229">
        <v>-5.4000000000000003E-3</v>
      </c>
      <c r="Q76" s="228">
        <v>936.55</v>
      </c>
      <c r="R76" s="228">
        <v>941.95</v>
      </c>
      <c r="S76" s="228">
        <v>-5.4</v>
      </c>
      <c r="T76" s="229">
        <v>-5.7000000000000002E-3</v>
      </c>
      <c r="U76" s="228">
        <v>942</v>
      </c>
      <c r="V76" s="228">
        <v>947.4</v>
      </c>
      <c r="W76" s="228">
        <v>-5.4</v>
      </c>
      <c r="X76" s="229">
        <v>-5.7000000000000002E-3</v>
      </c>
      <c r="Y76" s="228">
        <v>3.6</v>
      </c>
      <c r="Z76" s="228">
        <v>3.4</v>
      </c>
      <c r="AA76" s="228">
        <v>0.2</v>
      </c>
      <c r="AB76" s="229">
        <v>3.8999999999999998E-3</v>
      </c>
      <c r="AC76" s="228">
        <v>3.6</v>
      </c>
      <c r="AD76" s="228">
        <v>3.4</v>
      </c>
      <c r="AE76" s="228">
        <v>0.2</v>
      </c>
      <c r="AF76" s="229">
        <v>3.8999999999999998E-3</v>
      </c>
      <c r="AG76" s="228">
        <v>9.4499999999999993</v>
      </c>
      <c r="AH76" s="228">
        <v>9.5500000000000007</v>
      </c>
      <c r="AI76" s="228">
        <v>-0.1</v>
      </c>
      <c r="AJ76" s="229">
        <v>1.0200000000000001E-2</v>
      </c>
      <c r="AK76" s="228">
        <v>14.9</v>
      </c>
      <c r="AL76" s="228">
        <v>15</v>
      </c>
      <c r="AM76" s="228">
        <v>-0.1</v>
      </c>
      <c r="AN76" s="229">
        <v>1.61E-2</v>
      </c>
      <c r="AO76" s="228">
        <v>932.66</v>
      </c>
      <c r="AP76" s="228">
        <v>937.94</v>
      </c>
      <c r="AQ76" s="228">
        <v>0</v>
      </c>
      <c r="AR76" s="230">
        <v>21073800</v>
      </c>
      <c r="AS76" s="230">
        <v>18709350</v>
      </c>
      <c r="AT76" s="230">
        <v>2364450</v>
      </c>
      <c r="AU76" s="229">
        <v>0.12640000000000001</v>
      </c>
      <c r="AV76" s="230">
        <v>19204350</v>
      </c>
      <c r="AW76" s="230">
        <v>16770600</v>
      </c>
      <c r="AX76" s="230">
        <v>2433750</v>
      </c>
      <c r="AY76" s="229">
        <v>0.14510000000000001</v>
      </c>
      <c r="AZ76" s="230">
        <v>1647250</v>
      </c>
      <c r="BA76" s="230">
        <v>1767700</v>
      </c>
      <c r="BB76" s="230">
        <v>-120450</v>
      </c>
      <c r="BC76" s="229">
        <v>-6.8099999999999994E-2</v>
      </c>
      <c r="BD76" s="230">
        <v>222200</v>
      </c>
      <c r="BE76" s="230">
        <v>171050</v>
      </c>
      <c r="BF76" s="230">
        <v>51150</v>
      </c>
      <c r="BG76" s="229">
        <v>0.29899999999999999</v>
      </c>
      <c r="BH76" s="230">
        <v>69923700</v>
      </c>
      <c r="BI76" s="230">
        <v>64503450</v>
      </c>
      <c r="BJ76" s="230">
        <v>5420250</v>
      </c>
      <c r="BK76" s="229">
        <v>8.4000000000000005E-2</v>
      </c>
      <c r="BL76" s="230">
        <v>34983300</v>
      </c>
      <c r="BM76" s="230">
        <v>35611400</v>
      </c>
      <c r="BN76" s="230">
        <v>-628100</v>
      </c>
      <c r="BO76" s="229">
        <v>-1.7600000000000001E-2</v>
      </c>
      <c r="BP76" s="230">
        <v>125980800</v>
      </c>
      <c r="BQ76" s="230">
        <v>118824200</v>
      </c>
      <c r="BR76" s="230">
        <v>7156600</v>
      </c>
      <c r="BS76" s="229">
        <v>6.0199999999999997E-2</v>
      </c>
      <c r="BT76" s="230">
        <v>26779407</v>
      </c>
      <c r="BU76" s="230">
        <v>33074284</v>
      </c>
      <c r="BV76" s="230">
        <v>-6294877</v>
      </c>
      <c r="BW76" s="229">
        <v>-0.1903</v>
      </c>
      <c r="BX76" s="230">
        <v>263130450</v>
      </c>
      <c r="BY76" s="230">
        <v>260617500</v>
      </c>
      <c r="BZ76" s="230">
        <v>2512950</v>
      </c>
      <c r="CA76" s="229">
        <v>9.5999999999999992E-3</v>
      </c>
      <c r="CB76" s="230">
        <v>232007050</v>
      </c>
      <c r="CC76" s="230">
        <v>230604550</v>
      </c>
      <c r="CD76" s="230">
        <v>1402500</v>
      </c>
      <c r="CE76" s="229">
        <v>6.1000000000000004E-3</v>
      </c>
      <c r="CF76" s="230">
        <v>29896350</v>
      </c>
      <c r="CG76" s="230">
        <v>28919000</v>
      </c>
      <c r="CH76" s="230">
        <v>977350</v>
      </c>
      <c r="CI76" s="229">
        <v>3.3799999999999997E-2</v>
      </c>
      <c r="CJ76" s="230">
        <v>1227050</v>
      </c>
      <c r="CK76" s="230">
        <v>1093950</v>
      </c>
      <c r="CL76" s="230">
        <v>133100</v>
      </c>
      <c r="CM76" s="229">
        <v>0.1217</v>
      </c>
      <c r="CN76" s="230">
        <v>64589250</v>
      </c>
      <c r="CO76" s="230">
        <v>58248850</v>
      </c>
      <c r="CP76" s="230">
        <v>6340400</v>
      </c>
      <c r="CQ76" s="229">
        <v>0.1089</v>
      </c>
      <c r="CR76" s="230">
        <v>35627350</v>
      </c>
      <c r="CS76" s="230">
        <v>33878350</v>
      </c>
      <c r="CT76" s="230">
        <v>1749000</v>
      </c>
      <c r="CU76" s="229">
        <v>5.16E-2</v>
      </c>
      <c r="CV76" s="230">
        <v>363347050</v>
      </c>
      <c r="CW76" s="230">
        <v>352744700</v>
      </c>
      <c r="CX76" s="230">
        <v>10602350</v>
      </c>
      <c r="CY76" s="229">
        <v>3.0099999999999998E-2</v>
      </c>
      <c r="CZ76" s="228">
        <v>19.16</v>
      </c>
      <c r="DA76" s="228">
        <v>18.72</v>
      </c>
      <c r="DB76" s="228">
        <v>0.44</v>
      </c>
      <c r="DC76" s="228">
        <v>0.44</v>
      </c>
      <c r="DD76" s="228">
        <v>19.41</v>
      </c>
      <c r="DE76" s="228">
        <v>19.45</v>
      </c>
      <c r="DF76" s="228">
        <v>-0.25</v>
      </c>
      <c r="DG76" s="228">
        <v>-0.04</v>
      </c>
      <c r="DH76" s="228">
        <v>19.260000000000002</v>
      </c>
      <c r="DI76" s="228">
        <v>18.87</v>
      </c>
      <c r="DJ76" s="228">
        <v>0.39</v>
      </c>
      <c r="DK76" s="228">
        <v>0.39</v>
      </c>
      <c r="DL76" s="228">
        <v>18.95</v>
      </c>
      <c r="DM76" s="228">
        <v>18.45</v>
      </c>
      <c r="DN76" s="228">
        <v>0.5</v>
      </c>
      <c r="DO76" s="228">
        <v>0.5</v>
      </c>
      <c r="DP76" s="228">
        <v>0.55000000000000004</v>
      </c>
      <c r="DQ76" s="228">
        <v>0.57999999999999996</v>
      </c>
      <c r="DR76" s="228">
        <v>-0.03</v>
      </c>
      <c r="DS76" s="229">
        <v>-5.1700000000000003E-2</v>
      </c>
      <c r="DT76" s="228">
        <v>950</v>
      </c>
      <c r="DU76" s="228">
        <v>930</v>
      </c>
      <c r="DV76" s="228">
        <v>0.5</v>
      </c>
      <c r="DW76" s="228">
        <v>0.55000000000000004</v>
      </c>
      <c r="DX76" s="228">
        <v>-0.05</v>
      </c>
      <c r="DY76" s="229">
        <v>-9.0899999999999995E-2</v>
      </c>
      <c r="DZ76" s="229">
        <v>0.1183</v>
      </c>
      <c r="EA76" s="230">
        <v>30012950</v>
      </c>
      <c r="EB76" s="229">
        <v>6.3E-3</v>
      </c>
      <c r="EC76" s="229">
        <v>0.1183</v>
      </c>
      <c r="ED76" s="228">
        <v>5.28</v>
      </c>
      <c r="EE76" s="229">
        <v>5.7000000000000002E-3</v>
      </c>
      <c r="EF76" s="230">
        <v>18470149</v>
      </c>
      <c r="EG76" s="230">
        <v>19497953</v>
      </c>
      <c r="EH76" s="229">
        <v>-5.2699999999999997E-2</v>
      </c>
      <c r="EI76" s="229">
        <v>0.68969999999999998</v>
      </c>
      <c r="EJ76" s="231">
        <v>671157.95</v>
      </c>
      <c r="EK76" s="231">
        <v>324297.34999999998</v>
      </c>
      <c r="EL76" s="231">
        <v>196657.33</v>
      </c>
      <c r="EM76" s="231">
        <v>30368</v>
      </c>
      <c r="EN76" s="231">
        <v>1192112.6299999999</v>
      </c>
      <c r="EO76" s="231">
        <v>1130397.5</v>
      </c>
      <c r="EP76" s="231">
        <v>61715.13</v>
      </c>
      <c r="EQ76" s="229">
        <v>5.4600000000000003E-2</v>
      </c>
      <c r="ER76" s="231">
        <v>622812</v>
      </c>
      <c r="ES76" s="231">
        <v>328544</v>
      </c>
      <c r="ET76" s="231">
        <v>2450843</v>
      </c>
      <c r="EU76" s="231">
        <v>1330694977</v>
      </c>
      <c r="EV76" s="231">
        <v>3402198</v>
      </c>
      <c r="EW76" s="231">
        <v>3316528</v>
      </c>
      <c r="EX76" s="231">
        <v>85670</v>
      </c>
      <c r="EY76" s="229">
        <v>2.58E-2</v>
      </c>
      <c r="EZ76" s="229">
        <v>0.27310000000000001</v>
      </c>
      <c r="FA76" s="227" t="s">
        <v>567</v>
      </c>
      <c r="FB76" s="161">
        <f t="shared" si="1"/>
        <v>31123400</v>
      </c>
    </row>
    <row r="77" spans="1:158" ht="17.25" hidden="1" thickBot="1" x14ac:dyDescent="0.3">
      <c r="A77" s="226">
        <v>46064</v>
      </c>
      <c r="B77" s="227" t="s">
        <v>175</v>
      </c>
      <c r="C77" s="227" t="s">
        <v>225</v>
      </c>
      <c r="D77" s="228">
        <v>1100</v>
      </c>
      <c r="E77" s="228">
        <v>702.95</v>
      </c>
      <c r="F77" s="228">
        <v>706.35</v>
      </c>
      <c r="G77" s="228">
        <v>-3.4</v>
      </c>
      <c r="H77" s="229">
        <v>-4.7999999999999996E-3</v>
      </c>
      <c r="I77" s="228">
        <v>701.1</v>
      </c>
      <c r="J77" s="228">
        <v>703.95</v>
      </c>
      <c r="K77" s="228">
        <v>-2.85</v>
      </c>
      <c r="L77" s="229">
        <v>-4.0000000000000001E-3</v>
      </c>
      <c r="M77" s="228">
        <v>702.95</v>
      </c>
      <c r="N77" s="228">
        <v>706.35</v>
      </c>
      <c r="O77" s="228">
        <v>-3.4</v>
      </c>
      <c r="P77" s="229">
        <v>-4.7999999999999996E-3</v>
      </c>
      <c r="Q77" s="228">
        <v>707.3</v>
      </c>
      <c r="R77" s="228">
        <v>710.85</v>
      </c>
      <c r="S77" s="228">
        <v>-3.55</v>
      </c>
      <c r="T77" s="229">
        <v>-5.0000000000000001E-3</v>
      </c>
      <c r="U77" s="228">
        <v>712.35</v>
      </c>
      <c r="V77" s="228">
        <v>716</v>
      </c>
      <c r="W77" s="228">
        <v>-3.65</v>
      </c>
      <c r="X77" s="229">
        <v>-5.1000000000000004E-3</v>
      </c>
      <c r="Y77" s="228">
        <v>1.85</v>
      </c>
      <c r="Z77" s="228">
        <v>2.4</v>
      </c>
      <c r="AA77" s="228">
        <v>-0.55000000000000004</v>
      </c>
      <c r="AB77" s="229">
        <v>2.5999999999999999E-3</v>
      </c>
      <c r="AC77" s="228">
        <v>1.85</v>
      </c>
      <c r="AD77" s="228">
        <v>2.4</v>
      </c>
      <c r="AE77" s="228">
        <v>-0.55000000000000004</v>
      </c>
      <c r="AF77" s="229">
        <v>2.5999999999999999E-3</v>
      </c>
      <c r="AG77" s="228">
        <v>6.2</v>
      </c>
      <c r="AH77" s="228">
        <v>6.9</v>
      </c>
      <c r="AI77" s="228">
        <v>-0.7</v>
      </c>
      <c r="AJ77" s="229">
        <v>8.8000000000000005E-3</v>
      </c>
      <c r="AK77" s="228">
        <v>11.25</v>
      </c>
      <c r="AL77" s="228">
        <v>12.05</v>
      </c>
      <c r="AM77" s="228">
        <v>-0.8</v>
      </c>
      <c r="AN77" s="229">
        <v>1.6E-2</v>
      </c>
      <c r="AO77" s="228">
        <v>703.66</v>
      </c>
      <c r="AP77" s="228">
        <v>708.09</v>
      </c>
      <c r="AQ77" s="228">
        <v>0</v>
      </c>
      <c r="AR77" s="230">
        <v>3977600</v>
      </c>
      <c r="AS77" s="230">
        <v>2816000</v>
      </c>
      <c r="AT77" s="230">
        <v>1161600</v>
      </c>
      <c r="AU77" s="229">
        <v>0.41249999999999998</v>
      </c>
      <c r="AV77" s="230">
        <v>3188900</v>
      </c>
      <c r="AW77" s="230">
        <v>2574000</v>
      </c>
      <c r="AX77" s="230">
        <v>614900</v>
      </c>
      <c r="AY77" s="229">
        <v>0.2389</v>
      </c>
      <c r="AZ77" s="230">
        <v>763400</v>
      </c>
      <c r="BA77" s="230">
        <v>231000</v>
      </c>
      <c r="BB77" s="230">
        <v>532400</v>
      </c>
      <c r="BC77" s="229">
        <v>2.3048000000000002</v>
      </c>
      <c r="BD77" s="230">
        <v>25300</v>
      </c>
      <c r="BE77" s="230">
        <v>11000</v>
      </c>
      <c r="BF77" s="230">
        <v>14300</v>
      </c>
      <c r="BG77" s="229">
        <v>1.3</v>
      </c>
      <c r="BH77" s="230">
        <v>9271900</v>
      </c>
      <c r="BI77" s="230">
        <v>9742700</v>
      </c>
      <c r="BJ77" s="230">
        <v>-470800</v>
      </c>
      <c r="BK77" s="229">
        <v>-4.8300000000000003E-2</v>
      </c>
      <c r="BL77" s="230">
        <v>3605800</v>
      </c>
      <c r="BM77" s="230">
        <v>3231800</v>
      </c>
      <c r="BN77" s="230">
        <v>374000</v>
      </c>
      <c r="BO77" s="229">
        <v>0.1157</v>
      </c>
      <c r="BP77" s="230">
        <v>16855300</v>
      </c>
      <c r="BQ77" s="230">
        <v>15790500</v>
      </c>
      <c r="BR77" s="230">
        <v>1064800</v>
      </c>
      <c r="BS77" s="229">
        <v>6.7400000000000002E-2</v>
      </c>
      <c r="BT77" s="230">
        <v>1912923</v>
      </c>
      <c r="BU77" s="230">
        <v>2469858</v>
      </c>
      <c r="BV77" s="230">
        <v>-556935</v>
      </c>
      <c r="BW77" s="229">
        <v>-0.22550000000000001</v>
      </c>
      <c r="BX77" s="230">
        <v>38634200</v>
      </c>
      <c r="BY77" s="230">
        <v>38194200</v>
      </c>
      <c r="BZ77" s="230">
        <v>440000</v>
      </c>
      <c r="CA77" s="229">
        <v>1.15E-2</v>
      </c>
      <c r="CB77" s="230">
        <v>36741100</v>
      </c>
      <c r="CC77" s="230">
        <v>36880800</v>
      </c>
      <c r="CD77" s="230">
        <v>-139700</v>
      </c>
      <c r="CE77" s="229">
        <v>-3.8E-3</v>
      </c>
      <c r="CF77" s="230">
        <v>1791900</v>
      </c>
      <c r="CG77" s="230">
        <v>1214400</v>
      </c>
      <c r="CH77" s="230">
        <v>577500</v>
      </c>
      <c r="CI77" s="229">
        <v>0.47549999999999998</v>
      </c>
      <c r="CJ77" s="230">
        <v>101200</v>
      </c>
      <c r="CK77" s="230">
        <v>99000</v>
      </c>
      <c r="CL77" s="230">
        <v>2200</v>
      </c>
      <c r="CM77" s="229">
        <v>2.2200000000000001E-2</v>
      </c>
      <c r="CN77" s="230">
        <v>15975300</v>
      </c>
      <c r="CO77" s="230">
        <v>15270200</v>
      </c>
      <c r="CP77" s="230">
        <v>705100</v>
      </c>
      <c r="CQ77" s="229">
        <v>4.6199999999999998E-2</v>
      </c>
      <c r="CR77" s="230">
        <v>6803500</v>
      </c>
      <c r="CS77" s="230">
        <v>6633000</v>
      </c>
      <c r="CT77" s="230">
        <v>170500</v>
      </c>
      <c r="CU77" s="229">
        <v>2.5700000000000001E-2</v>
      </c>
      <c r="CV77" s="230">
        <v>61413000</v>
      </c>
      <c r="CW77" s="230">
        <v>60097400</v>
      </c>
      <c r="CX77" s="230">
        <v>1315600</v>
      </c>
      <c r="CY77" s="229">
        <v>2.1899999999999999E-2</v>
      </c>
      <c r="CZ77" s="228">
        <v>21.37</v>
      </c>
      <c r="DA77" s="228">
        <v>20.79</v>
      </c>
      <c r="DB77" s="228">
        <v>0.57999999999999996</v>
      </c>
      <c r="DC77" s="228">
        <v>0.57999999999999996</v>
      </c>
      <c r="DD77" s="228">
        <v>24.47</v>
      </c>
      <c r="DE77" s="228">
        <v>24.53</v>
      </c>
      <c r="DF77" s="228">
        <v>-3.1</v>
      </c>
      <c r="DG77" s="228">
        <v>-0.06</v>
      </c>
      <c r="DH77" s="228">
        <v>21.66</v>
      </c>
      <c r="DI77" s="228">
        <v>20.84</v>
      </c>
      <c r="DJ77" s="228">
        <v>0.82</v>
      </c>
      <c r="DK77" s="228">
        <v>0.82</v>
      </c>
      <c r="DL77" s="228">
        <v>20.6</v>
      </c>
      <c r="DM77" s="228">
        <v>20.65</v>
      </c>
      <c r="DN77" s="228">
        <v>-0.05</v>
      </c>
      <c r="DO77" s="228">
        <v>-0.05</v>
      </c>
      <c r="DP77" s="228">
        <v>0.43</v>
      </c>
      <c r="DQ77" s="228">
        <v>0.43</v>
      </c>
      <c r="DR77" s="228">
        <v>0</v>
      </c>
      <c r="DS77" s="229">
        <v>0</v>
      </c>
      <c r="DT77" s="228">
        <v>740</v>
      </c>
      <c r="DU77" s="228">
        <v>700</v>
      </c>
      <c r="DV77" s="228">
        <v>0.39</v>
      </c>
      <c r="DW77" s="228">
        <v>0.33</v>
      </c>
      <c r="DX77" s="228">
        <v>0.06</v>
      </c>
      <c r="DY77" s="229">
        <v>0.18179999999999999</v>
      </c>
      <c r="DZ77" s="229">
        <v>4.9000000000000002E-2</v>
      </c>
      <c r="EA77" s="230">
        <v>1313400</v>
      </c>
      <c r="EB77" s="229">
        <v>6.1999999999999998E-3</v>
      </c>
      <c r="EC77" s="229">
        <v>4.9000000000000002E-2</v>
      </c>
      <c r="ED77" s="228">
        <v>4.43</v>
      </c>
      <c r="EE77" s="229">
        <v>6.3E-3</v>
      </c>
      <c r="EF77" s="230">
        <v>1130299</v>
      </c>
      <c r="EG77" s="230">
        <v>1717488</v>
      </c>
      <c r="EH77" s="229">
        <v>-0.34189999999999998</v>
      </c>
      <c r="EI77" s="229">
        <v>0.59089999999999998</v>
      </c>
      <c r="EJ77" s="231">
        <v>67636.83</v>
      </c>
      <c r="EK77" s="231">
        <v>25348.22</v>
      </c>
      <c r="EL77" s="231">
        <v>28024.92</v>
      </c>
      <c r="EM77" s="231">
        <v>3546</v>
      </c>
      <c r="EN77" s="231">
        <v>121009.97</v>
      </c>
      <c r="EO77" s="231">
        <v>114169.35</v>
      </c>
      <c r="EP77" s="231">
        <v>6840.62</v>
      </c>
      <c r="EQ77" s="229">
        <v>5.9900000000000002E-2</v>
      </c>
      <c r="ER77" s="231">
        <v>119278</v>
      </c>
      <c r="ES77" s="231">
        <v>47226</v>
      </c>
      <c r="ET77" s="231">
        <v>271667</v>
      </c>
      <c r="EU77" s="231">
        <v>128849634</v>
      </c>
      <c r="EV77" s="231">
        <v>438171</v>
      </c>
      <c r="EW77" s="231">
        <v>430343</v>
      </c>
      <c r="EX77" s="231">
        <v>7828</v>
      </c>
      <c r="EY77" s="229">
        <v>1.8200000000000001E-2</v>
      </c>
      <c r="EZ77" s="229">
        <v>0.47660000000000002</v>
      </c>
      <c r="FA77" s="227" t="s">
        <v>567</v>
      </c>
      <c r="FB77" s="161">
        <f t="shared" si="1"/>
        <v>1893100</v>
      </c>
    </row>
    <row r="78" spans="1:158" ht="17.25" hidden="1" thickBot="1" x14ac:dyDescent="0.3">
      <c r="A78" s="226">
        <v>46064</v>
      </c>
      <c r="B78" s="227" t="s">
        <v>162</v>
      </c>
      <c r="C78" s="227" t="s">
        <v>226</v>
      </c>
      <c r="D78" s="228">
        <v>150</v>
      </c>
      <c r="E78" s="231">
        <v>5700.5</v>
      </c>
      <c r="F78" s="231">
        <v>5664</v>
      </c>
      <c r="G78" s="228">
        <v>36.5</v>
      </c>
      <c r="H78" s="229">
        <v>6.4000000000000003E-3</v>
      </c>
      <c r="I78" s="231">
        <v>5682.5</v>
      </c>
      <c r="J78" s="231">
        <v>5753.5</v>
      </c>
      <c r="K78" s="228">
        <v>-71</v>
      </c>
      <c r="L78" s="229">
        <v>-1.23E-2</v>
      </c>
      <c r="M78" s="231">
        <v>5700.5</v>
      </c>
      <c r="N78" s="231">
        <v>5664</v>
      </c>
      <c r="O78" s="228">
        <v>36.5</v>
      </c>
      <c r="P78" s="229">
        <v>6.4000000000000003E-3</v>
      </c>
      <c r="Q78" s="231">
        <v>5734.5</v>
      </c>
      <c r="R78" s="231">
        <v>5695</v>
      </c>
      <c r="S78" s="228">
        <v>39.5</v>
      </c>
      <c r="T78" s="229">
        <v>6.8999999999999999E-3</v>
      </c>
      <c r="U78" s="231">
        <v>5772</v>
      </c>
      <c r="V78" s="231">
        <v>5726.5</v>
      </c>
      <c r="W78" s="228">
        <v>45.5</v>
      </c>
      <c r="X78" s="229">
        <v>7.9000000000000008E-3</v>
      </c>
      <c r="Y78" s="228">
        <v>18</v>
      </c>
      <c r="Z78" s="228">
        <v>-89.5</v>
      </c>
      <c r="AA78" s="228">
        <v>107.5</v>
      </c>
      <c r="AB78" s="229">
        <v>3.2000000000000002E-3</v>
      </c>
      <c r="AC78" s="228">
        <v>18</v>
      </c>
      <c r="AD78" s="228">
        <v>-89.5</v>
      </c>
      <c r="AE78" s="228">
        <v>107.5</v>
      </c>
      <c r="AF78" s="229">
        <v>3.2000000000000002E-3</v>
      </c>
      <c r="AG78" s="228">
        <v>52</v>
      </c>
      <c r="AH78" s="228">
        <v>-58.5</v>
      </c>
      <c r="AI78" s="228">
        <v>110.5</v>
      </c>
      <c r="AJ78" s="229">
        <v>9.1999999999999998E-3</v>
      </c>
      <c r="AK78" s="228">
        <v>89.5</v>
      </c>
      <c r="AL78" s="228">
        <v>-27</v>
      </c>
      <c r="AM78" s="228">
        <v>116.5</v>
      </c>
      <c r="AN78" s="229">
        <v>1.5800000000000002E-2</v>
      </c>
      <c r="AO78" s="231">
        <v>5690.31</v>
      </c>
      <c r="AP78" s="231">
        <v>5739.36</v>
      </c>
      <c r="AQ78" s="228">
        <v>0</v>
      </c>
      <c r="AR78" s="230">
        <v>1659450</v>
      </c>
      <c r="AS78" s="230">
        <v>1189950</v>
      </c>
      <c r="AT78" s="230">
        <v>469500</v>
      </c>
      <c r="AU78" s="229">
        <v>0.39460000000000001</v>
      </c>
      <c r="AV78" s="230">
        <v>1578750</v>
      </c>
      <c r="AW78" s="230">
        <v>1142700</v>
      </c>
      <c r="AX78" s="230">
        <v>436050</v>
      </c>
      <c r="AY78" s="229">
        <v>0.38159999999999999</v>
      </c>
      <c r="AZ78" s="230">
        <v>71400</v>
      </c>
      <c r="BA78" s="230">
        <v>45000</v>
      </c>
      <c r="BB78" s="230">
        <v>26400</v>
      </c>
      <c r="BC78" s="229">
        <v>0.5867</v>
      </c>
      <c r="BD78" s="230">
        <v>9300</v>
      </c>
      <c r="BE78" s="230">
        <v>2250</v>
      </c>
      <c r="BF78" s="230">
        <v>7050</v>
      </c>
      <c r="BG78" s="229">
        <v>3.1333000000000002</v>
      </c>
      <c r="BH78" s="230">
        <v>8681250</v>
      </c>
      <c r="BI78" s="230">
        <v>6137850</v>
      </c>
      <c r="BJ78" s="230">
        <v>2543400</v>
      </c>
      <c r="BK78" s="229">
        <v>0.41439999999999999</v>
      </c>
      <c r="BL78" s="230">
        <v>3454350</v>
      </c>
      <c r="BM78" s="230">
        <v>2056050</v>
      </c>
      <c r="BN78" s="230">
        <v>1398300</v>
      </c>
      <c r="BO78" s="229">
        <v>0.68010000000000004</v>
      </c>
      <c r="BP78" s="230">
        <v>13795050</v>
      </c>
      <c r="BQ78" s="230">
        <v>9383850</v>
      </c>
      <c r="BR78" s="230">
        <v>4411200</v>
      </c>
      <c r="BS78" s="229">
        <v>0.47010000000000002</v>
      </c>
      <c r="BT78" s="230">
        <v>696704</v>
      </c>
      <c r="BU78" s="230">
        <v>838236</v>
      </c>
      <c r="BV78" s="230">
        <v>-141532</v>
      </c>
      <c r="BW78" s="229">
        <v>-0.16880000000000001</v>
      </c>
      <c r="BX78" s="230">
        <v>3740700</v>
      </c>
      <c r="BY78" s="230">
        <v>3892650</v>
      </c>
      <c r="BZ78" s="230">
        <v>-151950</v>
      </c>
      <c r="CA78" s="229">
        <v>-3.9E-2</v>
      </c>
      <c r="CB78" s="230">
        <v>3617100</v>
      </c>
      <c r="CC78" s="230">
        <v>3782400</v>
      </c>
      <c r="CD78" s="230">
        <v>-165300</v>
      </c>
      <c r="CE78" s="229">
        <v>-4.3700000000000003E-2</v>
      </c>
      <c r="CF78" s="230">
        <v>111300</v>
      </c>
      <c r="CG78" s="230">
        <v>99300</v>
      </c>
      <c r="CH78" s="230">
        <v>12000</v>
      </c>
      <c r="CI78" s="229">
        <v>0.1208</v>
      </c>
      <c r="CJ78" s="230">
        <v>12300</v>
      </c>
      <c r="CK78" s="230">
        <v>10950</v>
      </c>
      <c r="CL78" s="230">
        <v>1350</v>
      </c>
      <c r="CM78" s="229">
        <v>0.12330000000000001</v>
      </c>
      <c r="CN78" s="230">
        <v>3206400</v>
      </c>
      <c r="CO78" s="230">
        <v>3557550</v>
      </c>
      <c r="CP78" s="230">
        <v>-351150</v>
      </c>
      <c r="CQ78" s="229">
        <v>-9.8699999999999996E-2</v>
      </c>
      <c r="CR78" s="230">
        <v>1970100</v>
      </c>
      <c r="CS78" s="230">
        <v>1977150</v>
      </c>
      <c r="CT78" s="230">
        <v>-7050</v>
      </c>
      <c r="CU78" s="229">
        <v>-3.5999999999999999E-3</v>
      </c>
      <c r="CV78" s="230">
        <v>8917200</v>
      </c>
      <c r="CW78" s="230">
        <v>9427350</v>
      </c>
      <c r="CX78" s="230">
        <v>-510150</v>
      </c>
      <c r="CY78" s="229">
        <v>-5.4100000000000002E-2</v>
      </c>
      <c r="CZ78" s="228">
        <v>26.66</v>
      </c>
      <c r="DA78" s="228">
        <v>27.8</v>
      </c>
      <c r="DB78" s="228">
        <v>-1.1399999999999999</v>
      </c>
      <c r="DC78" s="228">
        <v>-1.1399999999999999</v>
      </c>
      <c r="DD78" s="228">
        <v>29.76</v>
      </c>
      <c r="DE78" s="228">
        <v>29.82</v>
      </c>
      <c r="DF78" s="228">
        <v>-3.1</v>
      </c>
      <c r="DG78" s="228">
        <v>-0.06</v>
      </c>
      <c r="DH78" s="228">
        <v>26.54</v>
      </c>
      <c r="DI78" s="228">
        <v>27.8</v>
      </c>
      <c r="DJ78" s="228">
        <v>-1.26</v>
      </c>
      <c r="DK78" s="228">
        <v>-1.26</v>
      </c>
      <c r="DL78" s="228">
        <v>26.96</v>
      </c>
      <c r="DM78" s="228">
        <v>27.8</v>
      </c>
      <c r="DN78" s="228">
        <v>-0.84</v>
      </c>
      <c r="DO78" s="228">
        <v>-0.84</v>
      </c>
      <c r="DP78" s="228">
        <v>0.61</v>
      </c>
      <c r="DQ78" s="228">
        <v>0.56000000000000005</v>
      </c>
      <c r="DR78" s="228">
        <v>0.05</v>
      </c>
      <c r="DS78" s="229">
        <v>8.9300000000000004E-2</v>
      </c>
      <c r="DT78" s="231">
        <v>5800</v>
      </c>
      <c r="DU78" s="231">
        <v>5700</v>
      </c>
      <c r="DV78" s="228">
        <v>0.4</v>
      </c>
      <c r="DW78" s="228">
        <v>0.33</v>
      </c>
      <c r="DX78" s="228">
        <v>7.0000000000000007E-2</v>
      </c>
      <c r="DY78" s="229">
        <v>0.21210000000000001</v>
      </c>
      <c r="DZ78" s="229">
        <v>3.3000000000000002E-2</v>
      </c>
      <c r="EA78" s="230">
        <v>110250</v>
      </c>
      <c r="EB78" s="229">
        <v>6.0000000000000001E-3</v>
      </c>
      <c r="EC78" s="229">
        <v>3.3000000000000002E-2</v>
      </c>
      <c r="ED78" s="228">
        <v>49.05</v>
      </c>
      <c r="EE78" s="229">
        <v>8.6E-3</v>
      </c>
      <c r="EF78" s="230">
        <v>242725</v>
      </c>
      <c r="EG78" s="230">
        <v>516703</v>
      </c>
      <c r="EH78" s="229">
        <v>-0.5302</v>
      </c>
      <c r="EI78" s="229">
        <v>0.34839999999999999</v>
      </c>
      <c r="EJ78" s="231">
        <v>514483.47</v>
      </c>
      <c r="EK78" s="231">
        <v>193968.61</v>
      </c>
      <c r="EL78" s="231">
        <v>94471.17</v>
      </c>
      <c r="EM78" s="231">
        <v>7486</v>
      </c>
      <c r="EN78" s="231">
        <v>802923.25</v>
      </c>
      <c r="EO78" s="231">
        <v>547198.9</v>
      </c>
      <c r="EP78" s="231">
        <v>255724.35</v>
      </c>
      <c r="EQ78" s="229">
        <v>0.46729999999999999</v>
      </c>
      <c r="ER78" s="231">
        <v>191070</v>
      </c>
      <c r="ES78" s="231">
        <v>105506</v>
      </c>
      <c r="ET78" s="231">
        <v>213285</v>
      </c>
      <c r="EU78" s="231">
        <v>19586951</v>
      </c>
      <c r="EV78" s="231">
        <v>509861</v>
      </c>
      <c r="EW78" s="231">
        <v>538118</v>
      </c>
      <c r="EX78" s="231">
        <v>-28257</v>
      </c>
      <c r="EY78" s="229">
        <v>-5.2499999999999998E-2</v>
      </c>
      <c r="EZ78" s="229">
        <v>0.45529999999999998</v>
      </c>
      <c r="FA78" s="227" t="s">
        <v>556</v>
      </c>
      <c r="FB78" s="161">
        <f t="shared" si="1"/>
        <v>123600</v>
      </c>
    </row>
    <row r="79" spans="1:158" ht="17.25" hidden="1" thickBot="1" x14ac:dyDescent="0.3">
      <c r="A79" s="226">
        <v>46064</v>
      </c>
      <c r="B79" s="227" t="s">
        <v>227</v>
      </c>
      <c r="C79" s="227" t="s">
        <v>228</v>
      </c>
      <c r="D79" s="228">
        <v>700</v>
      </c>
      <c r="E79" s="228">
        <v>964.85</v>
      </c>
      <c r="F79" s="228">
        <v>968.2</v>
      </c>
      <c r="G79" s="228">
        <v>-3.35</v>
      </c>
      <c r="H79" s="229">
        <v>-3.5000000000000001E-3</v>
      </c>
      <c r="I79" s="228">
        <v>965.95</v>
      </c>
      <c r="J79" s="228">
        <v>968.9</v>
      </c>
      <c r="K79" s="228">
        <v>-2.95</v>
      </c>
      <c r="L79" s="229">
        <v>-3.0000000000000001E-3</v>
      </c>
      <c r="M79" s="228">
        <v>964.85</v>
      </c>
      <c r="N79" s="228">
        <v>968.2</v>
      </c>
      <c r="O79" s="228">
        <v>-3.35</v>
      </c>
      <c r="P79" s="229">
        <v>-3.5000000000000001E-3</v>
      </c>
      <c r="Q79" s="228">
        <v>970.5</v>
      </c>
      <c r="R79" s="228">
        <v>973.35</v>
      </c>
      <c r="S79" s="228">
        <v>-2.85</v>
      </c>
      <c r="T79" s="229">
        <v>-2.8999999999999998E-3</v>
      </c>
      <c r="U79" s="228">
        <v>976.1</v>
      </c>
      <c r="V79" s="228">
        <v>979.15</v>
      </c>
      <c r="W79" s="228">
        <v>-3.05</v>
      </c>
      <c r="X79" s="229">
        <v>-3.0999999999999999E-3</v>
      </c>
      <c r="Y79" s="228">
        <v>-1.1000000000000001</v>
      </c>
      <c r="Z79" s="228">
        <v>-0.7</v>
      </c>
      <c r="AA79" s="228">
        <v>-0.4</v>
      </c>
      <c r="AB79" s="229">
        <v>-1.1000000000000001E-3</v>
      </c>
      <c r="AC79" s="228">
        <v>-1.1000000000000001</v>
      </c>
      <c r="AD79" s="228">
        <v>-0.7</v>
      </c>
      <c r="AE79" s="228">
        <v>-0.4</v>
      </c>
      <c r="AF79" s="229">
        <v>-1.1000000000000001E-3</v>
      </c>
      <c r="AG79" s="228">
        <v>4.55</v>
      </c>
      <c r="AH79" s="228">
        <v>4.45</v>
      </c>
      <c r="AI79" s="228">
        <v>0.1</v>
      </c>
      <c r="AJ79" s="229">
        <v>4.7000000000000002E-3</v>
      </c>
      <c r="AK79" s="228">
        <v>10.15</v>
      </c>
      <c r="AL79" s="228">
        <v>10.25</v>
      </c>
      <c r="AM79" s="228">
        <v>-0.1</v>
      </c>
      <c r="AN79" s="229">
        <v>1.0500000000000001E-2</v>
      </c>
      <c r="AO79" s="228">
        <v>958.89</v>
      </c>
      <c r="AP79" s="228">
        <v>962.48</v>
      </c>
      <c r="AQ79" s="228">
        <v>0</v>
      </c>
      <c r="AR79" s="230">
        <v>12015500</v>
      </c>
      <c r="AS79" s="230">
        <v>6001800</v>
      </c>
      <c r="AT79" s="230">
        <v>6013700</v>
      </c>
      <c r="AU79" s="229">
        <v>1.002</v>
      </c>
      <c r="AV79" s="230">
        <v>11013100</v>
      </c>
      <c r="AW79" s="230">
        <v>5591600</v>
      </c>
      <c r="AX79" s="230">
        <v>5421500</v>
      </c>
      <c r="AY79" s="229">
        <v>0.96960000000000002</v>
      </c>
      <c r="AZ79" s="230">
        <v>943600</v>
      </c>
      <c r="BA79" s="230">
        <v>370300</v>
      </c>
      <c r="BB79" s="230">
        <v>573300</v>
      </c>
      <c r="BC79" s="229">
        <v>1.5482</v>
      </c>
      <c r="BD79" s="230">
        <v>58800</v>
      </c>
      <c r="BE79" s="230">
        <v>39900</v>
      </c>
      <c r="BF79" s="230">
        <v>18900</v>
      </c>
      <c r="BG79" s="229">
        <v>0.47370000000000001</v>
      </c>
      <c r="BH79" s="230">
        <v>23634100</v>
      </c>
      <c r="BI79" s="230">
        <v>14264600</v>
      </c>
      <c r="BJ79" s="230">
        <v>9369500</v>
      </c>
      <c r="BK79" s="229">
        <v>0.65680000000000005</v>
      </c>
      <c r="BL79" s="230">
        <v>14008400</v>
      </c>
      <c r="BM79" s="230">
        <v>6344800</v>
      </c>
      <c r="BN79" s="230">
        <v>7663600</v>
      </c>
      <c r="BO79" s="229">
        <v>1.2079</v>
      </c>
      <c r="BP79" s="230">
        <v>49658000</v>
      </c>
      <c r="BQ79" s="230">
        <v>26611200</v>
      </c>
      <c r="BR79" s="230">
        <v>23046800</v>
      </c>
      <c r="BS79" s="229">
        <v>0.86609999999999998</v>
      </c>
      <c r="BT79" s="230">
        <v>6426219</v>
      </c>
      <c r="BU79" s="230">
        <v>4299409</v>
      </c>
      <c r="BV79" s="230">
        <v>2126810</v>
      </c>
      <c r="BW79" s="229">
        <v>0.49469999999999997</v>
      </c>
      <c r="BX79" s="230">
        <v>46258800</v>
      </c>
      <c r="BY79" s="230">
        <v>45510500</v>
      </c>
      <c r="BZ79" s="230">
        <v>748300</v>
      </c>
      <c r="CA79" s="229">
        <v>1.6400000000000001E-2</v>
      </c>
      <c r="CB79" s="230">
        <v>43402800</v>
      </c>
      <c r="CC79" s="230">
        <v>43094800</v>
      </c>
      <c r="CD79" s="230">
        <v>308000</v>
      </c>
      <c r="CE79" s="229">
        <v>7.1000000000000004E-3</v>
      </c>
      <c r="CF79" s="230">
        <v>2675400</v>
      </c>
      <c r="CG79" s="230">
        <v>2251900</v>
      </c>
      <c r="CH79" s="230">
        <v>423500</v>
      </c>
      <c r="CI79" s="229">
        <v>0.18809999999999999</v>
      </c>
      <c r="CJ79" s="230">
        <v>180600</v>
      </c>
      <c r="CK79" s="230">
        <v>163800</v>
      </c>
      <c r="CL79" s="230">
        <v>16800</v>
      </c>
      <c r="CM79" s="229">
        <v>0.1026</v>
      </c>
      <c r="CN79" s="230">
        <v>13443500</v>
      </c>
      <c r="CO79" s="230">
        <v>12527900</v>
      </c>
      <c r="CP79" s="230">
        <v>915600</v>
      </c>
      <c r="CQ79" s="229">
        <v>7.3099999999999998E-2</v>
      </c>
      <c r="CR79" s="230">
        <v>10687600</v>
      </c>
      <c r="CS79" s="230">
        <v>9368100</v>
      </c>
      <c r="CT79" s="230">
        <v>1319500</v>
      </c>
      <c r="CU79" s="229">
        <v>0.1409</v>
      </c>
      <c r="CV79" s="230">
        <v>70389900</v>
      </c>
      <c r="CW79" s="230">
        <v>67406500</v>
      </c>
      <c r="CX79" s="230">
        <v>2983400</v>
      </c>
      <c r="CY79" s="229">
        <v>4.4299999999999999E-2</v>
      </c>
      <c r="CZ79" s="228">
        <v>46.57</v>
      </c>
      <c r="DA79" s="228">
        <v>42.82</v>
      </c>
      <c r="DB79" s="228">
        <v>3.75</v>
      </c>
      <c r="DC79" s="228">
        <v>3.75</v>
      </c>
      <c r="DD79" s="228">
        <v>34.479999999999997</v>
      </c>
      <c r="DE79" s="228">
        <v>34.57</v>
      </c>
      <c r="DF79" s="228">
        <v>12.09</v>
      </c>
      <c r="DG79" s="228">
        <v>-0.09</v>
      </c>
      <c r="DH79" s="228">
        <v>46.37</v>
      </c>
      <c r="DI79" s="228">
        <v>42.64</v>
      </c>
      <c r="DJ79" s="228">
        <v>3.73</v>
      </c>
      <c r="DK79" s="228">
        <v>3.73</v>
      </c>
      <c r="DL79" s="228">
        <v>46.92</v>
      </c>
      <c r="DM79" s="228">
        <v>43.23</v>
      </c>
      <c r="DN79" s="228">
        <v>3.69</v>
      </c>
      <c r="DO79" s="228">
        <v>3.69</v>
      </c>
      <c r="DP79" s="228">
        <v>0.8</v>
      </c>
      <c r="DQ79" s="228">
        <v>0.75</v>
      </c>
      <c r="DR79" s="228">
        <v>0.05</v>
      </c>
      <c r="DS79" s="229">
        <v>6.6699999999999995E-2</v>
      </c>
      <c r="DT79" s="231">
        <v>1000</v>
      </c>
      <c r="DU79" s="228">
        <v>900</v>
      </c>
      <c r="DV79" s="228">
        <v>0.59</v>
      </c>
      <c r="DW79" s="228">
        <v>0.44</v>
      </c>
      <c r="DX79" s="228">
        <v>0.15</v>
      </c>
      <c r="DY79" s="229">
        <v>0.34089999999999998</v>
      </c>
      <c r="DZ79" s="229">
        <v>6.1699999999999998E-2</v>
      </c>
      <c r="EA79" s="230">
        <v>2415700</v>
      </c>
      <c r="EB79" s="229">
        <v>5.8999999999999999E-3</v>
      </c>
      <c r="EC79" s="229">
        <v>6.1699999999999998E-2</v>
      </c>
      <c r="ED79" s="228">
        <v>3.59</v>
      </c>
      <c r="EE79" s="229">
        <v>3.7000000000000002E-3</v>
      </c>
      <c r="EF79" s="230">
        <v>3658635</v>
      </c>
      <c r="EG79" s="230">
        <v>2389792</v>
      </c>
      <c r="EH79" s="229">
        <v>0.53090000000000004</v>
      </c>
      <c r="EI79" s="229">
        <v>0.56930000000000003</v>
      </c>
      <c r="EJ79" s="231">
        <v>239718.56</v>
      </c>
      <c r="EK79" s="231">
        <v>133971.20000000001</v>
      </c>
      <c r="EL79" s="231">
        <v>115255.13</v>
      </c>
      <c r="EM79" s="231">
        <v>9554</v>
      </c>
      <c r="EN79" s="231">
        <v>488944.89</v>
      </c>
      <c r="EO79" s="231">
        <v>264387.28999999998</v>
      </c>
      <c r="EP79" s="231">
        <v>224557.6</v>
      </c>
      <c r="EQ79" s="229">
        <v>0.84940000000000004</v>
      </c>
      <c r="ER79" s="231">
        <v>134651</v>
      </c>
      <c r="ES79" s="231">
        <v>97705</v>
      </c>
      <c r="ET79" s="231">
        <v>446500</v>
      </c>
      <c r="EU79" s="231">
        <v>212176873</v>
      </c>
      <c r="EV79" s="231">
        <v>678855</v>
      </c>
      <c r="EW79" s="231">
        <v>651459</v>
      </c>
      <c r="EX79" s="231">
        <v>27396</v>
      </c>
      <c r="EY79" s="229">
        <v>4.2099999999999999E-2</v>
      </c>
      <c r="EZ79" s="229">
        <v>0.33179999999999998</v>
      </c>
      <c r="FA79" s="227" t="s">
        <v>567</v>
      </c>
      <c r="FB79" s="161">
        <f t="shared" si="1"/>
        <v>2856000</v>
      </c>
    </row>
    <row r="80" spans="1:158" ht="17.25" hidden="1" thickBot="1" x14ac:dyDescent="0.3">
      <c r="A80" s="226">
        <v>46064</v>
      </c>
      <c r="B80" s="227" t="s">
        <v>193</v>
      </c>
      <c r="C80" s="227" t="s">
        <v>229</v>
      </c>
      <c r="D80" s="228">
        <v>2025</v>
      </c>
      <c r="E80" s="228">
        <v>462.1</v>
      </c>
      <c r="F80" s="228">
        <v>462.25</v>
      </c>
      <c r="G80" s="228">
        <v>-0.15</v>
      </c>
      <c r="H80" s="229">
        <v>-2.9999999999999997E-4</v>
      </c>
      <c r="I80" s="228">
        <v>461.75</v>
      </c>
      <c r="J80" s="228">
        <v>461.25</v>
      </c>
      <c r="K80" s="228">
        <v>0.5</v>
      </c>
      <c r="L80" s="229">
        <v>1.1000000000000001E-3</v>
      </c>
      <c r="M80" s="228">
        <v>462.1</v>
      </c>
      <c r="N80" s="228">
        <v>462.25</v>
      </c>
      <c r="O80" s="228">
        <v>-0.15</v>
      </c>
      <c r="P80" s="229">
        <v>-2.9999999999999997E-4</v>
      </c>
      <c r="Q80" s="228">
        <v>464.7</v>
      </c>
      <c r="R80" s="228">
        <v>464.85</v>
      </c>
      <c r="S80" s="228">
        <v>-0.15</v>
      </c>
      <c r="T80" s="229">
        <v>-2.9999999999999997E-4</v>
      </c>
      <c r="U80" s="228">
        <v>466</v>
      </c>
      <c r="V80" s="228">
        <v>466.2</v>
      </c>
      <c r="W80" s="228">
        <v>-0.2</v>
      </c>
      <c r="X80" s="229">
        <v>-4.0000000000000002E-4</v>
      </c>
      <c r="Y80" s="228">
        <v>0.35</v>
      </c>
      <c r="Z80" s="228">
        <v>1</v>
      </c>
      <c r="AA80" s="228">
        <v>-0.65</v>
      </c>
      <c r="AB80" s="229">
        <v>8.0000000000000004E-4</v>
      </c>
      <c r="AC80" s="228">
        <v>0.35</v>
      </c>
      <c r="AD80" s="228">
        <v>1</v>
      </c>
      <c r="AE80" s="228">
        <v>-0.65</v>
      </c>
      <c r="AF80" s="229">
        <v>8.0000000000000004E-4</v>
      </c>
      <c r="AG80" s="228">
        <v>2.95</v>
      </c>
      <c r="AH80" s="228">
        <v>3.6</v>
      </c>
      <c r="AI80" s="228">
        <v>-0.65</v>
      </c>
      <c r="AJ80" s="229">
        <v>6.4000000000000003E-3</v>
      </c>
      <c r="AK80" s="228">
        <v>4.25</v>
      </c>
      <c r="AL80" s="228">
        <v>4.95</v>
      </c>
      <c r="AM80" s="228">
        <v>-0.7</v>
      </c>
      <c r="AN80" s="229">
        <v>9.1999999999999998E-3</v>
      </c>
      <c r="AO80" s="228">
        <v>462.95</v>
      </c>
      <c r="AP80" s="228">
        <v>465.76</v>
      </c>
      <c r="AQ80" s="228">
        <v>0</v>
      </c>
      <c r="AR80" s="230">
        <v>4540050</v>
      </c>
      <c r="AS80" s="230">
        <v>4268700</v>
      </c>
      <c r="AT80" s="230">
        <v>271350</v>
      </c>
      <c r="AU80" s="229">
        <v>6.3600000000000004E-2</v>
      </c>
      <c r="AV80" s="230">
        <v>4244400</v>
      </c>
      <c r="AW80" s="230">
        <v>4096575</v>
      </c>
      <c r="AX80" s="230">
        <v>147825</v>
      </c>
      <c r="AY80" s="229">
        <v>3.61E-2</v>
      </c>
      <c r="AZ80" s="230">
        <v>261225</v>
      </c>
      <c r="BA80" s="230">
        <v>151875</v>
      </c>
      <c r="BB80" s="230">
        <v>109350</v>
      </c>
      <c r="BC80" s="229">
        <v>0.72</v>
      </c>
      <c r="BD80" s="230">
        <v>34425</v>
      </c>
      <c r="BE80" s="230">
        <v>20250</v>
      </c>
      <c r="BF80" s="230">
        <v>14175</v>
      </c>
      <c r="BG80" s="229">
        <v>0.7</v>
      </c>
      <c r="BH80" s="230">
        <v>14612400</v>
      </c>
      <c r="BI80" s="230">
        <v>13508775</v>
      </c>
      <c r="BJ80" s="230">
        <v>1103625</v>
      </c>
      <c r="BK80" s="229">
        <v>8.1699999999999995E-2</v>
      </c>
      <c r="BL80" s="230">
        <v>4139100</v>
      </c>
      <c r="BM80" s="230">
        <v>5194125</v>
      </c>
      <c r="BN80" s="230">
        <v>-1055025</v>
      </c>
      <c r="BO80" s="229">
        <v>-0.2031</v>
      </c>
      <c r="BP80" s="230">
        <v>23291550</v>
      </c>
      <c r="BQ80" s="230">
        <v>22971600</v>
      </c>
      <c r="BR80" s="230">
        <v>319950</v>
      </c>
      <c r="BS80" s="229">
        <v>1.3899999999999999E-2</v>
      </c>
      <c r="BT80" s="230">
        <v>3070406</v>
      </c>
      <c r="BU80" s="230">
        <v>2751252</v>
      </c>
      <c r="BV80" s="230">
        <v>319154</v>
      </c>
      <c r="BW80" s="229">
        <v>0.11600000000000001</v>
      </c>
      <c r="BX80" s="230">
        <v>38944800</v>
      </c>
      <c r="BY80" s="230">
        <v>38693700</v>
      </c>
      <c r="BZ80" s="230">
        <v>251100</v>
      </c>
      <c r="CA80" s="229">
        <v>6.4999999999999997E-3</v>
      </c>
      <c r="CB80" s="230">
        <v>38053800</v>
      </c>
      <c r="CC80" s="230">
        <v>37881675</v>
      </c>
      <c r="CD80" s="230">
        <v>172125</v>
      </c>
      <c r="CE80" s="229">
        <v>4.4999999999999997E-3</v>
      </c>
      <c r="CF80" s="230">
        <v>765450</v>
      </c>
      <c r="CG80" s="230">
        <v>698625</v>
      </c>
      <c r="CH80" s="230">
        <v>66825</v>
      </c>
      <c r="CI80" s="229">
        <v>9.5699999999999993E-2</v>
      </c>
      <c r="CJ80" s="230">
        <v>125550</v>
      </c>
      <c r="CK80" s="230">
        <v>113400</v>
      </c>
      <c r="CL80" s="230">
        <v>12150</v>
      </c>
      <c r="CM80" s="229">
        <v>0.1071</v>
      </c>
      <c r="CN80" s="230">
        <v>16100775</v>
      </c>
      <c r="CO80" s="230">
        <v>16015725</v>
      </c>
      <c r="CP80" s="230">
        <v>85050</v>
      </c>
      <c r="CQ80" s="229">
        <v>5.3E-3</v>
      </c>
      <c r="CR80" s="230">
        <v>10617075</v>
      </c>
      <c r="CS80" s="230">
        <v>10730475</v>
      </c>
      <c r="CT80" s="230">
        <v>-113400</v>
      </c>
      <c r="CU80" s="229">
        <v>-1.06E-2</v>
      </c>
      <c r="CV80" s="230">
        <v>65662650</v>
      </c>
      <c r="CW80" s="230">
        <v>65439900</v>
      </c>
      <c r="CX80" s="230">
        <v>222750</v>
      </c>
      <c r="CY80" s="229">
        <v>3.3999999999999998E-3</v>
      </c>
      <c r="CZ80" s="228">
        <v>31.66</v>
      </c>
      <c r="DA80" s="228">
        <v>33.130000000000003</v>
      </c>
      <c r="DB80" s="228">
        <v>-1.47</v>
      </c>
      <c r="DC80" s="228">
        <v>-1.47</v>
      </c>
      <c r="DD80" s="228">
        <v>38.56</v>
      </c>
      <c r="DE80" s="228">
        <v>38.659999999999997</v>
      </c>
      <c r="DF80" s="228">
        <v>-6.9</v>
      </c>
      <c r="DG80" s="228">
        <v>-0.1</v>
      </c>
      <c r="DH80" s="228">
        <v>31.28</v>
      </c>
      <c r="DI80" s="228">
        <v>32.57</v>
      </c>
      <c r="DJ80" s="228">
        <v>-1.29</v>
      </c>
      <c r="DK80" s="228">
        <v>-1.29</v>
      </c>
      <c r="DL80" s="228">
        <v>33</v>
      </c>
      <c r="DM80" s="228">
        <v>34.6</v>
      </c>
      <c r="DN80" s="228">
        <v>-1.6</v>
      </c>
      <c r="DO80" s="228">
        <v>-1.6</v>
      </c>
      <c r="DP80" s="228">
        <v>0.66</v>
      </c>
      <c r="DQ80" s="228">
        <v>0.67</v>
      </c>
      <c r="DR80" s="228">
        <v>-0.01</v>
      </c>
      <c r="DS80" s="229">
        <v>-1.49E-2</v>
      </c>
      <c r="DT80" s="228">
        <v>460</v>
      </c>
      <c r="DU80" s="228">
        <v>450</v>
      </c>
      <c r="DV80" s="228">
        <v>0.28000000000000003</v>
      </c>
      <c r="DW80" s="228">
        <v>0.38</v>
      </c>
      <c r="DX80" s="228">
        <v>-0.1</v>
      </c>
      <c r="DY80" s="229">
        <v>-0.26319999999999999</v>
      </c>
      <c r="DZ80" s="229">
        <v>2.29E-2</v>
      </c>
      <c r="EA80" s="230">
        <v>812025</v>
      </c>
      <c r="EB80" s="229">
        <v>5.5999999999999999E-3</v>
      </c>
      <c r="EC80" s="229">
        <v>2.29E-2</v>
      </c>
      <c r="ED80" s="228">
        <v>2.81</v>
      </c>
      <c r="EE80" s="229">
        <v>6.1000000000000004E-3</v>
      </c>
      <c r="EF80" s="230">
        <v>1514192</v>
      </c>
      <c r="EG80" s="230">
        <v>1143261</v>
      </c>
      <c r="EH80" s="229">
        <v>0.32440000000000002</v>
      </c>
      <c r="EI80" s="229">
        <v>0.49320000000000003</v>
      </c>
      <c r="EJ80" s="231">
        <v>70543.72</v>
      </c>
      <c r="EK80" s="231">
        <v>18701.46</v>
      </c>
      <c r="EL80" s="231">
        <v>21028.1</v>
      </c>
      <c r="EM80" s="231">
        <v>3213</v>
      </c>
      <c r="EN80" s="231">
        <v>110273.28</v>
      </c>
      <c r="EO80" s="231">
        <v>108683.32</v>
      </c>
      <c r="EP80" s="231">
        <v>1589.96</v>
      </c>
      <c r="EQ80" s="229">
        <v>1.46E-2</v>
      </c>
      <c r="ER80" s="231">
        <v>75985</v>
      </c>
      <c r="ES80" s="231">
        <v>45951</v>
      </c>
      <c r="ET80" s="231">
        <v>179989</v>
      </c>
      <c r="EU80" s="231">
        <v>143933168</v>
      </c>
      <c r="EV80" s="231">
        <v>301925</v>
      </c>
      <c r="EW80" s="231">
        <v>300908</v>
      </c>
      <c r="EX80" s="231">
        <v>1017</v>
      </c>
      <c r="EY80" s="229">
        <v>3.3999999999999998E-3</v>
      </c>
      <c r="EZ80" s="229">
        <v>0.45619999999999999</v>
      </c>
      <c r="FA80" s="227" t="s">
        <v>567</v>
      </c>
      <c r="FB80" s="161">
        <f t="shared" si="1"/>
        <v>891000</v>
      </c>
    </row>
    <row r="81" spans="1:158" ht="17.25" hidden="1" thickBot="1" x14ac:dyDescent="0.3">
      <c r="A81" s="226">
        <v>46064</v>
      </c>
      <c r="B81" s="227" t="s">
        <v>168</v>
      </c>
      <c r="C81" s="227" t="s">
        <v>230</v>
      </c>
      <c r="D81" s="228">
        <v>300</v>
      </c>
      <c r="E81" s="231">
        <v>2469.1999999999998</v>
      </c>
      <c r="F81" s="231">
        <v>2454.1999999999998</v>
      </c>
      <c r="G81" s="228">
        <v>15</v>
      </c>
      <c r="H81" s="229">
        <v>6.1000000000000004E-3</v>
      </c>
      <c r="I81" s="231">
        <v>2462.9</v>
      </c>
      <c r="J81" s="231">
        <v>2453.6</v>
      </c>
      <c r="K81" s="228">
        <v>9.3000000000000007</v>
      </c>
      <c r="L81" s="229">
        <v>3.8E-3</v>
      </c>
      <c r="M81" s="231">
        <v>2469.1999999999998</v>
      </c>
      <c r="N81" s="231">
        <v>2454.1999999999998</v>
      </c>
      <c r="O81" s="228">
        <v>15</v>
      </c>
      <c r="P81" s="229">
        <v>6.1000000000000004E-3</v>
      </c>
      <c r="Q81" s="231">
        <v>2481.5</v>
      </c>
      <c r="R81" s="231">
        <v>2467.4</v>
      </c>
      <c r="S81" s="228">
        <v>14.1</v>
      </c>
      <c r="T81" s="229">
        <v>5.7000000000000002E-3</v>
      </c>
      <c r="U81" s="231">
        <v>2494.6</v>
      </c>
      <c r="V81" s="231">
        <v>2483.6999999999998</v>
      </c>
      <c r="W81" s="228">
        <v>10.9</v>
      </c>
      <c r="X81" s="229">
        <v>4.4000000000000003E-3</v>
      </c>
      <c r="Y81" s="228">
        <v>6.3</v>
      </c>
      <c r="Z81" s="228">
        <v>0.6</v>
      </c>
      <c r="AA81" s="228">
        <v>5.7</v>
      </c>
      <c r="AB81" s="229">
        <v>2.5999999999999999E-3</v>
      </c>
      <c r="AC81" s="228">
        <v>6.3</v>
      </c>
      <c r="AD81" s="228">
        <v>0.6</v>
      </c>
      <c r="AE81" s="228">
        <v>5.7</v>
      </c>
      <c r="AF81" s="229">
        <v>2.5999999999999999E-3</v>
      </c>
      <c r="AG81" s="228">
        <v>18.600000000000001</v>
      </c>
      <c r="AH81" s="228">
        <v>13.8</v>
      </c>
      <c r="AI81" s="228">
        <v>4.8</v>
      </c>
      <c r="AJ81" s="229">
        <v>7.6E-3</v>
      </c>
      <c r="AK81" s="228">
        <v>31.7</v>
      </c>
      <c r="AL81" s="228">
        <v>30.1</v>
      </c>
      <c r="AM81" s="228">
        <v>1.6</v>
      </c>
      <c r="AN81" s="229">
        <v>1.29E-2</v>
      </c>
      <c r="AO81" s="231">
        <v>2464.9699999999998</v>
      </c>
      <c r="AP81" s="231">
        <v>2477.59</v>
      </c>
      <c r="AQ81" s="228">
        <v>0</v>
      </c>
      <c r="AR81" s="230">
        <v>1685700</v>
      </c>
      <c r="AS81" s="230">
        <v>1223400</v>
      </c>
      <c r="AT81" s="230">
        <v>462300</v>
      </c>
      <c r="AU81" s="229">
        <v>0.37790000000000001</v>
      </c>
      <c r="AV81" s="230">
        <v>1496700</v>
      </c>
      <c r="AW81" s="230">
        <v>1112700</v>
      </c>
      <c r="AX81" s="230">
        <v>384000</v>
      </c>
      <c r="AY81" s="229">
        <v>0.34510000000000002</v>
      </c>
      <c r="AZ81" s="230">
        <v>174000</v>
      </c>
      <c r="BA81" s="230">
        <v>96300</v>
      </c>
      <c r="BB81" s="230">
        <v>77700</v>
      </c>
      <c r="BC81" s="229">
        <v>0.80689999999999995</v>
      </c>
      <c r="BD81" s="230">
        <v>15000</v>
      </c>
      <c r="BE81" s="230">
        <v>14400</v>
      </c>
      <c r="BF81" s="228">
        <v>600</v>
      </c>
      <c r="BG81" s="229">
        <v>4.1700000000000001E-2</v>
      </c>
      <c r="BH81" s="230">
        <v>8219100</v>
      </c>
      <c r="BI81" s="230">
        <v>7377300</v>
      </c>
      <c r="BJ81" s="230">
        <v>841800</v>
      </c>
      <c r="BK81" s="229">
        <v>0.11409999999999999</v>
      </c>
      <c r="BL81" s="230">
        <v>3587700</v>
      </c>
      <c r="BM81" s="230">
        <v>2723100</v>
      </c>
      <c r="BN81" s="230">
        <v>864600</v>
      </c>
      <c r="BO81" s="229">
        <v>0.3175</v>
      </c>
      <c r="BP81" s="230">
        <v>13492500</v>
      </c>
      <c r="BQ81" s="230">
        <v>11323800</v>
      </c>
      <c r="BR81" s="230">
        <v>2168700</v>
      </c>
      <c r="BS81" s="229">
        <v>0.1915</v>
      </c>
      <c r="BT81" s="230">
        <v>1191024</v>
      </c>
      <c r="BU81" s="230">
        <v>812491</v>
      </c>
      <c r="BV81" s="230">
        <v>378533</v>
      </c>
      <c r="BW81" s="229">
        <v>0.46589999999999998</v>
      </c>
      <c r="BX81" s="230">
        <v>14951400</v>
      </c>
      <c r="BY81" s="230">
        <v>14919300</v>
      </c>
      <c r="BZ81" s="230">
        <v>32100</v>
      </c>
      <c r="CA81" s="229">
        <v>2.2000000000000001E-3</v>
      </c>
      <c r="CB81" s="230">
        <v>14511000</v>
      </c>
      <c r="CC81" s="230">
        <v>14547300</v>
      </c>
      <c r="CD81" s="230">
        <v>-36300</v>
      </c>
      <c r="CE81" s="229">
        <v>-2.5000000000000001E-3</v>
      </c>
      <c r="CF81" s="230">
        <v>405900</v>
      </c>
      <c r="CG81" s="230">
        <v>339600</v>
      </c>
      <c r="CH81" s="230">
        <v>66300</v>
      </c>
      <c r="CI81" s="229">
        <v>0.19520000000000001</v>
      </c>
      <c r="CJ81" s="230">
        <v>34500</v>
      </c>
      <c r="CK81" s="230">
        <v>32400</v>
      </c>
      <c r="CL81" s="230">
        <v>2100</v>
      </c>
      <c r="CM81" s="229">
        <v>6.4799999999999996E-2</v>
      </c>
      <c r="CN81" s="230">
        <v>5642100</v>
      </c>
      <c r="CO81" s="230">
        <v>5356500</v>
      </c>
      <c r="CP81" s="230">
        <v>285600</v>
      </c>
      <c r="CQ81" s="229">
        <v>5.33E-2</v>
      </c>
      <c r="CR81" s="230">
        <v>4059900</v>
      </c>
      <c r="CS81" s="230">
        <v>3759000</v>
      </c>
      <c r="CT81" s="230">
        <v>300900</v>
      </c>
      <c r="CU81" s="229">
        <v>0.08</v>
      </c>
      <c r="CV81" s="230">
        <v>24653400</v>
      </c>
      <c r="CW81" s="230">
        <v>24034800</v>
      </c>
      <c r="CX81" s="230">
        <v>618600</v>
      </c>
      <c r="CY81" s="229">
        <v>2.5700000000000001E-2</v>
      </c>
      <c r="CZ81" s="228">
        <v>28.13</v>
      </c>
      <c r="DA81" s="228">
        <v>26.96</v>
      </c>
      <c r="DB81" s="228">
        <v>1.17</v>
      </c>
      <c r="DC81" s="228">
        <v>1.17</v>
      </c>
      <c r="DD81" s="228">
        <v>21.72</v>
      </c>
      <c r="DE81" s="228">
        <v>21.77</v>
      </c>
      <c r="DF81" s="228">
        <v>6.41</v>
      </c>
      <c r="DG81" s="228">
        <v>-0.05</v>
      </c>
      <c r="DH81" s="228">
        <v>27.63</v>
      </c>
      <c r="DI81" s="228">
        <v>26.74</v>
      </c>
      <c r="DJ81" s="228">
        <v>0.89</v>
      </c>
      <c r="DK81" s="228">
        <v>0.89</v>
      </c>
      <c r="DL81" s="228">
        <v>29.29</v>
      </c>
      <c r="DM81" s="228">
        <v>27.55</v>
      </c>
      <c r="DN81" s="228">
        <v>1.74</v>
      </c>
      <c r="DO81" s="228">
        <v>1.74</v>
      </c>
      <c r="DP81" s="228">
        <v>0.72</v>
      </c>
      <c r="DQ81" s="228">
        <v>0.7</v>
      </c>
      <c r="DR81" s="228">
        <v>0.02</v>
      </c>
      <c r="DS81" s="229">
        <v>2.86E-2</v>
      </c>
      <c r="DT81" s="231">
        <v>2500</v>
      </c>
      <c r="DU81" s="231">
        <v>2340</v>
      </c>
      <c r="DV81" s="228">
        <v>0.44</v>
      </c>
      <c r="DW81" s="228">
        <v>0.37</v>
      </c>
      <c r="DX81" s="228">
        <v>7.0000000000000007E-2</v>
      </c>
      <c r="DY81" s="229">
        <v>0.18920000000000001</v>
      </c>
      <c r="DZ81" s="229">
        <v>2.9499999999999998E-2</v>
      </c>
      <c r="EA81" s="230">
        <v>372000</v>
      </c>
      <c r="EB81" s="229">
        <v>5.0000000000000001E-3</v>
      </c>
      <c r="EC81" s="229">
        <v>2.9499999999999998E-2</v>
      </c>
      <c r="ED81" s="228">
        <v>12.62</v>
      </c>
      <c r="EE81" s="229">
        <v>5.1000000000000004E-3</v>
      </c>
      <c r="EF81" s="230">
        <v>744334</v>
      </c>
      <c r="EG81" s="230">
        <v>386167</v>
      </c>
      <c r="EH81" s="229">
        <v>0.92749999999999999</v>
      </c>
      <c r="EI81" s="229">
        <v>0.625</v>
      </c>
      <c r="EJ81" s="231">
        <v>211944.46</v>
      </c>
      <c r="EK81" s="231">
        <v>84265.25</v>
      </c>
      <c r="EL81" s="231">
        <v>41578.120000000003</v>
      </c>
      <c r="EM81" s="231">
        <v>5546</v>
      </c>
      <c r="EN81" s="231">
        <v>337787.83</v>
      </c>
      <c r="EO81" s="231">
        <v>281387.52000000002</v>
      </c>
      <c r="EP81" s="231">
        <v>56400.31</v>
      </c>
      <c r="EQ81" s="229">
        <v>0.20039999999999999</v>
      </c>
      <c r="ER81" s="231">
        <v>142400</v>
      </c>
      <c r="ES81" s="231">
        <v>93295</v>
      </c>
      <c r="ET81" s="231">
        <v>369239</v>
      </c>
      <c r="EU81" s="231">
        <v>91001773</v>
      </c>
      <c r="EV81" s="231">
        <v>604933</v>
      </c>
      <c r="EW81" s="231">
        <v>586662</v>
      </c>
      <c r="EX81" s="231">
        <v>18271</v>
      </c>
      <c r="EY81" s="229">
        <v>3.1099999999999999E-2</v>
      </c>
      <c r="EZ81" s="229">
        <v>0.27089999999999997</v>
      </c>
      <c r="FA81" s="227" t="s">
        <v>555</v>
      </c>
      <c r="FB81" s="161">
        <f t="shared" si="1"/>
        <v>440400</v>
      </c>
    </row>
    <row r="82" spans="1:158" ht="17.25" hidden="1" thickBot="1" x14ac:dyDescent="0.3">
      <c r="A82" s="226">
        <v>46064</v>
      </c>
      <c r="B82" s="227" t="s">
        <v>227</v>
      </c>
      <c r="C82" s="227" t="s">
        <v>667</v>
      </c>
      <c r="D82" s="228">
        <v>1225</v>
      </c>
      <c r="E82" s="228">
        <v>630.9</v>
      </c>
      <c r="F82" s="228">
        <v>619.54999999999995</v>
      </c>
      <c r="G82" s="228">
        <v>11.35</v>
      </c>
      <c r="H82" s="229">
        <v>1.83E-2</v>
      </c>
      <c r="I82" s="228">
        <v>628.54999999999995</v>
      </c>
      <c r="J82" s="228">
        <v>617.70000000000005</v>
      </c>
      <c r="K82" s="228">
        <v>10.85</v>
      </c>
      <c r="L82" s="229">
        <v>1.7600000000000001E-2</v>
      </c>
      <c r="M82" s="228">
        <v>630.9</v>
      </c>
      <c r="N82" s="228">
        <v>619.54999999999995</v>
      </c>
      <c r="O82" s="228">
        <v>11.35</v>
      </c>
      <c r="P82" s="229">
        <v>1.83E-2</v>
      </c>
      <c r="Q82" s="228">
        <v>634.9</v>
      </c>
      <c r="R82" s="228">
        <v>623.04999999999995</v>
      </c>
      <c r="S82" s="228">
        <v>11.85</v>
      </c>
      <c r="T82" s="229">
        <v>1.9E-2</v>
      </c>
      <c r="U82" s="228">
        <v>639</v>
      </c>
      <c r="V82" s="228">
        <v>626.9</v>
      </c>
      <c r="W82" s="228">
        <v>12.1</v>
      </c>
      <c r="X82" s="229">
        <v>1.9300000000000001E-2</v>
      </c>
      <c r="Y82" s="228">
        <v>2.35</v>
      </c>
      <c r="Z82" s="228">
        <v>1.85</v>
      </c>
      <c r="AA82" s="228">
        <v>0.5</v>
      </c>
      <c r="AB82" s="229">
        <v>3.7000000000000002E-3</v>
      </c>
      <c r="AC82" s="228">
        <v>2.35</v>
      </c>
      <c r="AD82" s="228">
        <v>1.85</v>
      </c>
      <c r="AE82" s="228">
        <v>0.5</v>
      </c>
      <c r="AF82" s="229">
        <v>3.7000000000000002E-3</v>
      </c>
      <c r="AG82" s="228">
        <v>6.35</v>
      </c>
      <c r="AH82" s="228">
        <v>5.35</v>
      </c>
      <c r="AI82" s="228">
        <v>1</v>
      </c>
      <c r="AJ82" s="229">
        <v>1.01E-2</v>
      </c>
      <c r="AK82" s="228">
        <v>10.45</v>
      </c>
      <c r="AL82" s="228">
        <v>9.1999999999999993</v>
      </c>
      <c r="AM82" s="228">
        <v>1.25</v>
      </c>
      <c r="AN82" s="229">
        <v>1.66E-2</v>
      </c>
      <c r="AO82" s="228">
        <v>626.91999999999996</v>
      </c>
      <c r="AP82" s="228">
        <v>630.17999999999995</v>
      </c>
      <c r="AQ82" s="228">
        <v>0</v>
      </c>
      <c r="AR82" s="230">
        <v>9526825</v>
      </c>
      <c r="AS82" s="230">
        <v>8557850</v>
      </c>
      <c r="AT82" s="230">
        <v>968975</v>
      </c>
      <c r="AU82" s="229">
        <v>0.1132</v>
      </c>
      <c r="AV82" s="230">
        <v>8310400</v>
      </c>
      <c r="AW82" s="230">
        <v>7433300</v>
      </c>
      <c r="AX82" s="230">
        <v>877100</v>
      </c>
      <c r="AY82" s="229">
        <v>0.11799999999999999</v>
      </c>
      <c r="AZ82" s="230">
        <v>1052275</v>
      </c>
      <c r="BA82" s="230">
        <v>1075550</v>
      </c>
      <c r="BB82" s="230">
        <v>-23275</v>
      </c>
      <c r="BC82" s="229">
        <v>-2.1600000000000001E-2</v>
      </c>
      <c r="BD82" s="230">
        <v>164150</v>
      </c>
      <c r="BE82" s="230">
        <v>49000</v>
      </c>
      <c r="BF82" s="230">
        <v>115150</v>
      </c>
      <c r="BG82" s="229">
        <v>2.35</v>
      </c>
      <c r="BH82" s="230">
        <v>44605925</v>
      </c>
      <c r="BI82" s="230">
        <v>46763150</v>
      </c>
      <c r="BJ82" s="230">
        <v>-2157225</v>
      </c>
      <c r="BK82" s="229">
        <v>-4.6100000000000002E-2</v>
      </c>
      <c r="BL82" s="230">
        <v>20222300</v>
      </c>
      <c r="BM82" s="230">
        <v>25614750</v>
      </c>
      <c r="BN82" s="230">
        <v>-5392450</v>
      </c>
      <c r="BO82" s="229">
        <v>-0.21049999999999999</v>
      </c>
      <c r="BP82" s="230">
        <v>74355050</v>
      </c>
      <c r="BQ82" s="230">
        <v>80935750</v>
      </c>
      <c r="BR82" s="230">
        <v>-6580700</v>
      </c>
      <c r="BS82" s="229">
        <v>-8.1299999999999997E-2</v>
      </c>
      <c r="BT82" s="230">
        <v>6820900</v>
      </c>
      <c r="BU82" s="230">
        <v>8009522</v>
      </c>
      <c r="BV82" s="230">
        <v>-1188622</v>
      </c>
      <c r="BW82" s="229">
        <v>-0.1484</v>
      </c>
      <c r="BX82" s="230">
        <v>38767575</v>
      </c>
      <c r="BY82" s="230">
        <v>39457250</v>
      </c>
      <c r="BZ82" s="230">
        <v>-689675</v>
      </c>
      <c r="CA82" s="229">
        <v>-1.7500000000000002E-2</v>
      </c>
      <c r="CB82" s="230">
        <v>34851250</v>
      </c>
      <c r="CC82" s="230">
        <v>35534800</v>
      </c>
      <c r="CD82" s="230">
        <v>-683550</v>
      </c>
      <c r="CE82" s="229">
        <v>-1.9199999999999998E-2</v>
      </c>
      <c r="CF82" s="230">
        <v>3253600</v>
      </c>
      <c r="CG82" s="230">
        <v>3221750</v>
      </c>
      <c r="CH82" s="230">
        <v>31850</v>
      </c>
      <c r="CI82" s="229">
        <v>9.9000000000000008E-3</v>
      </c>
      <c r="CJ82" s="230">
        <v>662725</v>
      </c>
      <c r="CK82" s="230">
        <v>700700</v>
      </c>
      <c r="CL82" s="230">
        <v>-37975</v>
      </c>
      <c r="CM82" s="229">
        <v>-5.4199999999999998E-2</v>
      </c>
      <c r="CN82" s="230">
        <v>67835600</v>
      </c>
      <c r="CO82" s="230">
        <v>70055300</v>
      </c>
      <c r="CP82" s="230">
        <v>-2219700</v>
      </c>
      <c r="CQ82" s="229">
        <v>-3.1699999999999999E-2</v>
      </c>
      <c r="CR82" s="230">
        <v>37504600</v>
      </c>
      <c r="CS82" s="230">
        <v>38026450</v>
      </c>
      <c r="CT82" s="230">
        <v>-521850</v>
      </c>
      <c r="CU82" s="229">
        <v>-1.37E-2</v>
      </c>
      <c r="CV82" s="230">
        <v>144107775</v>
      </c>
      <c r="CW82" s="230">
        <v>147539000</v>
      </c>
      <c r="CX82" s="230">
        <v>-3431225</v>
      </c>
      <c r="CY82" s="229">
        <v>-2.3300000000000001E-2</v>
      </c>
      <c r="CZ82" s="228">
        <v>45.66</v>
      </c>
      <c r="DA82" s="228">
        <v>48.15</v>
      </c>
      <c r="DB82" s="228">
        <v>-2.4900000000000002</v>
      </c>
      <c r="DC82" s="228">
        <v>-2.4900000000000002</v>
      </c>
      <c r="DD82" s="228">
        <v>50.58</v>
      </c>
      <c r="DE82" s="228">
        <v>50.65</v>
      </c>
      <c r="DF82" s="228">
        <v>-4.92</v>
      </c>
      <c r="DG82" s="228">
        <v>-7.0000000000000007E-2</v>
      </c>
      <c r="DH82" s="228">
        <v>46.23</v>
      </c>
      <c r="DI82" s="228">
        <v>49.28</v>
      </c>
      <c r="DJ82" s="228">
        <v>-3.05</v>
      </c>
      <c r="DK82" s="228">
        <v>-3.05</v>
      </c>
      <c r="DL82" s="228">
        <v>44.4</v>
      </c>
      <c r="DM82" s="228">
        <v>46.09</v>
      </c>
      <c r="DN82" s="228">
        <v>-1.69</v>
      </c>
      <c r="DO82" s="228">
        <v>-1.69</v>
      </c>
      <c r="DP82" s="228">
        <v>0.55000000000000004</v>
      </c>
      <c r="DQ82" s="228">
        <v>0.54</v>
      </c>
      <c r="DR82" s="228">
        <v>0.01</v>
      </c>
      <c r="DS82" s="229">
        <v>1.8499999999999999E-2</v>
      </c>
      <c r="DT82" s="228">
        <v>700</v>
      </c>
      <c r="DU82" s="228">
        <v>600</v>
      </c>
      <c r="DV82" s="228">
        <v>0.45</v>
      </c>
      <c r="DW82" s="228">
        <v>0.55000000000000004</v>
      </c>
      <c r="DX82" s="228">
        <v>-0.1</v>
      </c>
      <c r="DY82" s="229">
        <v>-0.18179999999999999</v>
      </c>
      <c r="DZ82" s="229">
        <v>0.10100000000000001</v>
      </c>
      <c r="EA82" s="230">
        <v>3922450</v>
      </c>
      <c r="EB82" s="229">
        <v>6.3E-3</v>
      </c>
      <c r="EC82" s="229">
        <v>0.10100000000000001</v>
      </c>
      <c r="ED82" s="228">
        <v>3.26</v>
      </c>
      <c r="EE82" s="229">
        <v>5.1999999999999998E-3</v>
      </c>
      <c r="EF82" s="230">
        <v>2016067</v>
      </c>
      <c r="EG82" s="230">
        <v>2462438</v>
      </c>
      <c r="EH82" s="229">
        <v>-0.18129999999999999</v>
      </c>
      <c r="EI82" s="229">
        <v>0.29559999999999997</v>
      </c>
      <c r="EJ82" s="231">
        <v>302839.7</v>
      </c>
      <c r="EK82" s="231">
        <v>123146.66</v>
      </c>
      <c r="EL82" s="231">
        <v>59774.47</v>
      </c>
      <c r="EM82" s="231">
        <v>10030</v>
      </c>
      <c r="EN82" s="231">
        <v>485760.83</v>
      </c>
      <c r="EO82" s="231">
        <v>529778.05000000005</v>
      </c>
      <c r="EP82" s="231">
        <v>-44017.22</v>
      </c>
      <c r="EQ82" s="229">
        <v>-8.3099999999999993E-2</v>
      </c>
      <c r="ER82" s="231">
        <v>474458</v>
      </c>
      <c r="ES82" s="231">
        <v>230109</v>
      </c>
      <c r="ET82" s="231">
        <v>244768</v>
      </c>
      <c r="EU82" s="231">
        <v>161247058</v>
      </c>
      <c r="EV82" s="231">
        <v>949335</v>
      </c>
      <c r="EW82" s="231">
        <v>968196</v>
      </c>
      <c r="EX82" s="231">
        <v>-18861</v>
      </c>
      <c r="EY82" s="229">
        <v>-1.95E-2</v>
      </c>
      <c r="EZ82" s="229">
        <v>0.89370000000000005</v>
      </c>
      <c r="FA82" s="227" t="s">
        <v>556</v>
      </c>
      <c r="FB82" s="161">
        <f t="shared" si="1"/>
        <v>3916325</v>
      </c>
    </row>
    <row r="83" spans="1:158" ht="17.25" hidden="1" thickBot="1" x14ac:dyDescent="0.3">
      <c r="A83" s="226">
        <v>46064</v>
      </c>
      <c r="B83" s="227" t="s">
        <v>206</v>
      </c>
      <c r="C83" s="227" t="s">
        <v>608</v>
      </c>
      <c r="D83" s="228">
        <v>2775</v>
      </c>
      <c r="E83" s="228">
        <v>193.89</v>
      </c>
      <c r="F83" s="228">
        <v>194.08</v>
      </c>
      <c r="G83" s="228">
        <v>-0.19</v>
      </c>
      <c r="H83" s="229">
        <v>-1E-3</v>
      </c>
      <c r="I83" s="228">
        <v>193.24</v>
      </c>
      <c r="J83" s="228">
        <v>193.91</v>
      </c>
      <c r="K83" s="228">
        <v>-0.67</v>
      </c>
      <c r="L83" s="229">
        <v>-3.5000000000000001E-3</v>
      </c>
      <c r="M83" s="228">
        <v>193.89</v>
      </c>
      <c r="N83" s="228">
        <v>194.08</v>
      </c>
      <c r="O83" s="228">
        <v>-0.19</v>
      </c>
      <c r="P83" s="229">
        <v>-1E-3</v>
      </c>
      <c r="Q83" s="228">
        <v>194.51</v>
      </c>
      <c r="R83" s="228">
        <v>195.1</v>
      </c>
      <c r="S83" s="228">
        <v>-0.59</v>
      </c>
      <c r="T83" s="229">
        <v>-3.0000000000000001E-3</v>
      </c>
      <c r="U83" s="228">
        <v>195</v>
      </c>
      <c r="V83" s="228">
        <v>196</v>
      </c>
      <c r="W83" s="228">
        <v>-1</v>
      </c>
      <c r="X83" s="229">
        <v>-5.1000000000000004E-3</v>
      </c>
      <c r="Y83" s="228">
        <v>0.65</v>
      </c>
      <c r="Z83" s="228">
        <v>0.17</v>
      </c>
      <c r="AA83" s="228">
        <v>0.48</v>
      </c>
      <c r="AB83" s="229">
        <v>3.3999999999999998E-3</v>
      </c>
      <c r="AC83" s="228">
        <v>0.65</v>
      </c>
      <c r="AD83" s="228">
        <v>0.17</v>
      </c>
      <c r="AE83" s="228">
        <v>0.48</v>
      </c>
      <c r="AF83" s="229">
        <v>3.3999999999999998E-3</v>
      </c>
      <c r="AG83" s="228">
        <v>1.27</v>
      </c>
      <c r="AH83" s="228">
        <v>1.19</v>
      </c>
      <c r="AI83" s="228">
        <v>0.08</v>
      </c>
      <c r="AJ83" s="229">
        <v>6.6E-3</v>
      </c>
      <c r="AK83" s="228">
        <v>1.76</v>
      </c>
      <c r="AL83" s="228">
        <v>2.09</v>
      </c>
      <c r="AM83" s="228">
        <v>-0.33</v>
      </c>
      <c r="AN83" s="229">
        <v>9.1000000000000004E-3</v>
      </c>
      <c r="AO83" s="228">
        <v>192.69</v>
      </c>
      <c r="AP83" s="228">
        <v>193.34</v>
      </c>
      <c r="AQ83" s="228">
        <v>0</v>
      </c>
      <c r="AR83" s="230">
        <v>7248300</v>
      </c>
      <c r="AS83" s="230">
        <v>4498275</v>
      </c>
      <c r="AT83" s="230">
        <v>2750025</v>
      </c>
      <c r="AU83" s="229">
        <v>0.61140000000000005</v>
      </c>
      <c r="AV83" s="230">
        <v>6218775</v>
      </c>
      <c r="AW83" s="230">
        <v>3732375</v>
      </c>
      <c r="AX83" s="230">
        <v>2486400</v>
      </c>
      <c r="AY83" s="229">
        <v>0.66620000000000001</v>
      </c>
      <c r="AZ83" s="230">
        <v>1007325</v>
      </c>
      <c r="BA83" s="230">
        <v>738150</v>
      </c>
      <c r="BB83" s="230">
        <v>269175</v>
      </c>
      <c r="BC83" s="229">
        <v>0.36470000000000002</v>
      </c>
      <c r="BD83" s="230">
        <v>22200</v>
      </c>
      <c r="BE83" s="230">
        <v>27750</v>
      </c>
      <c r="BF83" s="230">
        <v>-5550</v>
      </c>
      <c r="BG83" s="229">
        <v>-0.2</v>
      </c>
      <c r="BH83" s="230">
        <v>13447650</v>
      </c>
      <c r="BI83" s="230">
        <v>12512475</v>
      </c>
      <c r="BJ83" s="230">
        <v>935175</v>
      </c>
      <c r="BK83" s="229">
        <v>7.4700000000000003E-2</v>
      </c>
      <c r="BL83" s="230">
        <v>6282600</v>
      </c>
      <c r="BM83" s="230">
        <v>6354750</v>
      </c>
      <c r="BN83" s="230">
        <v>-72150</v>
      </c>
      <c r="BO83" s="229">
        <v>-1.14E-2</v>
      </c>
      <c r="BP83" s="230">
        <v>26978550</v>
      </c>
      <c r="BQ83" s="230">
        <v>23365500</v>
      </c>
      <c r="BR83" s="230">
        <v>3613050</v>
      </c>
      <c r="BS83" s="229">
        <v>0.15459999999999999</v>
      </c>
      <c r="BT83" s="230">
        <v>2304282</v>
      </c>
      <c r="BU83" s="230">
        <v>2377164</v>
      </c>
      <c r="BV83" s="230">
        <v>-72882</v>
      </c>
      <c r="BW83" s="229">
        <v>-3.0700000000000002E-2</v>
      </c>
      <c r="BX83" s="230">
        <v>42618450</v>
      </c>
      <c r="BY83" s="230">
        <v>41666625</v>
      </c>
      <c r="BZ83" s="230">
        <v>951825</v>
      </c>
      <c r="CA83" s="229">
        <v>2.2800000000000001E-2</v>
      </c>
      <c r="CB83" s="230">
        <v>39715800</v>
      </c>
      <c r="CC83" s="230">
        <v>39060900</v>
      </c>
      <c r="CD83" s="230">
        <v>654900</v>
      </c>
      <c r="CE83" s="229">
        <v>1.6799999999999999E-2</v>
      </c>
      <c r="CF83" s="230">
        <v>2700075</v>
      </c>
      <c r="CG83" s="230">
        <v>2405925</v>
      </c>
      <c r="CH83" s="230">
        <v>294150</v>
      </c>
      <c r="CI83" s="229">
        <v>0.12230000000000001</v>
      </c>
      <c r="CJ83" s="230">
        <v>202575</v>
      </c>
      <c r="CK83" s="230">
        <v>199800</v>
      </c>
      <c r="CL83" s="230">
        <v>2775</v>
      </c>
      <c r="CM83" s="229">
        <v>1.3899999999999999E-2</v>
      </c>
      <c r="CN83" s="230">
        <v>33871650</v>
      </c>
      <c r="CO83" s="230">
        <v>33707925</v>
      </c>
      <c r="CP83" s="230">
        <v>163725</v>
      </c>
      <c r="CQ83" s="229">
        <v>4.8999999999999998E-3</v>
      </c>
      <c r="CR83" s="230">
        <v>19594275</v>
      </c>
      <c r="CS83" s="230">
        <v>20027175</v>
      </c>
      <c r="CT83" s="230">
        <v>-432900</v>
      </c>
      <c r="CU83" s="229">
        <v>-2.1600000000000001E-2</v>
      </c>
      <c r="CV83" s="230">
        <v>96084375</v>
      </c>
      <c r="CW83" s="230">
        <v>95401725</v>
      </c>
      <c r="CX83" s="230">
        <v>682650</v>
      </c>
      <c r="CY83" s="229">
        <v>7.1999999999999998E-3</v>
      </c>
      <c r="CZ83" s="228">
        <v>36.74</v>
      </c>
      <c r="DA83" s="228">
        <v>37.479999999999997</v>
      </c>
      <c r="DB83" s="228">
        <v>-0.74</v>
      </c>
      <c r="DC83" s="228">
        <v>-0.74</v>
      </c>
      <c r="DD83" s="228">
        <v>49.89</v>
      </c>
      <c r="DE83" s="228">
        <v>50.02</v>
      </c>
      <c r="DF83" s="228">
        <v>-13.15</v>
      </c>
      <c r="DG83" s="228">
        <v>-0.13</v>
      </c>
      <c r="DH83" s="228">
        <v>36.94</v>
      </c>
      <c r="DI83" s="228">
        <v>37.99</v>
      </c>
      <c r="DJ83" s="228">
        <v>-1.05</v>
      </c>
      <c r="DK83" s="228">
        <v>-1.05</v>
      </c>
      <c r="DL83" s="228">
        <v>36.33</v>
      </c>
      <c r="DM83" s="228">
        <v>36.5</v>
      </c>
      <c r="DN83" s="228">
        <v>-0.17</v>
      </c>
      <c r="DO83" s="228">
        <v>-0.17</v>
      </c>
      <c r="DP83" s="228">
        <v>0.57999999999999996</v>
      </c>
      <c r="DQ83" s="228">
        <v>0.59</v>
      </c>
      <c r="DR83" s="228">
        <v>-0.01</v>
      </c>
      <c r="DS83" s="229">
        <v>-1.6899999999999998E-2</v>
      </c>
      <c r="DT83" s="228">
        <v>200</v>
      </c>
      <c r="DU83" s="228">
        <v>180</v>
      </c>
      <c r="DV83" s="228">
        <v>0.47</v>
      </c>
      <c r="DW83" s="228">
        <v>0.51</v>
      </c>
      <c r="DX83" s="228">
        <v>-0.04</v>
      </c>
      <c r="DY83" s="229">
        <v>-7.8399999999999997E-2</v>
      </c>
      <c r="DZ83" s="229">
        <v>6.8099999999999994E-2</v>
      </c>
      <c r="EA83" s="230">
        <v>2605725</v>
      </c>
      <c r="EB83" s="229">
        <v>3.2000000000000002E-3</v>
      </c>
      <c r="EC83" s="229">
        <v>6.8099999999999994E-2</v>
      </c>
      <c r="ED83" s="228">
        <v>0.65</v>
      </c>
      <c r="EE83" s="229">
        <v>3.3999999999999998E-3</v>
      </c>
      <c r="EF83" s="230">
        <v>627611</v>
      </c>
      <c r="EG83" s="230">
        <v>884213</v>
      </c>
      <c r="EH83" s="229">
        <v>-0.29020000000000001</v>
      </c>
      <c r="EI83" s="229">
        <v>0.27239999999999998</v>
      </c>
      <c r="EJ83" s="231">
        <v>27723.8</v>
      </c>
      <c r="EK83" s="231">
        <v>11967.76</v>
      </c>
      <c r="EL83" s="231">
        <v>13973.62</v>
      </c>
      <c r="EM83" s="231">
        <v>2735</v>
      </c>
      <c r="EN83" s="231">
        <v>53665.18</v>
      </c>
      <c r="EO83" s="231">
        <v>46830.53</v>
      </c>
      <c r="EP83" s="231">
        <v>6834.65</v>
      </c>
      <c r="EQ83" s="229">
        <v>0.1459</v>
      </c>
      <c r="ER83" s="231">
        <v>70018</v>
      </c>
      <c r="ES83" s="231">
        <v>37202</v>
      </c>
      <c r="ET83" s="231">
        <v>82652</v>
      </c>
      <c r="EU83" s="231">
        <v>75071250</v>
      </c>
      <c r="EV83" s="231">
        <v>189872</v>
      </c>
      <c r="EW83" s="231">
        <v>188561</v>
      </c>
      <c r="EX83" s="231">
        <v>1311</v>
      </c>
      <c r="EY83" s="229">
        <v>7.0000000000000001E-3</v>
      </c>
      <c r="EZ83" s="229">
        <v>1.2799</v>
      </c>
      <c r="FA83" s="227" t="s">
        <v>567</v>
      </c>
      <c r="FB83" s="161">
        <f t="shared" si="1"/>
        <v>2902650</v>
      </c>
    </row>
    <row r="84" spans="1:158" ht="17.25" hidden="1" thickBot="1" x14ac:dyDescent="0.3">
      <c r="A84" s="226">
        <v>46064</v>
      </c>
      <c r="B84" s="227" t="s">
        <v>172</v>
      </c>
      <c r="C84" s="227" t="s">
        <v>232</v>
      </c>
      <c r="D84" s="228">
        <v>700</v>
      </c>
      <c r="E84" s="231">
        <v>1409.6</v>
      </c>
      <c r="F84" s="231">
        <v>1408.3</v>
      </c>
      <c r="G84" s="228">
        <v>1.3</v>
      </c>
      <c r="H84" s="229">
        <v>8.9999999999999998E-4</v>
      </c>
      <c r="I84" s="231">
        <v>1406.1</v>
      </c>
      <c r="J84" s="231">
        <v>1406.5</v>
      </c>
      <c r="K84" s="228">
        <v>-0.4</v>
      </c>
      <c r="L84" s="229">
        <v>-2.9999999999999997E-4</v>
      </c>
      <c r="M84" s="231">
        <v>1409.6</v>
      </c>
      <c r="N84" s="231">
        <v>1408.3</v>
      </c>
      <c r="O84" s="228">
        <v>1.3</v>
      </c>
      <c r="P84" s="229">
        <v>8.9999999999999998E-4</v>
      </c>
      <c r="Q84" s="231">
        <v>1418.5</v>
      </c>
      <c r="R84" s="231">
        <v>1416.8</v>
      </c>
      <c r="S84" s="228">
        <v>1.7</v>
      </c>
      <c r="T84" s="229">
        <v>1.1999999999999999E-3</v>
      </c>
      <c r="U84" s="231">
        <v>1427.5</v>
      </c>
      <c r="V84" s="231">
        <v>1426.6</v>
      </c>
      <c r="W84" s="228">
        <v>0.9</v>
      </c>
      <c r="X84" s="229">
        <v>5.9999999999999995E-4</v>
      </c>
      <c r="Y84" s="228">
        <v>3.5</v>
      </c>
      <c r="Z84" s="228">
        <v>1.8</v>
      </c>
      <c r="AA84" s="228">
        <v>1.7</v>
      </c>
      <c r="AB84" s="229">
        <v>2.5000000000000001E-3</v>
      </c>
      <c r="AC84" s="228">
        <v>3.5</v>
      </c>
      <c r="AD84" s="228">
        <v>1.8</v>
      </c>
      <c r="AE84" s="228">
        <v>1.7</v>
      </c>
      <c r="AF84" s="229">
        <v>2.5000000000000001E-3</v>
      </c>
      <c r="AG84" s="228">
        <v>12.4</v>
      </c>
      <c r="AH84" s="228">
        <v>10.3</v>
      </c>
      <c r="AI84" s="228">
        <v>2.1</v>
      </c>
      <c r="AJ84" s="229">
        <v>8.8000000000000005E-3</v>
      </c>
      <c r="AK84" s="228">
        <v>21.4</v>
      </c>
      <c r="AL84" s="228">
        <v>20.100000000000001</v>
      </c>
      <c r="AM84" s="228">
        <v>1.3</v>
      </c>
      <c r="AN84" s="229">
        <v>1.52E-2</v>
      </c>
      <c r="AO84" s="231">
        <v>1408.99</v>
      </c>
      <c r="AP84" s="231">
        <v>1417.29</v>
      </c>
      <c r="AQ84" s="228">
        <v>0</v>
      </c>
      <c r="AR84" s="230">
        <v>10605700</v>
      </c>
      <c r="AS84" s="230">
        <v>10922100</v>
      </c>
      <c r="AT84" s="230">
        <v>-316400</v>
      </c>
      <c r="AU84" s="229">
        <v>-2.9000000000000001E-2</v>
      </c>
      <c r="AV84" s="230">
        <v>9949100</v>
      </c>
      <c r="AW84" s="230">
        <v>10418100</v>
      </c>
      <c r="AX84" s="230">
        <v>-469000</v>
      </c>
      <c r="AY84" s="229">
        <v>-4.4999999999999998E-2</v>
      </c>
      <c r="AZ84" s="230">
        <v>609000</v>
      </c>
      <c r="BA84" s="230">
        <v>446600</v>
      </c>
      <c r="BB84" s="230">
        <v>162400</v>
      </c>
      <c r="BC84" s="229">
        <v>0.36359999999999998</v>
      </c>
      <c r="BD84" s="230">
        <v>47600</v>
      </c>
      <c r="BE84" s="230">
        <v>57400</v>
      </c>
      <c r="BF84" s="230">
        <v>-9800</v>
      </c>
      <c r="BG84" s="229">
        <v>-0.17069999999999999</v>
      </c>
      <c r="BH84" s="230">
        <v>21756000</v>
      </c>
      <c r="BI84" s="230">
        <v>33224100</v>
      </c>
      <c r="BJ84" s="230">
        <v>-11468100</v>
      </c>
      <c r="BK84" s="229">
        <v>-0.34520000000000001</v>
      </c>
      <c r="BL84" s="230">
        <v>15855000</v>
      </c>
      <c r="BM84" s="230">
        <v>22829800</v>
      </c>
      <c r="BN84" s="230">
        <v>-6974800</v>
      </c>
      <c r="BO84" s="229">
        <v>-0.30549999999999999</v>
      </c>
      <c r="BP84" s="230">
        <v>48216700</v>
      </c>
      <c r="BQ84" s="230">
        <v>66976000</v>
      </c>
      <c r="BR84" s="230">
        <v>-18759300</v>
      </c>
      <c r="BS84" s="229">
        <v>-0.28010000000000002</v>
      </c>
      <c r="BT84" s="230">
        <v>12063529</v>
      </c>
      <c r="BU84" s="230">
        <v>20123601</v>
      </c>
      <c r="BV84" s="230">
        <v>-8060072</v>
      </c>
      <c r="BW84" s="229">
        <v>-0.40050000000000002</v>
      </c>
      <c r="BX84" s="230">
        <v>123474400</v>
      </c>
      <c r="BY84" s="230">
        <v>121638300</v>
      </c>
      <c r="BZ84" s="230">
        <v>1836100</v>
      </c>
      <c r="CA84" s="229">
        <v>1.5100000000000001E-2</v>
      </c>
      <c r="CB84" s="230">
        <v>109717300</v>
      </c>
      <c r="CC84" s="230">
        <v>108059000</v>
      </c>
      <c r="CD84" s="230">
        <v>1658300</v>
      </c>
      <c r="CE84" s="229">
        <v>1.5299999999999999E-2</v>
      </c>
      <c r="CF84" s="230">
        <v>13399400</v>
      </c>
      <c r="CG84" s="230">
        <v>13224400</v>
      </c>
      <c r="CH84" s="230">
        <v>175000</v>
      </c>
      <c r="CI84" s="229">
        <v>1.32E-2</v>
      </c>
      <c r="CJ84" s="230">
        <v>357700</v>
      </c>
      <c r="CK84" s="230">
        <v>354900</v>
      </c>
      <c r="CL84" s="230">
        <v>2800</v>
      </c>
      <c r="CM84" s="229">
        <v>7.9000000000000008E-3</v>
      </c>
      <c r="CN84" s="230">
        <v>36578500</v>
      </c>
      <c r="CO84" s="230">
        <v>36665300</v>
      </c>
      <c r="CP84" s="230">
        <v>-86800</v>
      </c>
      <c r="CQ84" s="229">
        <v>-2.3999999999999998E-3</v>
      </c>
      <c r="CR84" s="230">
        <v>23844100</v>
      </c>
      <c r="CS84" s="230">
        <v>23507400</v>
      </c>
      <c r="CT84" s="230">
        <v>336700</v>
      </c>
      <c r="CU84" s="229">
        <v>1.43E-2</v>
      </c>
      <c r="CV84" s="230">
        <v>183897000</v>
      </c>
      <c r="CW84" s="230">
        <v>181811000</v>
      </c>
      <c r="CX84" s="230">
        <v>2086000</v>
      </c>
      <c r="CY84" s="229">
        <v>1.15E-2</v>
      </c>
      <c r="CZ84" s="228">
        <v>14.98</v>
      </c>
      <c r="DA84" s="228">
        <v>14.69</v>
      </c>
      <c r="DB84" s="228">
        <v>0.28999999999999998</v>
      </c>
      <c r="DC84" s="228">
        <v>0.28999999999999998</v>
      </c>
      <c r="DD84" s="228">
        <v>21.06</v>
      </c>
      <c r="DE84" s="228">
        <v>21.12</v>
      </c>
      <c r="DF84" s="228">
        <v>-6.08</v>
      </c>
      <c r="DG84" s="228">
        <v>-0.06</v>
      </c>
      <c r="DH84" s="228">
        <v>14.4</v>
      </c>
      <c r="DI84" s="228">
        <v>14.15</v>
      </c>
      <c r="DJ84" s="228">
        <v>0.25</v>
      </c>
      <c r="DK84" s="228">
        <v>0.25</v>
      </c>
      <c r="DL84" s="228">
        <v>15.79</v>
      </c>
      <c r="DM84" s="228">
        <v>15.47</v>
      </c>
      <c r="DN84" s="228">
        <v>0.32</v>
      </c>
      <c r="DO84" s="228">
        <v>0.32</v>
      </c>
      <c r="DP84" s="228">
        <v>0.65</v>
      </c>
      <c r="DQ84" s="228">
        <v>0.64</v>
      </c>
      <c r="DR84" s="228">
        <v>0.01</v>
      </c>
      <c r="DS84" s="229">
        <v>1.5599999999999999E-2</v>
      </c>
      <c r="DT84" s="231">
        <v>1410</v>
      </c>
      <c r="DU84" s="231">
        <v>1400</v>
      </c>
      <c r="DV84" s="228">
        <v>0.73</v>
      </c>
      <c r="DW84" s="228">
        <v>0.69</v>
      </c>
      <c r="DX84" s="228">
        <v>0.04</v>
      </c>
      <c r="DY84" s="229">
        <v>5.8000000000000003E-2</v>
      </c>
      <c r="DZ84" s="229">
        <v>0.1114</v>
      </c>
      <c r="EA84" s="230">
        <v>13579300</v>
      </c>
      <c r="EB84" s="229">
        <v>6.3E-3</v>
      </c>
      <c r="EC84" s="229">
        <v>0.1114</v>
      </c>
      <c r="ED84" s="228">
        <v>8.3000000000000007</v>
      </c>
      <c r="EE84" s="229">
        <v>5.8999999999999999E-3</v>
      </c>
      <c r="EF84" s="230">
        <v>8528166</v>
      </c>
      <c r="EG84" s="230">
        <v>12909031</v>
      </c>
      <c r="EH84" s="229">
        <v>-0.33939999999999998</v>
      </c>
      <c r="EI84" s="229">
        <v>0.70689999999999997</v>
      </c>
      <c r="EJ84" s="231">
        <v>312146.28000000003</v>
      </c>
      <c r="EK84" s="231">
        <v>220437.19</v>
      </c>
      <c r="EL84" s="231">
        <v>149491.96</v>
      </c>
      <c r="EM84" s="231">
        <v>17162</v>
      </c>
      <c r="EN84" s="231">
        <v>682075.43</v>
      </c>
      <c r="EO84" s="231">
        <v>946344.48</v>
      </c>
      <c r="EP84" s="231">
        <v>-264269.05</v>
      </c>
      <c r="EQ84" s="229">
        <v>-0.27929999999999999</v>
      </c>
      <c r="ER84" s="231">
        <v>517248</v>
      </c>
      <c r="ES84" s="231">
        <v>324391</v>
      </c>
      <c r="ET84" s="231">
        <v>1741752</v>
      </c>
      <c r="EU84" s="231">
        <v>580601807</v>
      </c>
      <c r="EV84" s="231">
        <v>2583391</v>
      </c>
      <c r="EW84" s="231">
        <v>2551585</v>
      </c>
      <c r="EX84" s="231">
        <v>31806</v>
      </c>
      <c r="EY84" s="229">
        <v>1.2500000000000001E-2</v>
      </c>
      <c r="EZ84" s="229">
        <v>0.31669999999999998</v>
      </c>
      <c r="FA84" s="227" t="s">
        <v>555</v>
      </c>
      <c r="FB84" s="161">
        <f t="shared" si="1"/>
        <v>13757100</v>
      </c>
    </row>
    <row r="85" spans="1:158" ht="17.25" hidden="1" thickBot="1" x14ac:dyDescent="0.3">
      <c r="A85" s="226">
        <v>46064</v>
      </c>
      <c r="B85" s="227" t="s">
        <v>175</v>
      </c>
      <c r="C85" s="227" t="s">
        <v>472</v>
      </c>
      <c r="D85" s="228">
        <v>325</v>
      </c>
      <c r="E85" s="231">
        <v>1922.3</v>
      </c>
      <c r="F85" s="231">
        <v>1915.5</v>
      </c>
      <c r="G85" s="228">
        <v>6.8</v>
      </c>
      <c r="H85" s="229">
        <v>3.5000000000000001E-3</v>
      </c>
      <c r="I85" s="231">
        <v>1931.7</v>
      </c>
      <c r="J85" s="231">
        <v>1909.6</v>
      </c>
      <c r="K85" s="228">
        <v>22.1</v>
      </c>
      <c r="L85" s="229">
        <v>1.1599999999999999E-2</v>
      </c>
      <c r="M85" s="231">
        <v>1922.3</v>
      </c>
      <c r="N85" s="231">
        <v>1915.5</v>
      </c>
      <c r="O85" s="228">
        <v>6.8</v>
      </c>
      <c r="P85" s="229">
        <v>3.5000000000000001E-3</v>
      </c>
      <c r="Q85" s="231">
        <v>1918.5</v>
      </c>
      <c r="R85" s="231">
        <v>1914.2</v>
      </c>
      <c r="S85" s="228">
        <v>4.3</v>
      </c>
      <c r="T85" s="229">
        <v>2.2000000000000001E-3</v>
      </c>
      <c r="U85" s="231">
        <v>1915</v>
      </c>
      <c r="V85" s="231">
        <v>1928</v>
      </c>
      <c r="W85" s="228">
        <v>-13</v>
      </c>
      <c r="X85" s="229">
        <v>-6.7000000000000002E-3</v>
      </c>
      <c r="Y85" s="228">
        <v>-9.4</v>
      </c>
      <c r="Z85" s="228">
        <v>5.9</v>
      </c>
      <c r="AA85" s="228">
        <v>-15.3</v>
      </c>
      <c r="AB85" s="229">
        <v>-4.8999999999999998E-3</v>
      </c>
      <c r="AC85" s="228">
        <v>-9.4</v>
      </c>
      <c r="AD85" s="228">
        <v>5.9</v>
      </c>
      <c r="AE85" s="228">
        <v>-15.3</v>
      </c>
      <c r="AF85" s="229">
        <v>-4.8999999999999998E-3</v>
      </c>
      <c r="AG85" s="228">
        <v>-13.2</v>
      </c>
      <c r="AH85" s="228">
        <v>4.5999999999999996</v>
      </c>
      <c r="AI85" s="228">
        <v>-17.8</v>
      </c>
      <c r="AJ85" s="229">
        <v>-6.7999999999999996E-3</v>
      </c>
      <c r="AK85" s="228">
        <v>-16.7</v>
      </c>
      <c r="AL85" s="228">
        <v>18.399999999999999</v>
      </c>
      <c r="AM85" s="228">
        <v>-35.1</v>
      </c>
      <c r="AN85" s="229">
        <v>-8.6E-3</v>
      </c>
      <c r="AO85" s="231">
        <v>1919.25</v>
      </c>
      <c r="AP85" s="231">
        <v>1918.73</v>
      </c>
      <c r="AQ85" s="228">
        <v>0</v>
      </c>
      <c r="AR85" s="230">
        <v>703300</v>
      </c>
      <c r="AS85" s="230">
        <v>1002625</v>
      </c>
      <c r="AT85" s="230">
        <v>-299325</v>
      </c>
      <c r="AU85" s="229">
        <v>-0.29849999999999999</v>
      </c>
      <c r="AV85" s="230">
        <v>667550</v>
      </c>
      <c r="AW85" s="230">
        <v>977600</v>
      </c>
      <c r="AX85" s="230">
        <v>-310050</v>
      </c>
      <c r="AY85" s="229">
        <v>-0.31719999999999998</v>
      </c>
      <c r="AZ85" s="230">
        <v>32175</v>
      </c>
      <c r="BA85" s="230">
        <v>21775</v>
      </c>
      <c r="BB85" s="230">
        <v>10400</v>
      </c>
      <c r="BC85" s="229">
        <v>0.47760000000000002</v>
      </c>
      <c r="BD85" s="230">
        <v>3575</v>
      </c>
      <c r="BE85" s="230">
        <v>3250</v>
      </c>
      <c r="BF85" s="228">
        <v>325</v>
      </c>
      <c r="BG85" s="229">
        <v>0.1</v>
      </c>
      <c r="BH85" s="230">
        <v>1384175</v>
      </c>
      <c r="BI85" s="230">
        <v>2600650</v>
      </c>
      <c r="BJ85" s="230">
        <v>-1216475</v>
      </c>
      <c r="BK85" s="229">
        <v>-0.46779999999999999</v>
      </c>
      <c r="BL85" s="230">
        <v>675675</v>
      </c>
      <c r="BM85" s="230">
        <v>1497275</v>
      </c>
      <c r="BN85" s="230">
        <v>-821600</v>
      </c>
      <c r="BO85" s="229">
        <v>-0.54869999999999997</v>
      </c>
      <c r="BP85" s="230">
        <v>2763150</v>
      </c>
      <c r="BQ85" s="230">
        <v>5100550</v>
      </c>
      <c r="BR85" s="230">
        <v>-2337400</v>
      </c>
      <c r="BS85" s="229">
        <v>-0.45829999999999999</v>
      </c>
      <c r="BT85" s="230">
        <v>588143</v>
      </c>
      <c r="BU85" s="230">
        <v>248305</v>
      </c>
      <c r="BV85" s="230">
        <v>339838</v>
      </c>
      <c r="BW85" s="229">
        <v>1.3686</v>
      </c>
      <c r="BX85" s="230">
        <v>6041425</v>
      </c>
      <c r="BY85" s="230">
        <v>5864300</v>
      </c>
      <c r="BZ85" s="230">
        <v>177125</v>
      </c>
      <c r="CA85" s="229">
        <v>3.0200000000000001E-2</v>
      </c>
      <c r="CB85" s="230">
        <v>5942300</v>
      </c>
      <c r="CC85" s="230">
        <v>5771675</v>
      </c>
      <c r="CD85" s="230">
        <v>170625</v>
      </c>
      <c r="CE85" s="229">
        <v>2.9600000000000001E-2</v>
      </c>
      <c r="CF85" s="230">
        <v>92950</v>
      </c>
      <c r="CG85" s="230">
        <v>87750</v>
      </c>
      <c r="CH85" s="230">
        <v>5200</v>
      </c>
      <c r="CI85" s="229">
        <v>5.9299999999999999E-2</v>
      </c>
      <c r="CJ85" s="230">
        <v>6175</v>
      </c>
      <c r="CK85" s="230">
        <v>4875</v>
      </c>
      <c r="CL85" s="230">
        <v>1300</v>
      </c>
      <c r="CM85" s="229">
        <v>0.26669999999999999</v>
      </c>
      <c r="CN85" s="230">
        <v>1077375</v>
      </c>
      <c r="CO85" s="230">
        <v>1036100</v>
      </c>
      <c r="CP85" s="230">
        <v>41275</v>
      </c>
      <c r="CQ85" s="229">
        <v>3.9800000000000002E-2</v>
      </c>
      <c r="CR85" s="230">
        <v>1130350</v>
      </c>
      <c r="CS85" s="230">
        <v>1055275</v>
      </c>
      <c r="CT85" s="230">
        <v>75075</v>
      </c>
      <c r="CU85" s="229">
        <v>7.1099999999999997E-2</v>
      </c>
      <c r="CV85" s="230">
        <v>8249150</v>
      </c>
      <c r="CW85" s="230">
        <v>7955675</v>
      </c>
      <c r="CX85" s="230">
        <v>293475</v>
      </c>
      <c r="CY85" s="229">
        <v>3.6900000000000002E-2</v>
      </c>
      <c r="CZ85" s="228">
        <v>20.22</v>
      </c>
      <c r="DA85" s="228">
        <v>20.47</v>
      </c>
      <c r="DB85" s="228">
        <v>-0.25</v>
      </c>
      <c r="DC85" s="228">
        <v>-0.25</v>
      </c>
      <c r="DD85" s="228">
        <v>27.09</v>
      </c>
      <c r="DE85" s="228">
        <v>27.11</v>
      </c>
      <c r="DF85" s="228">
        <v>-6.87</v>
      </c>
      <c r="DG85" s="228">
        <v>-0.02</v>
      </c>
      <c r="DH85" s="228">
        <v>19.399999999999999</v>
      </c>
      <c r="DI85" s="228">
        <v>19.739999999999998</v>
      </c>
      <c r="DJ85" s="228">
        <v>-0.34</v>
      </c>
      <c r="DK85" s="228">
        <v>-0.34</v>
      </c>
      <c r="DL85" s="228">
        <v>21.91</v>
      </c>
      <c r="DM85" s="228">
        <v>21.74</v>
      </c>
      <c r="DN85" s="228">
        <v>0.17</v>
      </c>
      <c r="DO85" s="228">
        <v>0.17</v>
      </c>
      <c r="DP85" s="228">
        <v>1.05</v>
      </c>
      <c r="DQ85" s="228">
        <v>1.02</v>
      </c>
      <c r="DR85" s="228">
        <v>0.03</v>
      </c>
      <c r="DS85" s="229">
        <v>2.9399999999999999E-2</v>
      </c>
      <c r="DT85" s="231">
        <v>2000</v>
      </c>
      <c r="DU85" s="231">
        <v>1880</v>
      </c>
      <c r="DV85" s="228">
        <v>0.49</v>
      </c>
      <c r="DW85" s="228">
        <v>0.57999999999999996</v>
      </c>
      <c r="DX85" s="228">
        <v>-0.09</v>
      </c>
      <c r="DY85" s="229">
        <v>-0.1552</v>
      </c>
      <c r="DZ85" s="229">
        <v>1.6400000000000001E-2</v>
      </c>
      <c r="EA85" s="230">
        <v>92625</v>
      </c>
      <c r="EB85" s="229">
        <v>-2E-3</v>
      </c>
      <c r="EC85" s="229">
        <v>1.6400000000000001E-2</v>
      </c>
      <c r="ED85" s="228">
        <v>-0.52</v>
      </c>
      <c r="EE85" s="229">
        <v>-2.9999999999999997E-4</v>
      </c>
      <c r="EF85" s="230">
        <v>367802</v>
      </c>
      <c r="EG85" s="230">
        <v>97078</v>
      </c>
      <c r="EH85" s="229">
        <v>2.7887</v>
      </c>
      <c r="EI85" s="229">
        <v>0.62539999999999996</v>
      </c>
      <c r="EJ85" s="231">
        <v>27385.599999999999</v>
      </c>
      <c r="EK85" s="231">
        <v>12538.2</v>
      </c>
      <c r="EL85" s="231">
        <v>13498.12</v>
      </c>
      <c r="EM85" s="231">
        <v>1808</v>
      </c>
      <c r="EN85" s="231">
        <v>53421.919999999998</v>
      </c>
      <c r="EO85" s="231">
        <v>97936.33</v>
      </c>
      <c r="EP85" s="231">
        <v>-44514.41</v>
      </c>
      <c r="EQ85" s="229">
        <v>-0.45450000000000002</v>
      </c>
      <c r="ER85" s="231">
        <v>21004</v>
      </c>
      <c r="ES85" s="231">
        <v>20588</v>
      </c>
      <c r="ET85" s="231">
        <v>116130</v>
      </c>
      <c r="EU85" s="231">
        <v>28747897</v>
      </c>
      <c r="EV85" s="231">
        <v>157723</v>
      </c>
      <c r="EW85" s="231">
        <v>151563</v>
      </c>
      <c r="EX85" s="231">
        <v>6160</v>
      </c>
      <c r="EY85" s="229">
        <v>4.0599999999999997E-2</v>
      </c>
      <c r="EZ85" s="229">
        <v>0.28689999999999999</v>
      </c>
      <c r="FA85" s="227" t="s">
        <v>555</v>
      </c>
      <c r="FB85" s="161">
        <f t="shared" si="1"/>
        <v>99125</v>
      </c>
    </row>
    <row r="86" spans="1:158" ht="17.25" hidden="1" thickBot="1" x14ac:dyDescent="0.3">
      <c r="A86" s="226">
        <v>46064</v>
      </c>
      <c r="B86" s="227" t="s">
        <v>175</v>
      </c>
      <c r="C86" s="227" t="s">
        <v>233</v>
      </c>
      <c r="D86" s="228">
        <v>925</v>
      </c>
      <c r="E86" s="228">
        <v>643.15</v>
      </c>
      <c r="F86" s="228">
        <v>644.85</v>
      </c>
      <c r="G86" s="228">
        <v>-1.7</v>
      </c>
      <c r="H86" s="229">
        <v>-2.5999999999999999E-3</v>
      </c>
      <c r="I86" s="228">
        <v>640.95000000000005</v>
      </c>
      <c r="J86" s="228">
        <v>643</v>
      </c>
      <c r="K86" s="228">
        <v>-2.0499999999999998</v>
      </c>
      <c r="L86" s="229">
        <v>-3.2000000000000002E-3</v>
      </c>
      <c r="M86" s="228">
        <v>643.15</v>
      </c>
      <c r="N86" s="228">
        <v>644.85</v>
      </c>
      <c r="O86" s="228">
        <v>-1.7</v>
      </c>
      <c r="P86" s="229">
        <v>-2.5999999999999999E-3</v>
      </c>
      <c r="Q86" s="228">
        <v>646.54999999999995</v>
      </c>
      <c r="R86" s="228">
        <v>648.15</v>
      </c>
      <c r="S86" s="228">
        <v>-1.6</v>
      </c>
      <c r="T86" s="229">
        <v>-2.5000000000000001E-3</v>
      </c>
      <c r="U86" s="228">
        <v>650.20000000000005</v>
      </c>
      <c r="V86" s="228">
        <v>652.54999999999995</v>
      </c>
      <c r="W86" s="228">
        <v>-2.35</v>
      </c>
      <c r="X86" s="229">
        <v>-3.5999999999999999E-3</v>
      </c>
      <c r="Y86" s="228">
        <v>2.2000000000000002</v>
      </c>
      <c r="Z86" s="228">
        <v>1.85</v>
      </c>
      <c r="AA86" s="228">
        <v>0.35</v>
      </c>
      <c r="AB86" s="229">
        <v>3.3999999999999998E-3</v>
      </c>
      <c r="AC86" s="228">
        <v>2.2000000000000002</v>
      </c>
      <c r="AD86" s="228">
        <v>1.85</v>
      </c>
      <c r="AE86" s="228">
        <v>0.35</v>
      </c>
      <c r="AF86" s="229">
        <v>3.3999999999999998E-3</v>
      </c>
      <c r="AG86" s="228">
        <v>5.6</v>
      </c>
      <c r="AH86" s="228">
        <v>5.15</v>
      </c>
      <c r="AI86" s="228">
        <v>0.45</v>
      </c>
      <c r="AJ86" s="229">
        <v>8.6999999999999994E-3</v>
      </c>
      <c r="AK86" s="228">
        <v>9.25</v>
      </c>
      <c r="AL86" s="228">
        <v>9.5500000000000007</v>
      </c>
      <c r="AM86" s="228">
        <v>-0.3</v>
      </c>
      <c r="AN86" s="229">
        <v>1.44E-2</v>
      </c>
      <c r="AO86" s="228">
        <v>642.5</v>
      </c>
      <c r="AP86" s="228">
        <v>645.80999999999995</v>
      </c>
      <c r="AQ86" s="228">
        <v>0</v>
      </c>
      <c r="AR86" s="230">
        <v>1208975</v>
      </c>
      <c r="AS86" s="230">
        <v>2917450</v>
      </c>
      <c r="AT86" s="230">
        <v>-1708475</v>
      </c>
      <c r="AU86" s="229">
        <v>-0.58560000000000001</v>
      </c>
      <c r="AV86" s="230">
        <v>1172900</v>
      </c>
      <c r="AW86" s="230">
        <v>2813850</v>
      </c>
      <c r="AX86" s="230">
        <v>-1640950</v>
      </c>
      <c r="AY86" s="229">
        <v>-0.58320000000000005</v>
      </c>
      <c r="AZ86" s="230">
        <v>29600</v>
      </c>
      <c r="BA86" s="230">
        <v>91575</v>
      </c>
      <c r="BB86" s="230">
        <v>-61975</v>
      </c>
      <c r="BC86" s="229">
        <v>-0.67679999999999996</v>
      </c>
      <c r="BD86" s="230">
        <v>6475</v>
      </c>
      <c r="BE86" s="230">
        <v>12025</v>
      </c>
      <c r="BF86" s="230">
        <v>-5550</v>
      </c>
      <c r="BG86" s="229">
        <v>-0.46150000000000002</v>
      </c>
      <c r="BH86" s="230">
        <v>1920300</v>
      </c>
      <c r="BI86" s="230">
        <v>3179225</v>
      </c>
      <c r="BJ86" s="230">
        <v>-1258925</v>
      </c>
      <c r="BK86" s="229">
        <v>-0.39600000000000002</v>
      </c>
      <c r="BL86" s="230">
        <v>1125725</v>
      </c>
      <c r="BM86" s="230">
        <v>2679725</v>
      </c>
      <c r="BN86" s="230">
        <v>-1554000</v>
      </c>
      <c r="BO86" s="229">
        <v>-0.57989999999999997</v>
      </c>
      <c r="BP86" s="230">
        <v>4255000</v>
      </c>
      <c r="BQ86" s="230">
        <v>8776400</v>
      </c>
      <c r="BR86" s="230">
        <v>-4521400</v>
      </c>
      <c r="BS86" s="229">
        <v>-0.51519999999999999</v>
      </c>
      <c r="BT86" s="230">
        <v>736728</v>
      </c>
      <c r="BU86" s="230">
        <v>1733095</v>
      </c>
      <c r="BV86" s="230">
        <v>-996367</v>
      </c>
      <c r="BW86" s="229">
        <v>-0.57489999999999997</v>
      </c>
      <c r="BX86" s="230">
        <v>15579775</v>
      </c>
      <c r="BY86" s="230">
        <v>15466925</v>
      </c>
      <c r="BZ86" s="230">
        <v>112850</v>
      </c>
      <c r="CA86" s="229">
        <v>7.3000000000000001E-3</v>
      </c>
      <c r="CB86" s="230">
        <v>15477100</v>
      </c>
      <c r="CC86" s="230">
        <v>15372575</v>
      </c>
      <c r="CD86" s="230">
        <v>104525</v>
      </c>
      <c r="CE86" s="229">
        <v>6.7999999999999996E-3</v>
      </c>
      <c r="CF86" s="230">
        <v>86950</v>
      </c>
      <c r="CG86" s="230">
        <v>81400</v>
      </c>
      <c r="CH86" s="230">
        <v>5550</v>
      </c>
      <c r="CI86" s="229">
        <v>6.8199999999999997E-2</v>
      </c>
      <c r="CJ86" s="230">
        <v>15725</v>
      </c>
      <c r="CK86" s="230">
        <v>12950</v>
      </c>
      <c r="CL86" s="230">
        <v>2775</v>
      </c>
      <c r="CM86" s="229">
        <v>0.21429999999999999</v>
      </c>
      <c r="CN86" s="230">
        <v>2999775</v>
      </c>
      <c r="CO86" s="230">
        <v>3107075</v>
      </c>
      <c r="CP86" s="230">
        <v>-107300</v>
      </c>
      <c r="CQ86" s="229">
        <v>-3.4500000000000003E-2</v>
      </c>
      <c r="CR86" s="230">
        <v>2167275</v>
      </c>
      <c r="CS86" s="230">
        <v>2270875</v>
      </c>
      <c r="CT86" s="230">
        <v>-103600</v>
      </c>
      <c r="CU86" s="229">
        <v>-4.5600000000000002E-2</v>
      </c>
      <c r="CV86" s="230">
        <v>20746825</v>
      </c>
      <c r="CW86" s="230">
        <v>20844875</v>
      </c>
      <c r="CX86" s="230">
        <v>-98050</v>
      </c>
      <c r="CY86" s="229">
        <v>-4.7000000000000002E-3</v>
      </c>
      <c r="CZ86" s="228">
        <v>22.42</v>
      </c>
      <c r="DA86" s="228">
        <v>22.75</v>
      </c>
      <c r="DB86" s="228">
        <v>-0.33</v>
      </c>
      <c r="DC86" s="228">
        <v>-0.33</v>
      </c>
      <c r="DD86" s="228">
        <v>26.67</v>
      </c>
      <c r="DE86" s="228">
        <v>26.73</v>
      </c>
      <c r="DF86" s="228">
        <v>-4.25</v>
      </c>
      <c r="DG86" s="228">
        <v>-0.06</v>
      </c>
      <c r="DH86" s="228">
        <v>21.97</v>
      </c>
      <c r="DI86" s="228">
        <v>21.7</v>
      </c>
      <c r="DJ86" s="228">
        <v>0.27</v>
      </c>
      <c r="DK86" s="228">
        <v>0.27</v>
      </c>
      <c r="DL86" s="228">
        <v>23.19</v>
      </c>
      <c r="DM86" s="228">
        <v>24</v>
      </c>
      <c r="DN86" s="228">
        <v>-0.81</v>
      </c>
      <c r="DO86" s="228">
        <v>-0.81</v>
      </c>
      <c r="DP86" s="228">
        <v>0.72</v>
      </c>
      <c r="DQ86" s="228">
        <v>0.73</v>
      </c>
      <c r="DR86" s="228">
        <v>-0.01</v>
      </c>
      <c r="DS86" s="229">
        <v>-1.37E-2</v>
      </c>
      <c r="DT86" s="228">
        <v>660</v>
      </c>
      <c r="DU86" s="228">
        <v>600</v>
      </c>
      <c r="DV86" s="228">
        <v>0.59</v>
      </c>
      <c r="DW86" s="228">
        <v>0.84</v>
      </c>
      <c r="DX86" s="228">
        <v>-0.25</v>
      </c>
      <c r="DY86" s="229">
        <v>-0.29759999999999998</v>
      </c>
      <c r="DZ86" s="229">
        <v>6.6E-3</v>
      </c>
      <c r="EA86" s="230">
        <v>94350</v>
      </c>
      <c r="EB86" s="229">
        <v>5.3E-3</v>
      </c>
      <c r="EC86" s="229">
        <v>6.6E-3</v>
      </c>
      <c r="ED86" s="228">
        <v>3.31</v>
      </c>
      <c r="EE86" s="229">
        <v>5.1999999999999998E-3</v>
      </c>
      <c r="EF86" s="230">
        <v>394344</v>
      </c>
      <c r="EG86" s="230">
        <v>1170542</v>
      </c>
      <c r="EH86" s="229">
        <v>-0.66310000000000002</v>
      </c>
      <c r="EI86" s="229">
        <v>0.5353</v>
      </c>
      <c r="EJ86" s="231">
        <v>12831.69</v>
      </c>
      <c r="EK86" s="231">
        <v>7195.13</v>
      </c>
      <c r="EL86" s="231">
        <v>7769.07</v>
      </c>
      <c r="EM86" s="231">
        <v>1992</v>
      </c>
      <c r="EN86" s="231">
        <v>27795.89</v>
      </c>
      <c r="EO86" s="231">
        <v>57171.83</v>
      </c>
      <c r="EP86" s="231">
        <v>-29375.94</v>
      </c>
      <c r="EQ86" s="229">
        <v>-0.51380000000000003</v>
      </c>
      <c r="ER86" s="231">
        <v>20195</v>
      </c>
      <c r="ES86" s="231">
        <v>13506</v>
      </c>
      <c r="ET86" s="231">
        <v>100205</v>
      </c>
      <c r="EU86" s="231">
        <v>58746582</v>
      </c>
      <c r="EV86" s="231">
        <v>133906</v>
      </c>
      <c r="EW86" s="231">
        <v>134858</v>
      </c>
      <c r="EX86" s="228">
        <v>-952</v>
      </c>
      <c r="EY86" s="229">
        <v>-7.1000000000000004E-3</v>
      </c>
      <c r="EZ86" s="229">
        <v>0.35320000000000001</v>
      </c>
      <c r="FA86" s="227" t="s">
        <v>567</v>
      </c>
      <c r="FB86" s="161">
        <f t="shared" si="1"/>
        <v>102675</v>
      </c>
    </row>
    <row r="87" spans="1:158" ht="17.25" hidden="1" thickBot="1" x14ac:dyDescent="0.3">
      <c r="A87" s="226">
        <v>46064</v>
      </c>
      <c r="B87" s="227" t="s">
        <v>188</v>
      </c>
      <c r="C87" s="227" t="s">
        <v>234</v>
      </c>
      <c r="D87" s="228">
        <v>71475</v>
      </c>
      <c r="E87" s="228">
        <v>11.85</v>
      </c>
      <c r="F87" s="228">
        <v>11.51</v>
      </c>
      <c r="G87" s="228">
        <v>0.34</v>
      </c>
      <c r="H87" s="229">
        <v>2.9499999999999998E-2</v>
      </c>
      <c r="I87" s="228">
        <v>11.85</v>
      </c>
      <c r="J87" s="228">
        <v>11.48</v>
      </c>
      <c r="K87" s="228">
        <v>0.37</v>
      </c>
      <c r="L87" s="229">
        <v>3.2199999999999999E-2</v>
      </c>
      <c r="M87" s="228">
        <v>11.85</v>
      </c>
      <c r="N87" s="228">
        <v>11.51</v>
      </c>
      <c r="O87" s="228">
        <v>0.34</v>
      </c>
      <c r="P87" s="229">
        <v>2.9499999999999998E-2</v>
      </c>
      <c r="Q87" s="228">
        <v>11.94</v>
      </c>
      <c r="R87" s="228">
        <v>11.6</v>
      </c>
      <c r="S87" s="228">
        <v>0.34</v>
      </c>
      <c r="T87" s="229">
        <v>2.93E-2</v>
      </c>
      <c r="U87" s="228">
        <v>12.01</v>
      </c>
      <c r="V87" s="228">
        <v>11.68</v>
      </c>
      <c r="W87" s="228">
        <v>0.33</v>
      </c>
      <c r="X87" s="229">
        <v>2.8299999999999999E-2</v>
      </c>
      <c r="Y87" s="228">
        <v>0</v>
      </c>
      <c r="Z87" s="228">
        <v>0.03</v>
      </c>
      <c r="AA87" s="228">
        <v>-0.03</v>
      </c>
      <c r="AB87" s="229">
        <v>0</v>
      </c>
      <c r="AC87" s="228">
        <v>0</v>
      </c>
      <c r="AD87" s="228">
        <v>0.03</v>
      </c>
      <c r="AE87" s="228">
        <v>-0.03</v>
      </c>
      <c r="AF87" s="229">
        <v>0</v>
      </c>
      <c r="AG87" s="228">
        <v>0.09</v>
      </c>
      <c r="AH87" s="228">
        <v>0.12</v>
      </c>
      <c r="AI87" s="228">
        <v>-0.03</v>
      </c>
      <c r="AJ87" s="229">
        <v>7.6E-3</v>
      </c>
      <c r="AK87" s="228">
        <v>0.16</v>
      </c>
      <c r="AL87" s="228">
        <v>0.2</v>
      </c>
      <c r="AM87" s="228">
        <v>-0.04</v>
      </c>
      <c r="AN87" s="229">
        <v>1.35E-2</v>
      </c>
      <c r="AO87" s="228">
        <v>11.72</v>
      </c>
      <c r="AP87" s="228">
        <v>11.76</v>
      </c>
      <c r="AQ87" s="228">
        <v>0</v>
      </c>
      <c r="AR87" s="230">
        <v>980637000</v>
      </c>
      <c r="AS87" s="230">
        <v>476666775</v>
      </c>
      <c r="AT87" s="230">
        <v>503970225</v>
      </c>
      <c r="AU87" s="229">
        <v>1.0572999999999999</v>
      </c>
      <c r="AV87" s="230">
        <v>746556375</v>
      </c>
      <c r="AW87" s="230">
        <v>404619975</v>
      </c>
      <c r="AX87" s="230">
        <v>341936400</v>
      </c>
      <c r="AY87" s="229">
        <v>0.84509999999999996</v>
      </c>
      <c r="AZ87" s="230">
        <v>214639425</v>
      </c>
      <c r="BA87" s="230">
        <v>61182600</v>
      </c>
      <c r="BB87" s="230">
        <v>153456825</v>
      </c>
      <c r="BC87" s="229">
        <v>2.5082</v>
      </c>
      <c r="BD87" s="230">
        <v>19441200</v>
      </c>
      <c r="BE87" s="230">
        <v>10864200</v>
      </c>
      <c r="BF87" s="230">
        <v>8577000</v>
      </c>
      <c r="BG87" s="229">
        <v>0.78949999999999998</v>
      </c>
      <c r="BH87" s="230">
        <v>1867570275</v>
      </c>
      <c r="BI87" s="230">
        <v>753632400</v>
      </c>
      <c r="BJ87" s="230">
        <v>1113937875</v>
      </c>
      <c r="BK87" s="229">
        <v>1.4781</v>
      </c>
      <c r="BL87" s="230">
        <v>822319875</v>
      </c>
      <c r="BM87" s="230">
        <v>348297675</v>
      </c>
      <c r="BN87" s="230">
        <v>474022200</v>
      </c>
      <c r="BO87" s="229">
        <v>1.361</v>
      </c>
      <c r="BP87" s="230">
        <v>3670527150</v>
      </c>
      <c r="BQ87" s="230">
        <v>1578596850</v>
      </c>
      <c r="BR87" s="230">
        <v>2091930300</v>
      </c>
      <c r="BS87" s="229">
        <v>1.3251999999999999</v>
      </c>
      <c r="BT87" s="230">
        <v>926787744</v>
      </c>
      <c r="BU87" s="230">
        <v>429209162</v>
      </c>
      <c r="BV87" s="230">
        <v>497578582</v>
      </c>
      <c r="BW87" s="229">
        <v>1.1593</v>
      </c>
      <c r="BX87" s="230">
        <v>7137707925</v>
      </c>
      <c r="BY87" s="230">
        <v>7191099750</v>
      </c>
      <c r="BZ87" s="230">
        <v>-53391825</v>
      </c>
      <c r="CA87" s="229">
        <v>-7.4000000000000003E-3</v>
      </c>
      <c r="CB87" s="230">
        <v>6611080125</v>
      </c>
      <c r="CC87" s="230">
        <v>6745953450</v>
      </c>
      <c r="CD87" s="230">
        <v>-134873325</v>
      </c>
      <c r="CE87" s="229">
        <v>-0.02</v>
      </c>
      <c r="CF87" s="230">
        <v>489317850</v>
      </c>
      <c r="CG87" s="230">
        <v>411338625</v>
      </c>
      <c r="CH87" s="230">
        <v>77979225</v>
      </c>
      <c r="CI87" s="229">
        <v>0.18959999999999999</v>
      </c>
      <c r="CJ87" s="230">
        <v>37309950</v>
      </c>
      <c r="CK87" s="230">
        <v>33807675</v>
      </c>
      <c r="CL87" s="230">
        <v>3502275</v>
      </c>
      <c r="CM87" s="229">
        <v>0.1036</v>
      </c>
      <c r="CN87" s="230">
        <v>1717401300</v>
      </c>
      <c r="CO87" s="230">
        <v>1705322025</v>
      </c>
      <c r="CP87" s="230">
        <v>12079275</v>
      </c>
      <c r="CQ87" s="229">
        <v>7.1000000000000004E-3</v>
      </c>
      <c r="CR87" s="230">
        <v>1071195825</v>
      </c>
      <c r="CS87" s="230">
        <v>1047394650</v>
      </c>
      <c r="CT87" s="230">
        <v>23801175</v>
      </c>
      <c r="CU87" s="229">
        <v>2.2700000000000001E-2</v>
      </c>
      <c r="CV87" s="230">
        <v>9926305050</v>
      </c>
      <c r="CW87" s="230">
        <v>9943816425</v>
      </c>
      <c r="CX87" s="230">
        <v>-17511375</v>
      </c>
      <c r="CY87" s="229">
        <v>-1.8E-3</v>
      </c>
      <c r="CZ87" s="228">
        <v>55.63</v>
      </c>
      <c r="DA87" s="228">
        <v>56.15</v>
      </c>
      <c r="DB87" s="228">
        <v>-0.52</v>
      </c>
      <c r="DC87" s="228">
        <v>-0.52</v>
      </c>
      <c r="DD87" s="228">
        <v>67.63</v>
      </c>
      <c r="DE87" s="228">
        <v>67.680000000000007</v>
      </c>
      <c r="DF87" s="228">
        <v>-12</v>
      </c>
      <c r="DG87" s="228">
        <v>-0.05</v>
      </c>
      <c r="DH87" s="228">
        <v>55.57</v>
      </c>
      <c r="DI87" s="228">
        <v>57.03</v>
      </c>
      <c r="DJ87" s="228">
        <v>-1.46</v>
      </c>
      <c r="DK87" s="228">
        <v>-1.46</v>
      </c>
      <c r="DL87" s="228">
        <v>55.75</v>
      </c>
      <c r="DM87" s="228">
        <v>54.26</v>
      </c>
      <c r="DN87" s="228">
        <v>1.49</v>
      </c>
      <c r="DO87" s="228">
        <v>1.49</v>
      </c>
      <c r="DP87" s="228">
        <v>0.62</v>
      </c>
      <c r="DQ87" s="228">
        <v>0.61</v>
      </c>
      <c r="DR87" s="228">
        <v>0.01</v>
      </c>
      <c r="DS87" s="229">
        <v>1.6400000000000001E-2</v>
      </c>
      <c r="DT87" s="228">
        <v>12</v>
      </c>
      <c r="DU87" s="228">
        <v>10</v>
      </c>
      <c r="DV87" s="228">
        <v>0.44</v>
      </c>
      <c r="DW87" s="228">
        <v>0.46</v>
      </c>
      <c r="DX87" s="228">
        <v>-0.02</v>
      </c>
      <c r="DY87" s="229">
        <v>-4.3499999999999997E-2</v>
      </c>
      <c r="DZ87" s="229">
        <v>7.3800000000000004E-2</v>
      </c>
      <c r="EA87" s="230">
        <v>445146300</v>
      </c>
      <c r="EB87" s="229">
        <v>7.6E-3</v>
      </c>
      <c r="EC87" s="229">
        <v>7.3800000000000004E-2</v>
      </c>
      <c r="ED87" s="228">
        <v>0.04</v>
      </c>
      <c r="EE87" s="229">
        <v>3.3999999999999998E-3</v>
      </c>
      <c r="EF87" s="230">
        <v>295717448</v>
      </c>
      <c r="EG87" s="230">
        <v>121421633</v>
      </c>
      <c r="EH87" s="229">
        <v>1.4355</v>
      </c>
      <c r="EI87" s="229">
        <v>0.31909999999999999</v>
      </c>
      <c r="EJ87" s="231">
        <v>243032.68</v>
      </c>
      <c r="EK87" s="231">
        <v>90865.65</v>
      </c>
      <c r="EL87" s="231">
        <v>115025.49</v>
      </c>
      <c r="EM87" s="231">
        <v>8777</v>
      </c>
      <c r="EN87" s="231">
        <v>448923.82</v>
      </c>
      <c r="EO87" s="231">
        <v>191131.16</v>
      </c>
      <c r="EP87" s="231">
        <v>257792.66</v>
      </c>
      <c r="EQ87" s="229">
        <v>1.3488</v>
      </c>
      <c r="ER87" s="231">
        <v>215642</v>
      </c>
      <c r="ES87" s="231">
        <v>111507</v>
      </c>
      <c r="ET87" s="231">
        <v>846318</v>
      </c>
      <c r="EU87" s="231">
        <v>12037179660</v>
      </c>
      <c r="EV87" s="231">
        <v>1173468</v>
      </c>
      <c r="EW87" s="231">
        <v>1149641</v>
      </c>
      <c r="EX87" s="231">
        <v>23827</v>
      </c>
      <c r="EY87" s="229">
        <v>2.07E-2</v>
      </c>
      <c r="EZ87" s="229">
        <v>0.8246</v>
      </c>
      <c r="FA87" s="227" t="s">
        <v>556</v>
      </c>
      <c r="FB87" s="161">
        <f t="shared" si="1"/>
        <v>526627800</v>
      </c>
    </row>
    <row r="88" spans="1:158" ht="17.25" hidden="1" thickBot="1" x14ac:dyDescent="0.3">
      <c r="A88" s="226">
        <v>46064</v>
      </c>
      <c r="B88" s="227" t="s">
        <v>172</v>
      </c>
      <c r="C88" s="227" t="s">
        <v>235</v>
      </c>
      <c r="D88" s="228">
        <v>9275</v>
      </c>
      <c r="E88" s="228">
        <v>82.73</v>
      </c>
      <c r="F88" s="228">
        <v>84.08</v>
      </c>
      <c r="G88" s="228">
        <v>-1.35</v>
      </c>
      <c r="H88" s="229">
        <v>-1.61E-2</v>
      </c>
      <c r="I88" s="228">
        <v>82.56</v>
      </c>
      <c r="J88" s="228">
        <v>83.77</v>
      </c>
      <c r="K88" s="228">
        <v>-1.21</v>
      </c>
      <c r="L88" s="229">
        <v>-1.44E-2</v>
      </c>
      <c r="M88" s="228">
        <v>82.73</v>
      </c>
      <c r="N88" s="228">
        <v>84.08</v>
      </c>
      <c r="O88" s="228">
        <v>-1.35</v>
      </c>
      <c r="P88" s="229">
        <v>-1.61E-2</v>
      </c>
      <c r="Q88" s="228">
        <v>83.23</v>
      </c>
      <c r="R88" s="228">
        <v>84.58</v>
      </c>
      <c r="S88" s="228">
        <v>-1.35</v>
      </c>
      <c r="T88" s="229">
        <v>-1.6E-2</v>
      </c>
      <c r="U88" s="228">
        <v>83.74</v>
      </c>
      <c r="V88" s="228">
        <v>85</v>
      </c>
      <c r="W88" s="228">
        <v>-1.26</v>
      </c>
      <c r="X88" s="229">
        <v>-1.4800000000000001E-2</v>
      </c>
      <c r="Y88" s="228">
        <v>0.17</v>
      </c>
      <c r="Z88" s="228">
        <v>0.31</v>
      </c>
      <c r="AA88" s="228">
        <v>-0.14000000000000001</v>
      </c>
      <c r="AB88" s="229">
        <v>2.0999999999999999E-3</v>
      </c>
      <c r="AC88" s="228">
        <v>0.17</v>
      </c>
      <c r="AD88" s="228">
        <v>0.31</v>
      </c>
      <c r="AE88" s="228">
        <v>-0.14000000000000001</v>
      </c>
      <c r="AF88" s="229">
        <v>2.0999999999999999E-3</v>
      </c>
      <c r="AG88" s="228">
        <v>0.67</v>
      </c>
      <c r="AH88" s="228">
        <v>0.81</v>
      </c>
      <c r="AI88" s="228">
        <v>-0.14000000000000001</v>
      </c>
      <c r="AJ88" s="229">
        <v>8.0999999999999996E-3</v>
      </c>
      <c r="AK88" s="228">
        <v>1.18</v>
      </c>
      <c r="AL88" s="228">
        <v>1.23</v>
      </c>
      <c r="AM88" s="228">
        <v>-0.05</v>
      </c>
      <c r="AN88" s="229">
        <v>1.43E-2</v>
      </c>
      <c r="AO88" s="228">
        <v>83.08</v>
      </c>
      <c r="AP88" s="228">
        <v>83.61</v>
      </c>
      <c r="AQ88" s="228">
        <v>0</v>
      </c>
      <c r="AR88" s="230">
        <v>45948350</v>
      </c>
      <c r="AS88" s="230">
        <v>32212075</v>
      </c>
      <c r="AT88" s="230">
        <v>13736275</v>
      </c>
      <c r="AU88" s="229">
        <v>0.4264</v>
      </c>
      <c r="AV88" s="230">
        <v>38611825</v>
      </c>
      <c r="AW88" s="230">
        <v>26712000</v>
      </c>
      <c r="AX88" s="230">
        <v>11899825</v>
      </c>
      <c r="AY88" s="229">
        <v>0.44550000000000001</v>
      </c>
      <c r="AZ88" s="230">
        <v>6538875</v>
      </c>
      <c r="BA88" s="230">
        <v>4628225</v>
      </c>
      <c r="BB88" s="230">
        <v>1910650</v>
      </c>
      <c r="BC88" s="229">
        <v>0.4128</v>
      </c>
      <c r="BD88" s="230">
        <v>797650</v>
      </c>
      <c r="BE88" s="230">
        <v>871850</v>
      </c>
      <c r="BF88" s="230">
        <v>-74200</v>
      </c>
      <c r="BG88" s="229">
        <v>-8.5099999999999995E-2</v>
      </c>
      <c r="BH88" s="230">
        <v>100095800</v>
      </c>
      <c r="BI88" s="230">
        <v>86795450</v>
      </c>
      <c r="BJ88" s="230">
        <v>13300350</v>
      </c>
      <c r="BK88" s="229">
        <v>0.1532</v>
      </c>
      <c r="BL88" s="230">
        <v>58469600</v>
      </c>
      <c r="BM88" s="230">
        <v>34688500</v>
      </c>
      <c r="BN88" s="230">
        <v>23781100</v>
      </c>
      <c r="BO88" s="229">
        <v>0.68559999999999999</v>
      </c>
      <c r="BP88" s="230">
        <v>204513750</v>
      </c>
      <c r="BQ88" s="230">
        <v>153696025</v>
      </c>
      <c r="BR88" s="230">
        <v>50817725</v>
      </c>
      <c r="BS88" s="229">
        <v>0.3306</v>
      </c>
      <c r="BT88" s="230">
        <v>22180199</v>
      </c>
      <c r="BU88" s="230">
        <v>17782456</v>
      </c>
      <c r="BV88" s="230">
        <v>4397743</v>
      </c>
      <c r="BW88" s="229">
        <v>0.24729999999999999</v>
      </c>
      <c r="BX88" s="230">
        <v>288897700</v>
      </c>
      <c r="BY88" s="230">
        <v>277034975</v>
      </c>
      <c r="BZ88" s="230">
        <v>11862725</v>
      </c>
      <c r="CA88" s="229">
        <v>4.2799999999999998E-2</v>
      </c>
      <c r="CB88" s="230">
        <v>264420975</v>
      </c>
      <c r="CC88" s="230">
        <v>256073475</v>
      </c>
      <c r="CD88" s="230">
        <v>8347500</v>
      </c>
      <c r="CE88" s="229">
        <v>3.2599999999999997E-2</v>
      </c>
      <c r="CF88" s="230">
        <v>21647850</v>
      </c>
      <c r="CG88" s="230">
        <v>18698400</v>
      </c>
      <c r="CH88" s="230">
        <v>2949450</v>
      </c>
      <c r="CI88" s="229">
        <v>0.15770000000000001</v>
      </c>
      <c r="CJ88" s="230">
        <v>2828875</v>
      </c>
      <c r="CK88" s="230">
        <v>2263100</v>
      </c>
      <c r="CL88" s="230">
        <v>565775</v>
      </c>
      <c r="CM88" s="229">
        <v>0.25</v>
      </c>
      <c r="CN88" s="230">
        <v>143252375</v>
      </c>
      <c r="CO88" s="230">
        <v>132131650</v>
      </c>
      <c r="CP88" s="230">
        <v>11120725</v>
      </c>
      <c r="CQ88" s="229">
        <v>8.4199999999999997E-2</v>
      </c>
      <c r="CR88" s="230">
        <v>98046025</v>
      </c>
      <c r="CS88" s="230">
        <v>93955750</v>
      </c>
      <c r="CT88" s="230">
        <v>4090275</v>
      </c>
      <c r="CU88" s="229">
        <v>4.3499999999999997E-2</v>
      </c>
      <c r="CV88" s="230">
        <v>530196100</v>
      </c>
      <c r="CW88" s="230">
        <v>503122375</v>
      </c>
      <c r="CX88" s="230">
        <v>27073725</v>
      </c>
      <c r="CY88" s="229">
        <v>5.3800000000000001E-2</v>
      </c>
      <c r="CZ88" s="228">
        <v>28.67</v>
      </c>
      <c r="DA88" s="228">
        <v>27.32</v>
      </c>
      <c r="DB88" s="228">
        <v>1.35</v>
      </c>
      <c r="DC88" s="228">
        <v>1.35</v>
      </c>
      <c r="DD88" s="228">
        <v>31.83</v>
      </c>
      <c r="DE88" s="228">
        <v>31.83</v>
      </c>
      <c r="DF88" s="228">
        <v>-3.16</v>
      </c>
      <c r="DG88" s="228">
        <v>0</v>
      </c>
      <c r="DH88" s="228">
        <v>29.01</v>
      </c>
      <c r="DI88" s="228">
        <v>27.48</v>
      </c>
      <c r="DJ88" s="228">
        <v>1.53</v>
      </c>
      <c r="DK88" s="228">
        <v>1.53</v>
      </c>
      <c r="DL88" s="228">
        <v>28.1</v>
      </c>
      <c r="DM88" s="228">
        <v>26.92</v>
      </c>
      <c r="DN88" s="228">
        <v>1.18</v>
      </c>
      <c r="DO88" s="228">
        <v>1.18</v>
      </c>
      <c r="DP88" s="228">
        <v>0.68</v>
      </c>
      <c r="DQ88" s="228">
        <v>0.71</v>
      </c>
      <c r="DR88" s="228">
        <v>-0.03</v>
      </c>
      <c r="DS88" s="229">
        <v>-4.2299999999999997E-2</v>
      </c>
      <c r="DT88" s="228">
        <v>85</v>
      </c>
      <c r="DU88" s="228">
        <v>80</v>
      </c>
      <c r="DV88" s="228">
        <v>0.57999999999999996</v>
      </c>
      <c r="DW88" s="228">
        <v>0.4</v>
      </c>
      <c r="DX88" s="228">
        <v>0.18</v>
      </c>
      <c r="DY88" s="229">
        <v>0.45</v>
      </c>
      <c r="DZ88" s="229">
        <v>8.4699999999999998E-2</v>
      </c>
      <c r="EA88" s="230">
        <v>20961500</v>
      </c>
      <c r="EB88" s="229">
        <v>6.0000000000000001E-3</v>
      </c>
      <c r="EC88" s="229">
        <v>8.4699999999999998E-2</v>
      </c>
      <c r="ED88" s="228">
        <v>0.53</v>
      </c>
      <c r="EE88" s="229">
        <v>6.4000000000000003E-3</v>
      </c>
      <c r="EF88" s="230">
        <v>12220791</v>
      </c>
      <c r="EG88" s="230">
        <v>10384769</v>
      </c>
      <c r="EH88" s="229">
        <v>0.17680000000000001</v>
      </c>
      <c r="EI88" s="229">
        <v>0.55100000000000005</v>
      </c>
      <c r="EJ88" s="231">
        <v>87556.04</v>
      </c>
      <c r="EK88" s="231">
        <v>47815.32</v>
      </c>
      <c r="EL88" s="231">
        <v>38215.730000000003</v>
      </c>
      <c r="EM88" s="231">
        <v>4255</v>
      </c>
      <c r="EN88" s="231">
        <v>173587.09</v>
      </c>
      <c r="EO88" s="231">
        <v>132819.67000000001</v>
      </c>
      <c r="EP88" s="231">
        <v>40767.42</v>
      </c>
      <c r="EQ88" s="229">
        <v>0.30690000000000001</v>
      </c>
      <c r="ER88" s="231">
        <v>125191</v>
      </c>
      <c r="ES88" s="231">
        <v>79191</v>
      </c>
      <c r="ET88" s="231">
        <v>239142</v>
      </c>
      <c r="EU88" s="231">
        <v>936861183</v>
      </c>
      <c r="EV88" s="231">
        <v>443524</v>
      </c>
      <c r="EW88" s="231">
        <v>424954</v>
      </c>
      <c r="EX88" s="231">
        <v>18570</v>
      </c>
      <c r="EY88" s="229">
        <v>4.3700000000000003E-2</v>
      </c>
      <c r="EZ88" s="229">
        <v>0.56589999999999996</v>
      </c>
      <c r="FA88" s="227" t="s">
        <v>567</v>
      </c>
      <c r="FB88" s="161">
        <f t="shared" si="1"/>
        <v>24476725</v>
      </c>
    </row>
    <row r="89" spans="1:158" ht="17.25" hidden="1" thickBot="1" x14ac:dyDescent="0.3">
      <c r="A89" s="226">
        <v>46064</v>
      </c>
      <c r="B89" s="227" t="s">
        <v>161</v>
      </c>
      <c r="C89" s="227" t="s">
        <v>514</v>
      </c>
      <c r="D89" s="228">
        <v>3750</v>
      </c>
      <c r="E89" s="228">
        <v>127.65</v>
      </c>
      <c r="F89" s="228">
        <v>126.23</v>
      </c>
      <c r="G89" s="228">
        <v>1.42</v>
      </c>
      <c r="H89" s="229">
        <v>1.12E-2</v>
      </c>
      <c r="I89" s="228">
        <v>127.16</v>
      </c>
      <c r="J89" s="228">
        <v>126.14</v>
      </c>
      <c r="K89" s="228">
        <v>1.02</v>
      </c>
      <c r="L89" s="229">
        <v>8.0999999999999996E-3</v>
      </c>
      <c r="M89" s="228">
        <v>127.65</v>
      </c>
      <c r="N89" s="228">
        <v>126.23</v>
      </c>
      <c r="O89" s="228">
        <v>1.42</v>
      </c>
      <c r="P89" s="229">
        <v>1.12E-2</v>
      </c>
      <c r="Q89" s="228">
        <v>128.33000000000001</v>
      </c>
      <c r="R89" s="228">
        <v>126.85</v>
      </c>
      <c r="S89" s="228">
        <v>1.48</v>
      </c>
      <c r="T89" s="229">
        <v>1.17E-2</v>
      </c>
      <c r="U89" s="228">
        <v>128.97</v>
      </c>
      <c r="V89" s="228">
        <v>127.74</v>
      </c>
      <c r="W89" s="228">
        <v>1.23</v>
      </c>
      <c r="X89" s="229">
        <v>9.5999999999999992E-3</v>
      </c>
      <c r="Y89" s="228">
        <v>0.49</v>
      </c>
      <c r="Z89" s="228">
        <v>0.09</v>
      </c>
      <c r="AA89" s="228">
        <v>0.4</v>
      </c>
      <c r="AB89" s="229">
        <v>3.8999999999999998E-3</v>
      </c>
      <c r="AC89" s="228">
        <v>0.49</v>
      </c>
      <c r="AD89" s="228">
        <v>0.09</v>
      </c>
      <c r="AE89" s="228">
        <v>0.4</v>
      </c>
      <c r="AF89" s="229">
        <v>3.8999999999999998E-3</v>
      </c>
      <c r="AG89" s="228">
        <v>1.17</v>
      </c>
      <c r="AH89" s="228">
        <v>0.71</v>
      </c>
      <c r="AI89" s="228">
        <v>0.46</v>
      </c>
      <c r="AJ89" s="229">
        <v>9.1999999999999998E-3</v>
      </c>
      <c r="AK89" s="228">
        <v>1.81</v>
      </c>
      <c r="AL89" s="228">
        <v>1.6</v>
      </c>
      <c r="AM89" s="228">
        <v>0.21</v>
      </c>
      <c r="AN89" s="229">
        <v>1.4200000000000001E-2</v>
      </c>
      <c r="AO89" s="228">
        <v>126.8</v>
      </c>
      <c r="AP89" s="228">
        <v>127.41</v>
      </c>
      <c r="AQ89" s="228">
        <v>0</v>
      </c>
      <c r="AR89" s="230">
        <v>14088750</v>
      </c>
      <c r="AS89" s="230">
        <v>11171250</v>
      </c>
      <c r="AT89" s="230">
        <v>2917500</v>
      </c>
      <c r="AU89" s="229">
        <v>0.26119999999999999</v>
      </c>
      <c r="AV89" s="230">
        <v>11088750</v>
      </c>
      <c r="AW89" s="230">
        <v>8958750</v>
      </c>
      <c r="AX89" s="230">
        <v>2130000</v>
      </c>
      <c r="AY89" s="229">
        <v>0.23780000000000001</v>
      </c>
      <c r="AZ89" s="230">
        <v>2707500</v>
      </c>
      <c r="BA89" s="230">
        <v>1886250</v>
      </c>
      <c r="BB89" s="230">
        <v>821250</v>
      </c>
      <c r="BC89" s="229">
        <v>0.43540000000000001</v>
      </c>
      <c r="BD89" s="230">
        <v>292500</v>
      </c>
      <c r="BE89" s="230">
        <v>326250</v>
      </c>
      <c r="BF89" s="230">
        <v>-33750</v>
      </c>
      <c r="BG89" s="229">
        <v>-0.10340000000000001</v>
      </c>
      <c r="BH89" s="230">
        <v>38996250</v>
      </c>
      <c r="BI89" s="230">
        <v>30378750</v>
      </c>
      <c r="BJ89" s="230">
        <v>8617500</v>
      </c>
      <c r="BK89" s="229">
        <v>0.28370000000000001</v>
      </c>
      <c r="BL89" s="230">
        <v>11175000</v>
      </c>
      <c r="BM89" s="230">
        <v>12468750</v>
      </c>
      <c r="BN89" s="230">
        <v>-1293750</v>
      </c>
      <c r="BO89" s="229">
        <v>-0.1038</v>
      </c>
      <c r="BP89" s="230">
        <v>64260000</v>
      </c>
      <c r="BQ89" s="230">
        <v>54018750</v>
      </c>
      <c r="BR89" s="230">
        <v>10241250</v>
      </c>
      <c r="BS89" s="229">
        <v>0.18959999999999999</v>
      </c>
      <c r="BT89" s="230">
        <v>6473556</v>
      </c>
      <c r="BU89" s="230">
        <v>10180188</v>
      </c>
      <c r="BV89" s="230">
        <v>-3706632</v>
      </c>
      <c r="BW89" s="229">
        <v>-0.36409999999999998</v>
      </c>
      <c r="BX89" s="230">
        <v>85518750</v>
      </c>
      <c r="BY89" s="230">
        <v>86493750</v>
      </c>
      <c r="BZ89" s="230">
        <v>-975000</v>
      </c>
      <c r="CA89" s="229">
        <v>-1.1299999999999999E-2</v>
      </c>
      <c r="CB89" s="230">
        <v>75630000</v>
      </c>
      <c r="CC89" s="230">
        <v>77613750</v>
      </c>
      <c r="CD89" s="230">
        <v>-1983750</v>
      </c>
      <c r="CE89" s="229">
        <v>-2.5600000000000001E-2</v>
      </c>
      <c r="CF89" s="230">
        <v>8857500</v>
      </c>
      <c r="CG89" s="230">
        <v>7882500</v>
      </c>
      <c r="CH89" s="230">
        <v>975000</v>
      </c>
      <c r="CI89" s="229">
        <v>0.1237</v>
      </c>
      <c r="CJ89" s="230">
        <v>1031250</v>
      </c>
      <c r="CK89" s="230">
        <v>997500</v>
      </c>
      <c r="CL89" s="230">
        <v>33750</v>
      </c>
      <c r="CM89" s="229">
        <v>3.3799999999999997E-2</v>
      </c>
      <c r="CN89" s="230">
        <v>71156250</v>
      </c>
      <c r="CO89" s="230">
        <v>68838750</v>
      </c>
      <c r="CP89" s="230">
        <v>2317500</v>
      </c>
      <c r="CQ89" s="229">
        <v>3.3700000000000001E-2</v>
      </c>
      <c r="CR89" s="230">
        <v>48022500</v>
      </c>
      <c r="CS89" s="230">
        <v>47610000</v>
      </c>
      <c r="CT89" s="230">
        <v>412500</v>
      </c>
      <c r="CU89" s="229">
        <v>8.6999999999999994E-3</v>
      </c>
      <c r="CV89" s="230">
        <v>204697500</v>
      </c>
      <c r="CW89" s="230">
        <v>202942500</v>
      </c>
      <c r="CX89" s="230">
        <v>1755000</v>
      </c>
      <c r="CY89" s="229">
        <v>8.6E-3</v>
      </c>
      <c r="CZ89" s="228">
        <v>45.65</v>
      </c>
      <c r="DA89" s="228">
        <v>43.57</v>
      </c>
      <c r="DB89" s="228">
        <v>2.08</v>
      </c>
      <c r="DC89" s="228">
        <v>2.08</v>
      </c>
      <c r="DD89" s="228">
        <v>53.66</v>
      </c>
      <c r="DE89" s="228">
        <v>53.78</v>
      </c>
      <c r="DF89" s="228">
        <v>-8.01</v>
      </c>
      <c r="DG89" s="228">
        <v>-0.12</v>
      </c>
      <c r="DH89" s="228">
        <v>45.53</v>
      </c>
      <c r="DI89" s="228">
        <v>43.47</v>
      </c>
      <c r="DJ89" s="228">
        <v>2.06</v>
      </c>
      <c r="DK89" s="228">
        <v>2.06</v>
      </c>
      <c r="DL89" s="228">
        <v>46.07</v>
      </c>
      <c r="DM89" s="228">
        <v>43.8</v>
      </c>
      <c r="DN89" s="228">
        <v>2.27</v>
      </c>
      <c r="DO89" s="228">
        <v>2.27</v>
      </c>
      <c r="DP89" s="228">
        <v>0.67</v>
      </c>
      <c r="DQ89" s="228">
        <v>0.69</v>
      </c>
      <c r="DR89" s="228">
        <v>-0.02</v>
      </c>
      <c r="DS89" s="229">
        <v>-2.9000000000000001E-2</v>
      </c>
      <c r="DT89" s="228">
        <v>130</v>
      </c>
      <c r="DU89" s="228">
        <v>140</v>
      </c>
      <c r="DV89" s="228">
        <v>0.28999999999999998</v>
      </c>
      <c r="DW89" s="228">
        <v>0.41</v>
      </c>
      <c r="DX89" s="228">
        <v>-0.12</v>
      </c>
      <c r="DY89" s="229">
        <v>-0.29270000000000002</v>
      </c>
      <c r="DZ89" s="229">
        <v>0.11559999999999999</v>
      </c>
      <c r="EA89" s="230">
        <v>8880000</v>
      </c>
      <c r="EB89" s="229">
        <v>5.3E-3</v>
      </c>
      <c r="EC89" s="229">
        <v>0.11559999999999999</v>
      </c>
      <c r="ED89" s="228">
        <v>0.61</v>
      </c>
      <c r="EE89" s="229">
        <v>4.7999999999999996E-3</v>
      </c>
      <c r="EF89" s="230">
        <v>3163007</v>
      </c>
      <c r="EG89" s="230">
        <v>5137400</v>
      </c>
      <c r="EH89" s="229">
        <v>-0.38429999999999997</v>
      </c>
      <c r="EI89" s="229">
        <v>0.48859999999999998</v>
      </c>
      <c r="EJ89" s="231">
        <v>53117.39</v>
      </c>
      <c r="EK89" s="231">
        <v>13838.99</v>
      </c>
      <c r="EL89" s="231">
        <v>17885.419999999998</v>
      </c>
      <c r="EM89" s="231">
        <v>4268</v>
      </c>
      <c r="EN89" s="231">
        <v>84841.8</v>
      </c>
      <c r="EO89" s="231">
        <v>70711.05</v>
      </c>
      <c r="EP89" s="231">
        <v>14130.75</v>
      </c>
      <c r="EQ89" s="229">
        <v>0.19980000000000001</v>
      </c>
      <c r="ER89" s="231">
        <v>97731</v>
      </c>
      <c r="ES89" s="231">
        <v>60751</v>
      </c>
      <c r="ET89" s="231">
        <v>109239</v>
      </c>
      <c r="EU89" s="231">
        <v>133395043</v>
      </c>
      <c r="EV89" s="231">
        <v>267721</v>
      </c>
      <c r="EW89" s="231">
        <v>263963</v>
      </c>
      <c r="EX89" s="231">
        <v>3758</v>
      </c>
      <c r="EY89" s="229">
        <v>1.4200000000000001E-2</v>
      </c>
      <c r="EZ89" s="229">
        <v>1.5345</v>
      </c>
      <c r="FA89" s="227" t="s">
        <v>556</v>
      </c>
      <c r="FB89" s="161">
        <f t="shared" si="1"/>
        <v>9888750</v>
      </c>
    </row>
    <row r="90" spans="1:158" ht="17.25" hidden="1" thickBot="1" x14ac:dyDescent="0.3">
      <c r="A90" s="226">
        <v>46064</v>
      </c>
      <c r="B90" s="227" t="s">
        <v>206</v>
      </c>
      <c r="C90" s="227" t="s">
        <v>501</v>
      </c>
      <c r="D90" s="228">
        <v>1000</v>
      </c>
      <c r="E90" s="228">
        <v>708.45</v>
      </c>
      <c r="F90" s="228">
        <v>703.25</v>
      </c>
      <c r="G90" s="228">
        <v>5.2</v>
      </c>
      <c r="H90" s="229">
        <v>7.4000000000000003E-3</v>
      </c>
      <c r="I90" s="228">
        <v>707.55</v>
      </c>
      <c r="J90" s="228">
        <v>702.55</v>
      </c>
      <c r="K90" s="228">
        <v>5</v>
      </c>
      <c r="L90" s="229">
        <v>7.1000000000000004E-3</v>
      </c>
      <c r="M90" s="228">
        <v>708.45</v>
      </c>
      <c r="N90" s="228">
        <v>703.25</v>
      </c>
      <c r="O90" s="228">
        <v>5.2</v>
      </c>
      <c r="P90" s="229">
        <v>7.4000000000000003E-3</v>
      </c>
      <c r="Q90" s="228">
        <v>712.7</v>
      </c>
      <c r="R90" s="228">
        <v>707.55</v>
      </c>
      <c r="S90" s="228">
        <v>5.15</v>
      </c>
      <c r="T90" s="229">
        <v>7.3000000000000001E-3</v>
      </c>
      <c r="U90" s="228">
        <v>717.4</v>
      </c>
      <c r="V90" s="228">
        <v>712.3</v>
      </c>
      <c r="W90" s="228">
        <v>5.0999999999999996</v>
      </c>
      <c r="X90" s="229">
        <v>7.1999999999999998E-3</v>
      </c>
      <c r="Y90" s="228">
        <v>0.9</v>
      </c>
      <c r="Z90" s="228">
        <v>0.7</v>
      </c>
      <c r="AA90" s="228">
        <v>0.2</v>
      </c>
      <c r="AB90" s="229">
        <v>1.2999999999999999E-3</v>
      </c>
      <c r="AC90" s="228">
        <v>0.9</v>
      </c>
      <c r="AD90" s="228">
        <v>0.7</v>
      </c>
      <c r="AE90" s="228">
        <v>0.2</v>
      </c>
      <c r="AF90" s="229">
        <v>1.2999999999999999E-3</v>
      </c>
      <c r="AG90" s="228">
        <v>5.15</v>
      </c>
      <c r="AH90" s="228">
        <v>5</v>
      </c>
      <c r="AI90" s="228">
        <v>0.15</v>
      </c>
      <c r="AJ90" s="229">
        <v>7.3000000000000001E-3</v>
      </c>
      <c r="AK90" s="228">
        <v>9.85</v>
      </c>
      <c r="AL90" s="228">
        <v>9.75</v>
      </c>
      <c r="AM90" s="228">
        <v>0.1</v>
      </c>
      <c r="AN90" s="229">
        <v>1.3899999999999999E-2</v>
      </c>
      <c r="AO90" s="228">
        <v>705.8</v>
      </c>
      <c r="AP90" s="228">
        <v>709.12</v>
      </c>
      <c r="AQ90" s="228">
        <v>0</v>
      </c>
      <c r="AR90" s="230">
        <v>3058000</v>
      </c>
      <c r="AS90" s="230">
        <v>3350000</v>
      </c>
      <c r="AT90" s="230">
        <v>-292000</v>
      </c>
      <c r="AU90" s="229">
        <v>-8.72E-2</v>
      </c>
      <c r="AV90" s="230">
        <v>2843000</v>
      </c>
      <c r="AW90" s="230">
        <v>3048000</v>
      </c>
      <c r="AX90" s="230">
        <v>-205000</v>
      </c>
      <c r="AY90" s="229">
        <v>-6.7299999999999999E-2</v>
      </c>
      <c r="AZ90" s="230">
        <v>192000</v>
      </c>
      <c r="BA90" s="230">
        <v>278000</v>
      </c>
      <c r="BB90" s="230">
        <v>-86000</v>
      </c>
      <c r="BC90" s="229">
        <v>-0.30940000000000001</v>
      </c>
      <c r="BD90" s="230">
        <v>23000</v>
      </c>
      <c r="BE90" s="230">
        <v>24000</v>
      </c>
      <c r="BF90" s="230">
        <v>-1000</v>
      </c>
      <c r="BG90" s="229">
        <v>-4.1700000000000001E-2</v>
      </c>
      <c r="BH90" s="230">
        <v>12495000</v>
      </c>
      <c r="BI90" s="230">
        <v>12401000</v>
      </c>
      <c r="BJ90" s="230">
        <v>94000</v>
      </c>
      <c r="BK90" s="229">
        <v>7.6E-3</v>
      </c>
      <c r="BL90" s="230">
        <v>3768000</v>
      </c>
      <c r="BM90" s="230">
        <v>3513000</v>
      </c>
      <c r="BN90" s="230">
        <v>255000</v>
      </c>
      <c r="BO90" s="229">
        <v>7.2599999999999998E-2</v>
      </c>
      <c r="BP90" s="230">
        <v>19321000</v>
      </c>
      <c r="BQ90" s="230">
        <v>19264000</v>
      </c>
      <c r="BR90" s="230">
        <v>57000</v>
      </c>
      <c r="BS90" s="229">
        <v>3.0000000000000001E-3</v>
      </c>
      <c r="BT90" s="230">
        <v>1390901</v>
      </c>
      <c r="BU90" s="230">
        <v>1373931</v>
      </c>
      <c r="BV90" s="230">
        <v>16970</v>
      </c>
      <c r="BW90" s="229">
        <v>1.24E-2</v>
      </c>
      <c r="BX90" s="230">
        <v>26312000</v>
      </c>
      <c r="BY90" s="230">
        <v>26027000</v>
      </c>
      <c r="BZ90" s="230">
        <v>285000</v>
      </c>
      <c r="CA90" s="229">
        <v>1.0999999999999999E-2</v>
      </c>
      <c r="CB90" s="230">
        <v>25479000</v>
      </c>
      <c r="CC90" s="230">
        <v>25247000</v>
      </c>
      <c r="CD90" s="230">
        <v>232000</v>
      </c>
      <c r="CE90" s="229">
        <v>9.1999999999999998E-3</v>
      </c>
      <c r="CF90" s="230">
        <v>753000</v>
      </c>
      <c r="CG90" s="230">
        <v>713000</v>
      </c>
      <c r="CH90" s="230">
        <v>40000</v>
      </c>
      <c r="CI90" s="229">
        <v>5.6099999999999997E-2</v>
      </c>
      <c r="CJ90" s="230">
        <v>80000</v>
      </c>
      <c r="CK90" s="230">
        <v>67000</v>
      </c>
      <c r="CL90" s="230">
        <v>13000</v>
      </c>
      <c r="CM90" s="229">
        <v>0.19400000000000001</v>
      </c>
      <c r="CN90" s="230">
        <v>10390000</v>
      </c>
      <c r="CO90" s="230">
        <v>8878000</v>
      </c>
      <c r="CP90" s="230">
        <v>1512000</v>
      </c>
      <c r="CQ90" s="229">
        <v>0.17030000000000001</v>
      </c>
      <c r="CR90" s="230">
        <v>8113000</v>
      </c>
      <c r="CS90" s="230">
        <v>7498000</v>
      </c>
      <c r="CT90" s="230">
        <v>615000</v>
      </c>
      <c r="CU90" s="229">
        <v>8.2000000000000003E-2</v>
      </c>
      <c r="CV90" s="230">
        <v>44815000</v>
      </c>
      <c r="CW90" s="230">
        <v>42403000</v>
      </c>
      <c r="CX90" s="230">
        <v>2412000</v>
      </c>
      <c r="CY90" s="229">
        <v>5.6899999999999999E-2</v>
      </c>
      <c r="CZ90" s="228">
        <v>35.67</v>
      </c>
      <c r="DA90" s="228">
        <v>31.52</v>
      </c>
      <c r="DB90" s="228">
        <v>4.1500000000000004</v>
      </c>
      <c r="DC90" s="228">
        <v>4.1500000000000004</v>
      </c>
      <c r="DD90" s="228">
        <v>32.9</v>
      </c>
      <c r="DE90" s="228">
        <v>32.97</v>
      </c>
      <c r="DF90" s="228">
        <v>2.77</v>
      </c>
      <c r="DG90" s="228">
        <v>-7.0000000000000007E-2</v>
      </c>
      <c r="DH90" s="228">
        <v>35.479999999999997</v>
      </c>
      <c r="DI90" s="228">
        <v>31.19</v>
      </c>
      <c r="DJ90" s="228">
        <v>4.29</v>
      </c>
      <c r="DK90" s="228">
        <v>4.29</v>
      </c>
      <c r="DL90" s="228">
        <v>36.31</v>
      </c>
      <c r="DM90" s="228">
        <v>32.71</v>
      </c>
      <c r="DN90" s="228">
        <v>3.6</v>
      </c>
      <c r="DO90" s="228">
        <v>3.6</v>
      </c>
      <c r="DP90" s="228">
        <v>0.78</v>
      </c>
      <c r="DQ90" s="228">
        <v>0.84</v>
      </c>
      <c r="DR90" s="228">
        <v>-0.06</v>
      </c>
      <c r="DS90" s="229">
        <v>-7.1400000000000005E-2</v>
      </c>
      <c r="DT90" s="228">
        <v>720</v>
      </c>
      <c r="DU90" s="228">
        <v>650</v>
      </c>
      <c r="DV90" s="228">
        <v>0.3</v>
      </c>
      <c r="DW90" s="228">
        <v>0.28000000000000003</v>
      </c>
      <c r="DX90" s="228">
        <v>0.02</v>
      </c>
      <c r="DY90" s="229">
        <v>7.1400000000000005E-2</v>
      </c>
      <c r="DZ90" s="229">
        <v>3.1699999999999999E-2</v>
      </c>
      <c r="EA90" s="230">
        <v>780000</v>
      </c>
      <c r="EB90" s="229">
        <v>6.0000000000000001E-3</v>
      </c>
      <c r="EC90" s="229">
        <v>3.1699999999999999E-2</v>
      </c>
      <c r="ED90" s="228">
        <v>3.32</v>
      </c>
      <c r="EE90" s="229">
        <v>4.7000000000000002E-3</v>
      </c>
      <c r="EF90" s="230">
        <v>856133</v>
      </c>
      <c r="EG90" s="230">
        <v>610224</v>
      </c>
      <c r="EH90" s="229">
        <v>0.40300000000000002</v>
      </c>
      <c r="EI90" s="229">
        <v>0.61550000000000005</v>
      </c>
      <c r="EJ90" s="231">
        <v>92733.38</v>
      </c>
      <c r="EK90" s="231">
        <v>25606.06</v>
      </c>
      <c r="EL90" s="231">
        <v>21591.38</v>
      </c>
      <c r="EM90" s="231">
        <v>2909</v>
      </c>
      <c r="EN90" s="231">
        <v>139930.82</v>
      </c>
      <c r="EO90" s="231">
        <v>138720.94</v>
      </c>
      <c r="EP90" s="231">
        <v>1209.8800000000001</v>
      </c>
      <c r="EQ90" s="229">
        <v>8.6999999999999994E-3</v>
      </c>
      <c r="ER90" s="231">
        <v>74706</v>
      </c>
      <c r="ES90" s="231">
        <v>54699</v>
      </c>
      <c r="ET90" s="231">
        <v>186447</v>
      </c>
      <c r="EU90" s="231">
        <v>132129624</v>
      </c>
      <c r="EV90" s="231">
        <v>315852</v>
      </c>
      <c r="EW90" s="231">
        <v>296781</v>
      </c>
      <c r="EX90" s="231">
        <v>19071</v>
      </c>
      <c r="EY90" s="229">
        <v>6.4299999999999996E-2</v>
      </c>
      <c r="EZ90" s="229">
        <v>0.3392</v>
      </c>
      <c r="FA90" s="227" t="s">
        <v>555</v>
      </c>
      <c r="FB90" s="161">
        <f t="shared" si="1"/>
        <v>833000</v>
      </c>
    </row>
    <row r="91" spans="1:158" ht="17.25" hidden="1" thickBot="1" x14ac:dyDescent="0.3">
      <c r="A91" s="226">
        <v>46064</v>
      </c>
      <c r="B91" s="227" t="s">
        <v>172</v>
      </c>
      <c r="C91" s="227" t="s">
        <v>578</v>
      </c>
      <c r="D91" s="228">
        <v>1000</v>
      </c>
      <c r="E91" s="228">
        <v>900.45</v>
      </c>
      <c r="F91" s="228">
        <v>906.65</v>
      </c>
      <c r="G91" s="228">
        <v>-6.2</v>
      </c>
      <c r="H91" s="229">
        <v>-6.7999999999999996E-3</v>
      </c>
      <c r="I91" s="228">
        <v>897.3</v>
      </c>
      <c r="J91" s="228">
        <v>906.05</v>
      </c>
      <c r="K91" s="228">
        <v>-8.75</v>
      </c>
      <c r="L91" s="229">
        <v>-9.7000000000000003E-3</v>
      </c>
      <c r="M91" s="228">
        <v>900.45</v>
      </c>
      <c r="N91" s="228">
        <v>906.65</v>
      </c>
      <c r="O91" s="228">
        <v>-6.2</v>
      </c>
      <c r="P91" s="229">
        <v>-6.7999999999999996E-3</v>
      </c>
      <c r="Q91" s="228">
        <v>903.35</v>
      </c>
      <c r="R91" s="228">
        <v>908.75</v>
      </c>
      <c r="S91" s="228">
        <v>-5.4</v>
      </c>
      <c r="T91" s="229">
        <v>-5.8999999999999999E-3</v>
      </c>
      <c r="U91" s="228">
        <v>906</v>
      </c>
      <c r="V91" s="228">
        <v>913.55</v>
      </c>
      <c r="W91" s="228">
        <v>-7.55</v>
      </c>
      <c r="X91" s="229">
        <v>-8.3000000000000001E-3</v>
      </c>
      <c r="Y91" s="228">
        <v>3.15</v>
      </c>
      <c r="Z91" s="228">
        <v>0.6</v>
      </c>
      <c r="AA91" s="228">
        <v>2.5499999999999998</v>
      </c>
      <c r="AB91" s="229">
        <v>3.5000000000000001E-3</v>
      </c>
      <c r="AC91" s="228">
        <v>3.15</v>
      </c>
      <c r="AD91" s="228">
        <v>0.6</v>
      </c>
      <c r="AE91" s="228">
        <v>2.5499999999999998</v>
      </c>
      <c r="AF91" s="229">
        <v>3.5000000000000001E-3</v>
      </c>
      <c r="AG91" s="228">
        <v>6.05</v>
      </c>
      <c r="AH91" s="228">
        <v>2.7</v>
      </c>
      <c r="AI91" s="228">
        <v>3.35</v>
      </c>
      <c r="AJ91" s="229">
        <v>6.7000000000000002E-3</v>
      </c>
      <c r="AK91" s="228">
        <v>8.6999999999999993</v>
      </c>
      <c r="AL91" s="228">
        <v>7.5</v>
      </c>
      <c r="AM91" s="228">
        <v>1.2</v>
      </c>
      <c r="AN91" s="229">
        <v>9.7000000000000003E-3</v>
      </c>
      <c r="AO91" s="228">
        <v>895.94</v>
      </c>
      <c r="AP91" s="228">
        <v>896.3</v>
      </c>
      <c r="AQ91" s="228">
        <v>0</v>
      </c>
      <c r="AR91" s="230">
        <v>3793000</v>
      </c>
      <c r="AS91" s="230">
        <v>1839000</v>
      </c>
      <c r="AT91" s="230">
        <v>1954000</v>
      </c>
      <c r="AU91" s="229">
        <v>1.0625</v>
      </c>
      <c r="AV91" s="230">
        <v>3589000</v>
      </c>
      <c r="AW91" s="230">
        <v>1710000</v>
      </c>
      <c r="AX91" s="230">
        <v>1879000</v>
      </c>
      <c r="AY91" s="229">
        <v>1.0988</v>
      </c>
      <c r="AZ91" s="230">
        <v>178000</v>
      </c>
      <c r="BA91" s="230">
        <v>120000</v>
      </c>
      <c r="BB91" s="230">
        <v>58000</v>
      </c>
      <c r="BC91" s="229">
        <v>0.48330000000000001</v>
      </c>
      <c r="BD91" s="230">
        <v>26000</v>
      </c>
      <c r="BE91" s="230">
        <v>9000</v>
      </c>
      <c r="BF91" s="230">
        <v>17000</v>
      </c>
      <c r="BG91" s="229">
        <v>1.8889</v>
      </c>
      <c r="BH91" s="230">
        <v>10689000</v>
      </c>
      <c r="BI91" s="230">
        <v>6367000</v>
      </c>
      <c r="BJ91" s="230">
        <v>4322000</v>
      </c>
      <c r="BK91" s="229">
        <v>0.67879999999999996</v>
      </c>
      <c r="BL91" s="230">
        <v>6607000</v>
      </c>
      <c r="BM91" s="230">
        <v>2659000</v>
      </c>
      <c r="BN91" s="230">
        <v>3948000</v>
      </c>
      <c r="BO91" s="229">
        <v>1.4847999999999999</v>
      </c>
      <c r="BP91" s="230">
        <v>21089000</v>
      </c>
      <c r="BQ91" s="230">
        <v>10865000</v>
      </c>
      <c r="BR91" s="230">
        <v>10224000</v>
      </c>
      <c r="BS91" s="229">
        <v>0.94099999999999995</v>
      </c>
      <c r="BT91" s="230">
        <v>2460511</v>
      </c>
      <c r="BU91" s="230">
        <v>1807269</v>
      </c>
      <c r="BV91" s="230">
        <v>653242</v>
      </c>
      <c r="BW91" s="229">
        <v>0.36149999999999999</v>
      </c>
      <c r="BX91" s="230">
        <v>9090000</v>
      </c>
      <c r="BY91" s="230">
        <v>8588000</v>
      </c>
      <c r="BZ91" s="230">
        <v>502000</v>
      </c>
      <c r="CA91" s="229">
        <v>5.8500000000000003E-2</v>
      </c>
      <c r="CB91" s="230">
        <v>8705000</v>
      </c>
      <c r="CC91" s="230">
        <v>8208000</v>
      </c>
      <c r="CD91" s="230">
        <v>497000</v>
      </c>
      <c r="CE91" s="229">
        <v>6.0600000000000001E-2</v>
      </c>
      <c r="CF91" s="230">
        <v>358000</v>
      </c>
      <c r="CG91" s="230">
        <v>359000</v>
      </c>
      <c r="CH91" s="230">
        <v>-1000</v>
      </c>
      <c r="CI91" s="229">
        <v>-2.8E-3</v>
      </c>
      <c r="CJ91" s="230">
        <v>27000</v>
      </c>
      <c r="CK91" s="230">
        <v>21000</v>
      </c>
      <c r="CL91" s="230">
        <v>6000</v>
      </c>
      <c r="CM91" s="229">
        <v>0.28570000000000001</v>
      </c>
      <c r="CN91" s="230">
        <v>5722000</v>
      </c>
      <c r="CO91" s="230">
        <v>5884000</v>
      </c>
      <c r="CP91" s="230">
        <v>-162000</v>
      </c>
      <c r="CQ91" s="229">
        <v>-2.75E-2</v>
      </c>
      <c r="CR91" s="230">
        <v>3941000</v>
      </c>
      <c r="CS91" s="230">
        <v>3781000</v>
      </c>
      <c r="CT91" s="230">
        <v>160000</v>
      </c>
      <c r="CU91" s="229">
        <v>4.2299999999999997E-2</v>
      </c>
      <c r="CV91" s="230">
        <v>18753000</v>
      </c>
      <c r="CW91" s="230">
        <v>18253000</v>
      </c>
      <c r="CX91" s="230">
        <v>500000</v>
      </c>
      <c r="CY91" s="229">
        <v>2.7400000000000001E-2</v>
      </c>
      <c r="CZ91" s="228">
        <v>30.18</v>
      </c>
      <c r="DA91" s="228">
        <v>30.18</v>
      </c>
      <c r="DB91" s="228">
        <v>0</v>
      </c>
      <c r="DC91" s="228">
        <v>0</v>
      </c>
      <c r="DD91" s="228">
        <v>39.1</v>
      </c>
      <c r="DE91" s="228">
        <v>39.18</v>
      </c>
      <c r="DF91" s="228">
        <v>-8.92</v>
      </c>
      <c r="DG91" s="228">
        <v>-0.08</v>
      </c>
      <c r="DH91" s="228">
        <v>29.95</v>
      </c>
      <c r="DI91" s="228">
        <v>29.95</v>
      </c>
      <c r="DJ91" s="228">
        <v>0</v>
      </c>
      <c r="DK91" s="228">
        <v>0</v>
      </c>
      <c r="DL91" s="228">
        <v>30.54</v>
      </c>
      <c r="DM91" s="228">
        <v>30.74</v>
      </c>
      <c r="DN91" s="228">
        <v>-0.2</v>
      </c>
      <c r="DO91" s="228">
        <v>-0.2</v>
      </c>
      <c r="DP91" s="228">
        <v>0.69</v>
      </c>
      <c r="DQ91" s="228">
        <v>0.64</v>
      </c>
      <c r="DR91" s="228">
        <v>0.05</v>
      </c>
      <c r="DS91" s="229">
        <v>7.8100000000000003E-2</v>
      </c>
      <c r="DT91" s="228">
        <v>900</v>
      </c>
      <c r="DU91" s="228">
        <v>850</v>
      </c>
      <c r="DV91" s="228">
        <v>0.62</v>
      </c>
      <c r="DW91" s="228">
        <v>0.42</v>
      </c>
      <c r="DX91" s="228">
        <v>0.2</v>
      </c>
      <c r="DY91" s="229">
        <v>0.47620000000000001</v>
      </c>
      <c r="DZ91" s="229">
        <v>4.24E-2</v>
      </c>
      <c r="EA91" s="230">
        <v>380000</v>
      </c>
      <c r="EB91" s="229">
        <v>3.2000000000000002E-3</v>
      </c>
      <c r="EC91" s="229">
        <v>4.24E-2</v>
      </c>
      <c r="ED91" s="228">
        <v>0.36</v>
      </c>
      <c r="EE91" s="229">
        <v>4.0000000000000002E-4</v>
      </c>
      <c r="EF91" s="230">
        <v>1206805</v>
      </c>
      <c r="EG91" s="230">
        <v>827613</v>
      </c>
      <c r="EH91" s="229">
        <v>0.4582</v>
      </c>
      <c r="EI91" s="229">
        <v>0.49049999999999999</v>
      </c>
      <c r="EJ91" s="231">
        <v>100177.63</v>
      </c>
      <c r="EK91" s="231">
        <v>57696.92</v>
      </c>
      <c r="EL91" s="231">
        <v>33985.67</v>
      </c>
      <c r="EM91" s="231">
        <v>2192</v>
      </c>
      <c r="EN91" s="231">
        <v>191860.22</v>
      </c>
      <c r="EO91" s="231">
        <v>99899.6</v>
      </c>
      <c r="EP91" s="231">
        <v>91960.62</v>
      </c>
      <c r="EQ91" s="229">
        <v>0.92049999999999998</v>
      </c>
      <c r="ER91" s="231">
        <v>53314</v>
      </c>
      <c r="ES91" s="231">
        <v>33256</v>
      </c>
      <c r="ET91" s="231">
        <v>81863</v>
      </c>
      <c r="EU91" s="231">
        <v>52862157</v>
      </c>
      <c r="EV91" s="231">
        <v>168432</v>
      </c>
      <c r="EW91" s="231">
        <v>164663</v>
      </c>
      <c r="EX91" s="231">
        <v>3769</v>
      </c>
      <c r="EY91" s="229">
        <v>2.29E-2</v>
      </c>
      <c r="EZ91" s="229">
        <v>0.3548</v>
      </c>
      <c r="FA91" s="227" t="s">
        <v>567</v>
      </c>
      <c r="FB91" s="161">
        <f t="shared" si="1"/>
        <v>385000</v>
      </c>
    </row>
    <row r="92" spans="1:158" ht="17.25" hidden="1" thickBot="1" x14ac:dyDescent="0.3">
      <c r="A92" s="226">
        <v>46064</v>
      </c>
      <c r="B92" s="227" t="s">
        <v>181</v>
      </c>
      <c r="C92" s="227" t="s">
        <v>687</v>
      </c>
      <c r="D92" s="228">
        <v>1</v>
      </c>
      <c r="E92" s="228">
        <v>11.55</v>
      </c>
      <c r="F92" s="228">
        <v>11.66</v>
      </c>
      <c r="G92" s="228">
        <v>-0.11</v>
      </c>
      <c r="H92" s="229">
        <v>-9.5999999999999992E-3</v>
      </c>
      <c r="I92" s="228">
        <v>11.55</v>
      </c>
      <c r="J92" s="228">
        <v>11.66</v>
      </c>
      <c r="K92" s="228">
        <v>-0.11</v>
      </c>
      <c r="L92" s="229">
        <v>-9.5999999999999992E-3</v>
      </c>
      <c r="M92" s="228">
        <v>0</v>
      </c>
      <c r="N92" s="228">
        <v>0</v>
      </c>
      <c r="O92" s="228">
        <v>0</v>
      </c>
      <c r="P92" s="229">
        <v>0</v>
      </c>
      <c r="Q92" s="228">
        <v>0</v>
      </c>
      <c r="R92" s="228">
        <v>0</v>
      </c>
      <c r="S92" s="228">
        <v>0</v>
      </c>
      <c r="T92" s="229">
        <v>0</v>
      </c>
      <c r="U92" s="228">
        <v>0</v>
      </c>
      <c r="V92" s="228">
        <v>0</v>
      </c>
      <c r="W92" s="228">
        <v>0</v>
      </c>
      <c r="X92" s="229">
        <v>0</v>
      </c>
      <c r="Y92" s="228">
        <v>0</v>
      </c>
      <c r="Z92" s="228">
        <v>0</v>
      </c>
      <c r="AA92" s="228">
        <v>0</v>
      </c>
      <c r="AB92" s="229">
        <v>0</v>
      </c>
      <c r="AC92" s="228">
        <v>0</v>
      </c>
      <c r="AD92" s="228">
        <v>0</v>
      </c>
      <c r="AE92" s="228">
        <v>0</v>
      </c>
      <c r="AF92" s="229">
        <v>0</v>
      </c>
      <c r="AG92" s="228">
        <v>0</v>
      </c>
      <c r="AH92" s="228">
        <v>0</v>
      </c>
      <c r="AI92" s="228">
        <v>0</v>
      </c>
      <c r="AJ92" s="229">
        <v>0</v>
      </c>
      <c r="AK92" s="228">
        <v>0</v>
      </c>
      <c r="AL92" s="228">
        <v>0</v>
      </c>
      <c r="AM92" s="228">
        <v>0</v>
      </c>
      <c r="AN92" s="229">
        <v>0</v>
      </c>
      <c r="AO92" s="228">
        <v>0</v>
      </c>
      <c r="AP92" s="228">
        <v>0</v>
      </c>
      <c r="AQ92" s="228">
        <v>0</v>
      </c>
      <c r="AR92" s="228">
        <v>0</v>
      </c>
      <c r="AS92" s="228">
        <v>0</v>
      </c>
      <c r="AT92" s="228">
        <v>0</v>
      </c>
      <c r="AU92" s="229">
        <v>0</v>
      </c>
      <c r="AV92" s="228">
        <v>0</v>
      </c>
      <c r="AW92" s="228">
        <v>0</v>
      </c>
      <c r="AX92" s="228">
        <v>0</v>
      </c>
      <c r="AY92" s="229">
        <v>0</v>
      </c>
      <c r="AZ92" s="228">
        <v>0</v>
      </c>
      <c r="BA92" s="228">
        <v>0</v>
      </c>
      <c r="BB92" s="228">
        <v>0</v>
      </c>
      <c r="BC92" s="229">
        <v>0</v>
      </c>
      <c r="BD92" s="228">
        <v>0</v>
      </c>
      <c r="BE92" s="228">
        <v>0</v>
      </c>
      <c r="BF92" s="228">
        <v>0</v>
      </c>
      <c r="BG92" s="229">
        <v>0</v>
      </c>
      <c r="BH92" s="228">
        <v>0</v>
      </c>
      <c r="BI92" s="228">
        <v>0</v>
      </c>
      <c r="BJ92" s="228">
        <v>0</v>
      </c>
      <c r="BK92" s="229">
        <v>0</v>
      </c>
      <c r="BL92" s="228">
        <v>0</v>
      </c>
      <c r="BM92" s="228">
        <v>0</v>
      </c>
      <c r="BN92" s="228">
        <v>0</v>
      </c>
      <c r="BO92" s="229">
        <v>0</v>
      </c>
      <c r="BP92" s="228">
        <v>0</v>
      </c>
      <c r="BQ92" s="228">
        <v>0</v>
      </c>
      <c r="BR92" s="228">
        <v>0</v>
      </c>
      <c r="BS92" s="229">
        <v>0</v>
      </c>
      <c r="BT92" s="228">
        <v>0</v>
      </c>
      <c r="BU92" s="228">
        <v>0</v>
      </c>
      <c r="BV92" s="228">
        <v>0</v>
      </c>
      <c r="BW92" s="229">
        <v>0</v>
      </c>
      <c r="BX92" s="228">
        <v>0</v>
      </c>
      <c r="BY92" s="228">
        <v>0</v>
      </c>
      <c r="BZ92" s="228">
        <v>0</v>
      </c>
      <c r="CA92" s="229">
        <v>0</v>
      </c>
      <c r="CB92" s="228">
        <v>0</v>
      </c>
      <c r="CC92" s="228">
        <v>0</v>
      </c>
      <c r="CD92" s="228">
        <v>0</v>
      </c>
      <c r="CE92" s="229">
        <v>0</v>
      </c>
      <c r="CF92" s="228">
        <v>0</v>
      </c>
      <c r="CG92" s="228">
        <v>0</v>
      </c>
      <c r="CH92" s="228">
        <v>0</v>
      </c>
      <c r="CI92" s="229">
        <v>0</v>
      </c>
      <c r="CJ92" s="228">
        <v>0</v>
      </c>
      <c r="CK92" s="228">
        <v>0</v>
      </c>
      <c r="CL92" s="228">
        <v>0</v>
      </c>
      <c r="CM92" s="229">
        <v>0</v>
      </c>
      <c r="CN92" s="228">
        <v>0</v>
      </c>
      <c r="CO92" s="228">
        <v>0</v>
      </c>
      <c r="CP92" s="228">
        <v>0</v>
      </c>
      <c r="CQ92" s="229">
        <v>0</v>
      </c>
      <c r="CR92" s="228">
        <v>0</v>
      </c>
      <c r="CS92" s="228">
        <v>0</v>
      </c>
      <c r="CT92" s="228">
        <v>0</v>
      </c>
      <c r="CU92" s="229">
        <v>0</v>
      </c>
      <c r="CV92" s="228">
        <v>0</v>
      </c>
      <c r="CW92" s="228">
        <v>0</v>
      </c>
      <c r="CX92" s="228">
        <v>0</v>
      </c>
      <c r="CY92" s="229">
        <v>0</v>
      </c>
      <c r="CZ92" s="228">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9">
        <v>0</v>
      </c>
      <c r="DT92" s="228">
        <v>0</v>
      </c>
      <c r="DU92" s="228">
        <v>0</v>
      </c>
      <c r="DV92" s="228">
        <v>0</v>
      </c>
      <c r="DW92" s="228">
        <v>0</v>
      </c>
      <c r="DX92" s="228">
        <v>0</v>
      </c>
      <c r="DY92" s="229">
        <v>0</v>
      </c>
      <c r="DZ92" s="229">
        <v>0</v>
      </c>
      <c r="EA92" s="228">
        <v>0</v>
      </c>
      <c r="EB92" s="229">
        <v>0</v>
      </c>
      <c r="EC92" s="229">
        <v>0</v>
      </c>
      <c r="ED92" s="228">
        <v>0</v>
      </c>
      <c r="EE92" s="229">
        <v>0</v>
      </c>
      <c r="EF92" s="228">
        <v>0</v>
      </c>
      <c r="EG92" s="228">
        <v>0</v>
      </c>
      <c r="EH92" s="229">
        <v>0</v>
      </c>
      <c r="EI92" s="229">
        <v>0</v>
      </c>
      <c r="EJ92" s="228">
        <v>0</v>
      </c>
      <c r="EK92" s="228">
        <v>0</v>
      </c>
      <c r="EL92" s="228">
        <v>0</v>
      </c>
      <c r="EM92" s="228">
        <v>0</v>
      </c>
      <c r="EN92" s="228">
        <v>0</v>
      </c>
      <c r="EO92" s="228">
        <v>0</v>
      </c>
      <c r="EP92" s="228">
        <v>0</v>
      </c>
      <c r="EQ92" s="229">
        <v>0</v>
      </c>
      <c r="ER92" s="228">
        <v>0</v>
      </c>
      <c r="ES92" s="228">
        <v>0</v>
      </c>
      <c r="ET92" s="228">
        <v>0</v>
      </c>
      <c r="EU92" s="228">
        <v>0</v>
      </c>
      <c r="EV92" s="228">
        <v>0</v>
      </c>
      <c r="EW92" s="228">
        <v>0</v>
      </c>
      <c r="EX92" s="228">
        <v>0</v>
      </c>
      <c r="EY92" s="229">
        <v>0</v>
      </c>
      <c r="EZ92" s="229">
        <v>0</v>
      </c>
      <c r="FA92" s="227" t="s">
        <v>237</v>
      </c>
      <c r="FB92" s="161">
        <f t="shared" si="1"/>
        <v>0</v>
      </c>
    </row>
    <row r="93" spans="1:158" ht="17.25" hidden="1" thickBot="1" x14ac:dyDescent="0.3">
      <c r="A93" s="226">
        <v>46064</v>
      </c>
      <c r="B93" s="227" t="s">
        <v>215</v>
      </c>
      <c r="C93" s="227" t="s">
        <v>238</v>
      </c>
      <c r="D93" s="228">
        <v>150</v>
      </c>
      <c r="E93" s="231">
        <v>5017.6000000000004</v>
      </c>
      <c r="F93" s="231">
        <v>4978.1000000000004</v>
      </c>
      <c r="G93" s="228">
        <v>39.5</v>
      </c>
      <c r="H93" s="229">
        <v>7.9000000000000008E-3</v>
      </c>
      <c r="I93" s="231">
        <v>5013.8</v>
      </c>
      <c r="J93" s="231">
        <v>4960.3999999999996</v>
      </c>
      <c r="K93" s="228">
        <v>53.4</v>
      </c>
      <c r="L93" s="229">
        <v>1.0800000000000001E-2</v>
      </c>
      <c r="M93" s="231">
        <v>5017.6000000000004</v>
      </c>
      <c r="N93" s="231">
        <v>4978.1000000000004</v>
      </c>
      <c r="O93" s="228">
        <v>39.5</v>
      </c>
      <c r="P93" s="229">
        <v>7.9000000000000008E-3</v>
      </c>
      <c r="Q93" s="231">
        <v>5042.5</v>
      </c>
      <c r="R93" s="231">
        <v>5004.7</v>
      </c>
      <c r="S93" s="228">
        <v>37.799999999999997</v>
      </c>
      <c r="T93" s="229">
        <v>7.6E-3</v>
      </c>
      <c r="U93" s="231">
        <v>5073.8999999999996</v>
      </c>
      <c r="V93" s="231">
        <v>5036</v>
      </c>
      <c r="W93" s="228">
        <v>37.9</v>
      </c>
      <c r="X93" s="229">
        <v>7.4999999999999997E-3</v>
      </c>
      <c r="Y93" s="228">
        <v>3.8</v>
      </c>
      <c r="Z93" s="228">
        <v>17.7</v>
      </c>
      <c r="AA93" s="228">
        <v>-13.9</v>
      </c>
      <c r="AB93" s="229">
        <v>8.0000000000000004E-4</v>
      </c>
      <c r="AC93" s="228">
        <v>3.8</v>
      </c>
      <c r="AD93" s="228">
        <v>17.7</v>
      </c>
      <c r="AE93" s="228">
        <v>-13.9</v>
      </c>
      <c r="AF93" s="229">
        <v>8.0000000000000004E-4</v>
      </c>
      <c r="AG93" s="228">
        <v>28.7</v>
      </c>
      <c r="AH93" s="228">
        <v>44.3</v>
      </c>
      <c r="AI93" s="228">
        <v>-15.6</v>
      </c>
      <c r="AJ93" s="229">
        <v>5.7000000000000002E-3</v>
      </c>
      <c r="AK93" s="228">
        <v>60.1</v>
      </c>
      <c r="AL93" s="228">
        <v>75.599999999999994</v>
      </c>
      <c r="AM93" s="228">
        <v>-15.5</v>
      </c>
      <c r="AN93" s="229">
        <v>1.2E-2</v>
      </c>
      <c r="AO93" s="231">
        <v>5024.5600000000004</v>
      </c>
      <c r="AP93" s="231">
        <v>5051.54</v>
      </c>
      <c r="AQ93" s="228">
        <v>0</v>
      </c>
      <c r="AR93" s="230">
        <v>1116600</v>
      </c>
      <c r="AS93" s="230">
        <v>1209450</v>
      </c>
      <c r="AT93" s="230">
        <v>-92850</v>
      </c>
      <c r="AU93" s="229">
        <v>-7.6799999999999993E-2</v>
      </c>
      <c r="AV93" s="230">
        <v>1048800</v>
      </c>
      <c r="AW93" s="230">
        <v>1156950</v>
      </c>
      <c r="AX93" s="230">
        <v>-108150</v>
      </c>
      <c r="AY93" s="229">
        <v>-9.35E-2</v>
      </c>
      <c r="AZ93" s="230">
        <v>60900</v>
      </c>
      <c r="BA93" s="230">
        <v>45750</v>
      </c>
      <c r="BB93" s="230">
        <v>15150</v>
      </c>
      <c r="BC93" s="229">
        <v>0.33110000000000001</v>
      </c>
      <c r="BD93" s="230">
        <v>6900</v>
      </c>
      <c r="BE93" s="230">
        <v>6750</v>
      </c>
      <c r="BF93" s="228">
        <v>150</v>
      </c>
      <c r="BG93" s="229">
        <v>2.2200000000000001E-2</v>
      </c>
      <c r="BH93" s="230">
        <v>5992950</v>
      </c>
      <c r="BI93" s="230">
        <v>2334450</v>
      </c>
      <c r="BJ93" s="230">
        <v>3658500</v>
      </c>
      <c r="BK93" s="229">
        <v>1.5671999999999999</v>
      </c>
      <c r="BL93" s="230">
        <v>2799600</v>
      </c>
      <c r="BM93" s="230">
        <v>1671900</v>
      </c>
      <c r="BN93" s="230">
        <v>1127700</v>
      </c>
      <c r="BO93" s="229">
        <v>0.67449999999999999</v>
      </c>
      <c r="BP93" s="230">
        <v>9909150</v>
      </c>
      <c r="BQ93" s="230">
        <v>5215800</v>
      </c>
      <c r="BR93" s="230">
        <v>4693350</v>
      </c>
      <c r="BS93" s="229">
        <v>0.89980000000000004</v>
      </c>
      <c r="BT93" s="230">
        <v>546723</v>
      </c>
      <c r="BU93" s="230">
        <v>1148218</v>
      </c>
      <c r="BV93" s="230">
        <v>-601495</v>
      </c>
      <c r="BW93" s="229">
        <v>-0.52390000000000003</v>
      </c>
      <c r="BX93" s="230">
        <v>9291900</v>
      </c>
      <c r="BY93" s="230">
        <v>9377400</v>
      </c>
      <c r="BZ93" s="230">
        <v>-85500</v>
      </c>
      <c r="CA93" s="229">
        <v>-9.1000000000000004E-3</v>
      </c>
      <c r="CB93" s="230">
        <v>9124500</v>
      </c>
      <c r="CC93" s="230">
        <v>9216450</v>
      </c>
      <c r="CD93" s="230">
        <v>-91950</v>
      </c>
      <c r="CE93" s="229">
        <v>-0.01</v>
      </c>
      <c r="CF93" s="230">
        <v>147450</v>
      </c>
      <c r="CG93" s="230">
        <v>142950</v>
      </c>
      <c r="CH93" s="230">
        <v>4500</v>
      </c>
      <c r="CI93" s="229">
        <v>3.15E-2</v>
      </c>
      <c r="CJ93" s="230">
        <v>19950</v>
      </c>
      <c r="CK93" s="230">
        <v>18000</v>
      </c>
      <c r="CL93" s="230">
        <v>1950</v>
      </c>
      <c r="CM93" s="229">
        <v>0.10829999999999999</v>
      </c>
      <c r="CN93" s="230">
        <v>3189900</v>
      </c>
      <c r="CO93" s="230">
        <v>2998200</v>
      </c>
      <c r="CP93" s="230">
        <v>191700</v>
      </c>
      <c r="CQ93" s="229">
        <v>6.3899999999999998E-2</v>
      </c>
      <c r="CR93" s="230">
        <v>2721750</v>
      </c>
      <c r="CS93" s="230">
        <v>2582700</v>
      </c>
      <c r="CT93" s="230">
        <v>139050</v>
      </c>
      <c r="CU93" s="229">
        <v>5.3800000000000001E-2</v>
      </c>
      <c r="CV93" s="230">
        <v>15203550</v>
      </c>
      <c r="CW93" s="230">
        <v>14958300</v>
      </c>
      <c r="CX93" s="230">
        <v>245250</v>
      </c>
      <c r="CY93" s="229">
        <v>1.6400000000000001E-2</v>
      </c>
      <c r="CZ93" s="228">
        <v>26.79</v>
      </c>
      <c r="DA93" s="228">
        <v>25.5</v>
      </c>
      <c r="DB93" s="228">
        <v>1.29</v>
      </c>
      <c r="DC93" s="228">
        <v>1.29</v>
      </c>
      <c r="DD93" s="228">
        <v>33.86</v>
      </c>
      <c r="DE93" s="228">
        <v>33.92</v>
      </c>
      <c r="DF93" s="228">
        <v>-7.07</v>
      </c>
      <c r="DG93" s="228">
        <v>-0.06</v>
      </c>
      <c r="DH93" s="228">
        <v>25.86</v>
      </c>
      <c r="DI93" s="228">
        <v>24.01</v>
      </c>
      <c r="DJ93" s="228">
        <v>1.85</v>
      </c>
      <c r="DK93" s="228">
        <v>1.85</v>
      </c>
      <c r="DL93" s="228">
        <v>28.8</v>
      </c>
      <c r="DM93" s="228">
        <v>27.58</v>
      </c>
      <c r="DN93" s="228">
        <v>1.22</v>
      </c>
      <c r="DO93" s="228">
        <v>1.22</v>
      </c>
      <c r="DP93" s="228">
        <v>0.85</v>
      </c>
      <c r="DQ93" s="228">
        <v>0.86</v>
      </c>
      <c r="DR93" s="228">
        <v>-0.01</v>
      </c>
      <c r="DS93" s="229">
        <v>-1.1599999999999999E-2</v>
      </c>
      <c r="DT93" s="231">
        <v>5000</v>
      </c>
      <c r="DU93" s="231">
        <v>4700</v>
      </c>
      <c r="DV93" s="228">
        <v>0.47</v>
      </c>
      <c r="DW93" s="228">
        <v>0.72</v>
      </c>
      <c r="DX93" s="228">
        <v>-0.25</v>
      </c>
      <c r="DY93" s="229">
        <v>-0.34720000000000001</v>
      </c>
      <c r="DZ93" s="229">
        <v>1.7999999999999999E-2</v>
      </c>
      <c r="EA93" s="230">
        <v>160950</v>
      </c>
      <c r="EB93" s="229">
        <v>5.0000000000000001E-3</v>
      </c>
      <c r="EC93" s="229">
        <v>1.7999999999999999E-2</v>
      </c>
      <c r="ED93" s="228">
        <v>26.98</v>
      </c>
      <c r="EE93" s="229">
        <v>5.4000000000000003E-3</v>
      </c>
      <c r="EF93" s="230">
        <v>213357</v>
      </c>
      <c r="EG93" s="230">
        <v>799520</v>
      </c>
      <c r="EH93" s="229">
        <v>-0.73309999999999997</v>
      </c>
      <c r="EI93" s="229">
        <v>0.39019999999999999</v>
      </c>
      <c r="EJ93" s="231">
        <v>312084.15999999997</v>
      </c>
      <c r="EK93" s="231">
        <v>137284.71</v>
      </c>
      <c r="EL93" s="231">
        <v>56124.6</v>
      </c>
      <c r="EM93" s="231">
        <v>8161</v>
      </c>
      <c r="EN93" s="231">
        <v>505493.47</v>
      </c>
      <c r="EO93" s="231">
        <v>261769.86</v>
      </c>
      <c r="EP93" s="231">
        <v>243723.61</v>
      </c>
      <c r="EQ93" s="229">
        <v>0.93110000000000004</v>
      </c>
      <c r="ER93" s="231">
        <v>161383</v>
      </c>
      <c r="ES93" s="231">
        <v>130746</v>
      </c>
      <c r="ET93" s="231">
        <v>466278</v>
      </c>
      <c r="EU93" s="231">
        <v>33874835</v>
      </c>
      <c r="EV93" s="231">
        <v>758407</v>
      </c>
      <c r="EW93" s="231">
        <v>741466</v>
      </c>
      <c r="EX93" s="231">
        <v>16941</v>
      </c>
      <c r="EY93" s="229">
        <v>2.2800000000000001E-2</v>
      </c>
      <c r="EZ93" s="229">
        <v>0.44879999999999998</v>
      </c>
      <c r="FA93" s="227" t="s">
        <v>556</v>
      </c>
      <c r="FB93" s="161">
        <f t="shared" si="1"/>
        <v>167400</v>
      </c>
    </row>
    <row r="94" spans="1:158" ht="17.25" hidden="1" thickBot="1" x14ac:dyDescent="0.3">
      <c r="A94" s="226">
        <v>46064</v>
      </c>
      <c r="B94" s="227" t="s">
        <v>172</v>
      </c>
      <c r="C94" s="227" t="s">
        <v>239</v>
      </c>
      <c r="D94" s="228">
        <v>700</v>
      </c>
      <c r="E94" s="228">
        <v>922.6</v>
      </c>
      <c r="F94" s="228">
        <v>926.45</v>
      </c>
      <c r="G94" s="228">
        <v>-3.85</v>
      </c>
      <c r="H94" s="229">
        <v>-4.1999999999999997E-3</v>
      </c>
      <c r="I94" s="228">
        <v>925</v>
      </c>
      <c r="J94" s="228">
        <v>927.6</v>
      </c>
      <c r="K94" s="228">
        <v>-2.6</v>
      </c>
      <c r="L94" s="229">
        <v>-2.8E-3</v>
      </c>
      <c r="M94" s="228">
        <v>922.6</v>
      </c>
      <c r="N94" s="228">
        <v>926.45</v>
      </c>
      <c r="O94" s="228">
        <v>-3.85</v>
      </c>
      <c r="P94" s="229">
        <v>-4.1999999999999997E-3</v>
      </c>
      <c r="Q94" s="228">
        <v>927.15</v>
      </c>
      <c r="R94" s="228">
        <v>931.95</v>
      </c>
      <c r="S94" s="228">
        <v>-4.8</v>
      </c>
      <c r="T94" s="229">
        <v>-5.1999999999999998E-3</v>
      </c>
      <c r="U94" s="228">
        <v>933.75</v>
      </c>
      <c r="V94" s="228">
        <v>937.6</v>
      </c>
      <c r="W94" s="228">
        <v>-3.85</v>
      </c>
      <c r="X94" s="229">
        <v>-4.1000000000000003E-3</v>
      </c>
      <c r="Y94" s="228">
        <v>-2.4</v>
      </c>
      <c r="Z94" s="228">
        <v>-1.1499999999999999</v>
      </c>
      <c r="AA94" s="228">
        <v>-1.25</v>
      </c>
      <c r="AB94" s="229">
        <v>-2.5999999999999999E-3</v>
      </c>
      <c r="AC94" s="228">
        <v>-2.4</v>
      </c>
      <c r="AD94" s="228">
        <v>-1.1499999999999999</v>
      </c>
      <c r="AE94" s="228">
        <v>-1.25</v>
      </c>
      <c r="AF94" s="229">
        <v>-2.5999999999999999E-3</v>
      </c>
      <c r="AG94" s="228">
        <v>2.15</v>
      </c>
      <c r="AH94" s="228">
        <v>4.3499999999999996</v>
      </c>
      <c r="AI94" s="228">
        <v>-2.2000000000000002</v>
      </c>
      <c r="AJ94" s="229">
        <v>2.3E-3</v>
      </c>
      <c r="AK94" s="228">
        <v>8.75</v>
      </c>
      <c r="AL94" s="228">
        <v>10</v>
      </c>
      <c r="AM94" s="228">
        <v>-1.25</v>
      </c>
      <c r="AN94" s="229">
        <v>9.4999999999999998E-3</v>
      </c>
      <c r="AO94" s="228">
        <v>920.02</v>
      </c>
      <c r="AP94" s="228">
        <v>925.7</v>
      </c>
      <c r="AQ94" s="228">
        <v>0</v>
      </c>
      <c r="AR94" s="230">
        <v>4316200</v>
      </c>
      <c r="AS94" s="230">
        <v>3974600</v>
      </c>
      <c r="AT94" s="230">
        <v>341600</v>
      </c>
      <c r="AU94" s="229">
        <v>8.5900000000000004E-2</v>
      </c>
      <c r="AV94" s="230">
        <v>3850000</v>
      </c>
      <c r="AW94" s="230">
        <v>3658200</v>
      </c>
      <c r="AX94" s="230">
        <v>191800</v>
      </c>
      <c r="AY94" s="229">
        <v>5.2400000000000002E-2</v>
      </c>
      <c r="AZ94" s="230">
        <v>447300</v>
      </c>
      <c r="BA94" s="230">
        <v>294700</v>
      </c>
      <c r="BB94" s="230">
        <v>152600</v>
      </c>
      <c r="BC94" s="229">
        <v>0.51780000000000004</v>
      </c>
      <c r="BD94" s="230">
        <v>18900</v>
      </c>
      <c r="BE94" s="230">
        <v>21700</v>
      </c>
      <c r="BF94" s="230">
        <v>-2800</v>
      </c>
      <c r="BG94" s="229">
        <v>-0.129</v>
      </c>
      <c r="BH94" s="230">
        <v>5930400</v>
      </c>
      <c r="BI94" s="230">
        <v>7067200</v>
      </c>
      <c r="BJ94" s="230">
        <v>-1136800</v>
      </c>
      <c r="BK94" s="229">
        <v>-0.16089999999999999</v>
      </c>
      <c r="BL94" s="230">
        <v>2916200</v>
      </c>
      <c r="BM94" s="230">
        <v>3829700</v>
      </c>
      <c r="BN94" s="230">
        <v>-913500</v>
      </c>
      <c r="BO94" s="229">
        <v>-0.23849999999999999</v>
      </c>
      <c r="BP94" s="230">
        <v>13162800</v>
      </c>
      <c r="BQ94" s="230">
        <v>14871500</v>
      </c>
      <c r="BR94" s="230">
        <v>-1708700</v>
      </c>
      <c r="BS94" s="229">
        <v>-0.1149</v>
      </c>
      <c r="BT94" s="230">
        <v>2519281</v>
      </c>
      <c r="BU94" s="230">
        <v>2799472</v>
      </c>
      <c r="BV94" s="230">
        <v>-280191</v>
      </c>
      <c r="BW94" s="229">
        <v>-0.10009999999999999</v>
      </c>
      <c r="BX94" s="230">
        <v>34881000</v>
      </c>
      <c r="BY94" s="230">
        <v>35515200</v>
      </c>
      <c r="BZ94" s="230">
        <v>-634200</v>
      </c>
      <c r="CA94" s="229">
        <v>-1.7899999999999999E-2</v>
      </c>
      <c r="CB94" s="230">
        <v>33308100</v>
      </c>
      <c r="CC94" s="230">
        <v>33966800</v>
      </c>
      <c r="CD94" s="230">
        <v>-658700</v>
      </c>
      <c r="CE94" s="229">
        <v>-1.9400000000000001E-2</v>
      </c>
      <c r="CF94" s="230">
        <v>1127000</v>
      </c>
      <c r="CG94" s="230">
        <v>1109500</v>
      </c>
      <c r="CH94" s="230">
        <v>17500</v>
      </c>
      <c r="CI94" s="229">
        <v>1.5800000000000002E-2</v>
      </c>
      <c r="CJ94" s="230">
        <v>445900</v>
      </c>
      <c r="CK94" s="230">
        <v>438900</v>
      </c>
      <c r="CL94" s="230">
        <v>7000</v>
      </c>
      <c r="CM94" s="229">
        <v>1.5900000000000001E-2</v>
      </c>
      <c r="CN94" s="230">
        <v>9187500</v>
      </c>
      <c r="CO94" s="230">
        <v>9348500</v>
      </c>
      <c r="CP94" s="230">
        <v>-161000</v>
      </c>
      <c r="CQ94" s="229">
        <v>-1.72E-2</v>
      </c>
      <c r="CR94" s="230">
        <v>6609400</v>
      </c>
      <c r="CS94" s="230">
        <v>6747300</v>
      </c>
      <c r="CT94" s="230">
        <v>-137900</v>
      </c>
      <c r="CU94" s="229">
        <v>-2.0400000000000001E-2</v>
      </c>
      <c r="CV94" s="230">
        <v>50677900</v>
      </c>
      <c r="CW94" s="230">
        <v>51611000</v>
      </c>
      <c r="CX94" s="230">
        <v>-933100</v>
      </c>
      <c r="CY94" s="229">
        <v>-1.8100000000000002E-2</v>
      </c>
      <c r="CZ94" s="228">
        <v>29.22</v>
      </c>
      <c r="DA94" s="228">
        <v>29.67</v>
      </c>
      <c r="DB94" s="228">
        <v>-0.45</v>
      </c>
      <c r="DC94" s="228">
        <v>-0.45</v>
      </c>
      <c r="DD94" s="228">
        <v>42.15</v>
      </c>
      <c r="DE94" s="228">
        <v>42.25</v>
      </c>
      <c r="DF94" s="228">
        <v>-12.93</v>
      </c>
      <c r="DG94" s="228">
        <v>-0.1</v>
      </c>
      <c r="DH94" s="228">
        <v>28.69</v>
      </c>
      <c r="DI94" s="228">
        <v>29.43</v>
      </c>
      <c r="DJ94" s="228">
        <v>-0.74</v>
      </c>
      <c r="DK94" s="228">
        <v>-0.74</v>
      </c>
      <c r="DL94" s="228">
        <v>30.3</v>
      </c>
      <c r="DM94" s="228">
        <v>30.1</v>
      </c>
      <c r="DN94" s="228">
        <v>0.2</v>
      </c>
      <c r="DO94" s="228">
        <v>0.2</v>
      </c>
      <c r="DP94" s="228">
        <v>0.72</v>
      </c>
      <c r="DQ94" s="228">
        <v>0.72</v>
      </c>
      <c r="DR94" s="228">
        <v>0</v>
      </c>
      <c r="DS94" s="229">
        <v>0</v>
      </c>
      <c r="DT94" s="231">
        <v>1000</v>
      </c>
      <c r="DU94" s="228">
        <v>900</v>
      </c>
      <c r="DV94" s="228">
        <v>0.49</v>
      </c>
      <c r="DW94" s="228">
        <v>0.54</v>
      </c>
      <c r="DX94" s="228">
        <v>-0.05</v>
      </c>
      <c r="DY94" s="229">
        <v>-9.2600000000000002E-2</v>
      </c>
      <c r="DZ94" s="229">
        <v>4.5100000000000001E-2</v>
      </c>
      <c r="EA94" s="230">
        <v>1548400</v>
      </c>
      <c r="EB94" s="229">
        <v>4.8999999999999998E-3</v>
      </c>
      <c r="EC94" s="229">
        <v>4.5100000000000001E-2</v>
      </c>
      <c r="ED94" s="228">
        <v>5.68</v>
      </c>
      <c r="EE94" s="229">
        <v>6.1999999999999998E-3</v>
      </c>
      <c r="EF94" s="230">
        <v>1659577</v>
      </c>
      <c r="EG94" s="230">
        <v>1833842</v>
      </c>
      <c r="EH94" s="229">
        <v>-9.5000000000000001E-2</v>
      </c>
      <c r="EI94" s="229">
        <v>0.65880000000000005</v>
      </c>
      <c r="EJ94" s="231">
        <v>56767.94</v>
      </c>
      <c r="EK94" s="231">
        <v>26339.05</v>
      </c>
      <c r="EL94" s="231">
        <v>39737.39</v>
      </c>
      <c r="EM94" s="231">
        <v>7257</v>
      </c>
      <c r="EN94" s="231">
        <v>122844.38</v>
      </c>
      <c r="EO94" s="231">
        <v>139767.82999999999</v>
      </c>
      <c r="EP94" s="231">
        <v>-16923.45</v>
      </c>
      <c r="EQ94" s="229">
        <v>-0.1211</v>
      </c>
      <c r="ER94" s="231">
        <v>87479</v>
      </c>
      <c r="ES94" s="231">
        <v>58565</v>
      </c>
      <c r="ET94" s="231">
        <v>321913</v>
      </c>
      <c r="EU94" s="231">
        <v>93808799</v>
      </c>
      <c r="EV94" s="231">
        <v>467957</v>
      </c>
      <c r="EW94" s="231">
        <v>477848</v>
      </c>
      <c r="EX94" s="231">
        <v>-9891</v>
      </c>
      <c r="EY94" s="229">
        <v>-2.07E-2</v>
      </c>
      <c r="EZ94" s="229">
        <v>0.54020000000000001</v>
      </c>
      <c r="FA94" s="227" t="s">
        <v>568</v>
      </c>
      <c r="FB94" s="161">
        <f t="shared" si="1"/>
        <v>1572900</v>
      </c>
    </row>
    <row r="95" spans="1:158" ht="17.25" hidden="1" thickBot="1" x14ac:dyDescent="0.3">
      <c r="A95" s="226">
        <v>46064</v>
      </c>
      <c r="B95" s="227" t="s">
        <v>188</v>
      </c>
      <c r="C95" s="227" t="s">
        <v>473</v>
      </c>
      <c r="D95" s="228">
        <v>1700</v>
      </c>
      <c r="E95" s="228">
        <v>468.15</v>
      </c>
      <c r="F95" s="228">
        <v>459.25</v>
      </c>
      <c r="G95" s="228">
        <v>8.9</v>
      </c>
      <c r="H95" s="229">
        <v>1.9400000000000001E-2</v>
      </c>
      <c r="I95" s="228">
        <v>467.05</v>
      </c>
      <c r="J95" s="228">
        <v>459.15</v>
      </c>
      <c r="K95" s="228">
        <v>7.9</v>
      </c>
      <c r="L95" s="229">
        <v>1.72E-2</v>
      </c>
      <c r="M95" s="228">
        <v>468.15</v>
      </c>
      <c r="N95" s="228">
        <v>459.25</v>
      </c>
      <c r="O95" s="228">
        <v>8.9</v>
      </c>
      <c r="P95" s="229">
        <v>1.9400000000000001E-2</v>
      </c>
      <c r="Q95" s="228">
        <v>471.15</v>
      </c>
      <c r="R95" s="228">
        <v>462.2</v>
      </c>
      <c r="S95" s="228">
        <v>8.9499999999999993</v>
      </c>
      <c r="T95" s="229">
        <v>1.9400000000000001E-2</v>
      </c>
      <c r="U95" s="228">
        <v>474</v>
      </c>
      <c r="V95" s="228">
        <v>464</v>
      </c>
      <c r="W95" s="228">
        <v>10</v>
      </c>
      <c r="X95" s="229">
        <v>2.1600000000000001E-2</v>
      </c>
      <c r="Y95" s="228">
        <v>1.1000000000000001</v>
      </c>
      <c r="Z95" s="228">
        <v>0.1</v>
      </c>
      <c r="AA95" s="228">
        <v>1</v>
      </c>
      <c r="AB95" s="229">
        <v>2.3999999999999998E-3</v>
      </c>
      <c r="AC95" s="228">
        <v>1.1000000000000001</v>
      </c>
      <c r="AD95" s="228">
        <v>0.1</v>
      </c>
      <c r="AE95" s="228">
        <v>1</v>
      </c>
      <c r="AF95" s="229">
        <v>2.3999999999999998E-3</v>
      </c>
      <c r="AG95" s="228">
        <v>4.0999999999999996</v>
      </c>
      <c r="AH95" s="228">
        <v>3.05</v>
      </c>
      <c r="AI95" s="228">
        <v>1.05</v>
      </c>
      <c r="AJ95" s="229">
        <v>8.8000000000000005E-3</v>
      </c>
      <c r="AK95" s="228">
        <v>6.95</v>
      </c>
      <c r="AL95" s="228">
        <v>4.8499999999999996</v>
      </c>
      <c r="AM95" s="228">
        <v>2.1</v>
      </c>
      <c r="AN95" s="229">
        <v>1.49E-2</v>
      </c>
      <c r="AO95" s="228">
        <v>467.53</v>
      </c>
      <c r="AP95" s="228">
        <v>470.5</v>
      </c>
      <c r="AQ95" s="228">
        <v>0</v>
      </c>
      <c r="AR95" s="230">
        <v>15102800</v>
      </c>
      <c r="AS95" s="230">
        <v>18749300</v>
      </c>
      <c r="AT95" s="230">
        <v>-3646500</v>
      </c>
      <c r="AU95" s="229">
        <v>-0.19450000000000001</v>
      </c>
      <c r="AV95" s="230">
        <v>14215400</v>
      </c>
      <c r="AW95" s="230">
        <v>17952000</v>
      </c>
      <c r="AX95" s="230">
        <v>-3736600</v>
      </c>
      <c r="AY95" s="229">
        <v>-0.20810000000000001</v>
      </c>
      <c r="AZ95" s="230">
        <v>829600</v>
      </c>
      <c r="BA95" s="230">
        <v>731000</v>
      </c>
      <c r="BB95" s="230">
        <v>98600</v>
      </c>
      <c r="BC95" s="229">
        <v>0.13489999999999999</v>
      </c>
      <c r="BD95" s="230">
        <v>57800</v>
      </c>
      <c r="BE95" s="230">
        <v>66300</v>
      </c>
      <c r="BF95" s="230">
        <v>-8500</v>
      </c>
      <c r="BG95" s="229">
        <v>-0.12820000000000001</v>
      </c>
      <c r="BH95" s="230">
        <v>76743100</v>
      </c>
      <c r="BI95" s="230">
        <v>55234700</v>
      </c>
      <c r="BJ95" s="230">
        <v>21508400</v>
      </c>
      <c r="BK95" s="229">
        <v>0.38940000000000002</v>
      </c>
      <c r="BL95" s="230">
        <v>31229000</v>
      </c>
      <c r="BM95" s="230">
        <v>22446800</v>
      </c>
      <c r="BN95" s="230">
        <v>8782200</v>
      </c>
      <c r="BO95" s="229">
        <v>0.39119999999999999</v>
      </c>
      <c r="BP95" s="230">
        <v>123074900</v>
      </c>
      <c r="BQ95" s="230">
        <v>96430800</v>
      </c>
      <c r="BR95" s="230">
        <v>26644100</v>
      </c>
      <c r="BS95" s="229">
        <v>0.27629999999999999</v>
      </c>
      <c r="BT95" s="230">
        <v>10857446</v>
      </c>
      <c r="BU95" s="230">
        <v>12854480</v>
      </c>
      <c r="BV95" s="230">
        <v>-1997034</v>
      </c>
      <c r="BW95" s="229">
        <v>-0.15540000000000001</v>
      </c>
      <c r="BX95" s="230">
        <v>84501900</v>
      </c>
      <c r="BY95" s="230">
        <v>84246900</v>
      </c>
      <c r="BZ95" s="230">
        <v>255000</v>
      </c>
      <c r="CA95" s="229">
        <v>3.0000000000000001E-3</v>
      </c>
      <c r="CB95" s="230">
        <v>83439400</v>
      </c>
      <c r="CC95" s="230">
        <v>83255800</v>
      </c>
      <c r="CD95" s="230">
        <v>183600</v>
      </c>
      <c r="CE95" s="229">
        <v>2.2000000000000001E-3</v>
      </c>
      <c r="CF95" s="230">
        <v>969000</v>
      </c>
      <c r="CG95" s="230">
        <v>907800</v>
      </c>
      <c r="CH95" s="230">
        <v>61200</v>
      </c>
      <c r="CI95" s="229">
        <v>6.7400000000000002E-2</v>
      </c>
      <c r="CJ95" s="230">
        <v>93500</v>
      </c>
      <c r="CK95" s="230">
        <v>83300</v>
      </c>
      <c r="CL95" s="230">
        <v>10200</v>
      </c>
      <c r="CM95" s="229">
        <v>0.12239999999999999</v>
      </c>
      <c r="CN95" s="230">
        <v>21610400</v>
      </c>
      <c r="CO95" s="230">
        <v>19238900</v>
      </c>
      <c r="CP95" s="230">
        <v>2371500</v>
      </c>
      <c r="CQ95" s="229">
        <v>0.12330000000000001</v>
      </c>
      <c r="CR95" s="230">
        <v>14937900</v>
      </c>
      <c r="CS95" s="230">
        <v>11471600</v>
      </c>
      <c r="CT95" s="230">
        <v>3466300</v>
      </c>
      <c r="CU95" s="229">
        <v>0.30220000000000002</v>
      </c>
      <c r="CV95" s="230">
        <v>121050200</v>
      </c>
      <c r="CW95" s="230">
        <v>114957400</v>
      </c>
      <c r="CX95" s="230">
        <v>6092800</v>
      </c>
      <c r="CY95" s="229">
        <v>5.2999999999999999E-2</v>
      </c>
      <c r="CZ95" s="228">
        <v>31.73</v>
      </c>
      <c r="DA95" s="228">
        <v>31.4</v>
      </c>
      <c r="DB95" s="228">
        <v>0.33</v>
      </c>
      <c r="DC95" s="228">
        <v>0.33</v>
      </c>
      <c r="DD95" s="228">
        <v>37.85</v>
      </c>
      <c r="DE95" s="228">
        <v>37.869999999999997</v>
      </c>
      <c r="DF95" s="228">
        <v>-6.12</v>
      </c>
      <c r="DG95" s="228">
        <v>-0.02</v>
      </c>
      <c r="DH95" s="228">
        <v>31.5</v>
      </c>
      <c r="DI95" s="228">
        <v>30.97</v>
      </c>
      <c r="DJ95" s="228">
        <v>0.53</v>
      </c>
      <c r="DK95" s="228">
        <v>0.53</v>
      </c>
      <c r="DL95" s="228">
        <v>32.29</v>
      </c>
      <c r="DM95" s="228">
        <v>32.450000000000003</v>
      </c>
      <c r="DN95" s="228">
        <v>-0.16</v>
      </c>
      <c r="DO95" s="228">
        <v>-0.16</v>
      </c>
      <c r="DP95" s="228">
        <v>0.69</v>
      </c>
      <c r="DQ95" s="228">
        <v>0.6</v>
      </c>
      <c r="DR95" s="228">
        <v>0.09</v>
      </c>
      <c r="DS95" s="229">
        <v>0.15</v>
      </c>
      <c r="DT95" s="228">
        <v>500</v>
      </c>
      <c r="DU95" s="228">
        <v>440</v>
      </c>
      <c r="DV95" s="228">
        <v>0.41</v>
      </c>
      <c r="DW95" s="228">
        <v>0.41</v>
      </c>
      <c r="DX95" s="228">
        <v>0</v>
      </c>
      <c r="DY95" s="229">
        <v>0</v>
      </c>
      <c r="DZ95" s="229">
        <v>1.26E-2</v>
      </c>
      <c r="EA95" s="230">
        <v>991100</v>
      </c>
      <c r="EB95" s="229">
        <v>6.4000000000000003E-3</v>
      </c>
      <c r="EC95" s="229">
        <v>1.26E-2</v>
      </c>
      <c r="ED95" s="228">
        <v>2.97</v>
      </c>
      <c r="EE95" s="229">
        <v>6.4000000000000003E-3</v>
      </c>
      <c r="EF95" s="230">
        <v>6096800</v>
      </c>
      <c r="EG95" s="230">
        <v>8145093</v>
      </c>
      <c r="EH95" s="229">
        <v>-0.2515</v>
      </c>
      <c r="EI95" s="229">
        <v>0.5615</v>
      </c>
      <c r="EJ95" s="231">
        <v>371671.06</v>
      </c>
      <c r="EK95" s="231">
        <v>143070.22</v>
      </c>
      <c r="EL95" s="231">
        <v>70638.460000000006</v>
      </c>
      <c r="EM95" s="231">
        <v>6710</v>
      </c>
      <c r="EN95" s="231">
        <v>585379.74</v>
      </c>
      <c r="EO95" s="231">
        <v>448667.34</v>
      </c>
      <c r="EP95" s="231">
        <v>136712.4</v>
      </c>
      <c r="EQ95" s="229">
        <v>0.30470000000000003</v>
      </c>
      <c r="ER95" s="231">
        <v>101886</v>
      </c>
      <c r="ES95" s="231">
        <v>65051</v>
      </c>
      <c r="ET95" s="231">
        <v>395630</v>
      </c>
      <c r="EU95" s="231">
        <v>193623116</v>
      </c>
      <c r="EV95" s="231">
        <v>562568</v>
      </c>
      <c r="EW95" s="231">
        <v>525477</v>
      </c>
      <c r="EX95" s="231">
        <v>37091</v>
      </c>
      <c r="EY95" s="229">
        <v>7.0599999999999996E-2</v>
      </c>
      <c r="EZ95" s="229">
        <v>0.62519999999999998</v>
      </c>
      <c r="FA95" s="227" t="s">
        <v>555</v>
      </c>
      <c r="FB95" s="161">
        <f t="shared" si="1"/>
        <v>1062500</v>
      </c>
    </row>
    <row r="96" spans="1:158" ht="17.25" hidden="1" thickBot="1" x14ac:dyDescent="0.3">
      <c r="A96" s="226">
        <v>46064</v>
      </c>
      <c r="B96" s="227" t="s">
        <v>221</v>
      </c>
      <c r="C96" s="227" t="s">
        <v>240</v>
      </c>
      <c r="D96" s="228">
        <v>400</v>
      </c>
      <c r="E96" s="231">
        <v>1472.4</v>
      </c>
      <c r="F96" s="231">
        <v>1501.7</v>
      </c>
      <c r="G96" s="228">
        <v>-29.3</v>
      </c>
      <c r="H96" s="229">
        <v>-1.95E-2</v>
      </c>
      <c r="I96" s="231">
        <v>1471.9</v>
      </c>
      <c r="J96" s="231">
        <v>1497.8</v>
      </c>
      <c r="K96" s="228">
        <v>-25.9</v>
      </c>
      <c r="L96" s="229">
        <v>-1.7299999999999999E-2</v>
      </c>
      <c r="M96" s="231">
        <v>1472.4</v>
      </c>
      <c r="N96" s="231">
        <v>1501.7</v>
      </c>
      <c r="O96" s="228">
        <v>-29.3</v>
      </c>
      <c r="P96" s="229">
        <v>-1.95E-2</v>
      </c>
      <c r="Q96" s="231">
        <v>1481</v>
      </c>
      <c r="R96" s="231">
        <v>1510.4</v>
      </c>
      <c r="S96" s="228">
        <v>-29.4</v>
      </c>
      <c r="T96" s="229">
        <v>-1.95E-2</v>
      </c>
      <c r="U96" s="231">
        <v>1490.6</v>
      </c>
      <c r="V96" s="231">
        <v>1520</v>
      </c>
      <c r="W96" s="228">
        <v>-29.4</v>
      </c>
      <c r="X96" s="229">
        <v>-1.9300000000000001E-2</v>
      </c>
      <c r="Y96" s="228">
        <v>0.5</v>
      </c>
      <c r="Z96" s="228">
        <v>3.9</v>
      </c>
      <c r="AA96" s="228">
        <v>-3.4</v>
      </c>
      <c r="AB96" s="229">
        <v>2.9999999999999997E-4</v>
      </c>
      <c r="AC96" s="228">
        <v>0.5</v>
      </c>
      <c r="AD96" s="228">
        <v>3.9</v>
      </c>
      <c r="AE96" s="228">
        <v>-3.4</v>
      </c>
      <c r="AF96" s="229">
        <v>2.9999999999999997E-4</v>
      </c>
      <c r="AG96" s="228">
        <v>9.1</v>
      </c>
      <c r="AH96" s="228">
        <v>12.6</v>
      </c>
      <c r="AI96" s="228">
        <v>-3.5</v>
      </c>
      <c r="AJ96" s="229">
        <v>6.1999999999999998E-3</v>
      </c>
      <c r="AK96" s="228">
        <v>18.7</v>
      </c>
      <c r="AL96" s="228">
        <v>22.2</v>
      </c>
      <c r="AM96" s="228">
        <v>-3.5</v>
      </c>
      <c r="AN96" s="229">
        <v>1.2699999999999999E-2</v>
      </c>
      <c r="AO96" s="231">
        <v>1485.31</v>
      </c>
      <c r="AP96" s="231">
        <v>1495.28</v>
      </c>
      <c r="AQ96" s="228">
        <v>0</v>
      </c>
      <c r="AR96" s="230">
        <v>10912400</v>
      </c>
      <c r="AS96" s="230">
        <v>9987200</v>
      </c>
      <c r="AT96" s="230">
        <v>925200</v>
      </c>
      <c r="AU96" s="229">
        <v>9.2600000000000002E-2</v>
      </c>
      <c r="AV96" s="230">
        <v>9812400</v>
      </c>
      <c r="AW96" s="230">
        <v>8907600</v>
      </c>
      <c r="AX96" s="230">
        <v>904800</v>
      </c>
      <c r="AY96" s="229">
        <v>0.1016</v>
      </c>
      <c r="AZ96" s="230">
        <v>911600</v>
      </c>
      <c r="BA96" s="230">
        <v>932000</v>
      </c>
      <c r="BB96" s="230">
        <v>-20400</v>
      </c>
      <c r="BC96" s="229">
        <v>-2.1899999999999999E-2</v>
      </c>
      <c r="BD96" s="230">
        <v>188400</v>
      </c>
      <c r="BE96" s="230">
        <v>147600</v>
      </c>
      <c r="BF96" s="230">
        <v>40800</v>
      </c>
      <c r="BG96" s="229">
        <v>0.27639999999999998</v>
      </c>
      <c r="BH96" s="230">
        <v>57688000</v>
      </c>
      <c r="BI96" s="230">
        <v>51572400</v>
      </c>
      <c r="BJ96" s="230">
        <v>6115600</v>
      </c>
      <c r="BK96" s="229">
        <v>0.1186</v>
      </c>
      <c r="BL96" s="230">
        <v>33422800</v>
      </c>
      <c r="BM96" s="230">
        <v>26124000</v>
      </c>
      <c r="BN96" s="230">
        <v>7298800</v>
      </c>
      <c r="BO96" s="229">
        <v>0.27939999999999998</v>
      </c>
      <c r="BP96" s="230">
        <v>102023200</v>
      </c>
      <c r="BQ96" s="230">
        <v>87683600</v>
      </c>
      <c r="BR96" s="230">
        <v>14339600</v>
      </c>
      <c r="BS96" s="229">
        <v>0.16350000000000001</v>
      </c>
      <c r="BT96" s="230">
        <v>8302983</v>
      </c>
      <c r="BU96" s="230">
        <v>8879457</v>
      </c>
      <c r="BV96" s="230">
        <v>-576474</v>
      </c>
      <c r="BW96" s="229">
        <v>-6.4899999999999999E-2</v>
      </c>
      <c r="BX96" s="230">
        <v>75071200</v>
      </c>
      <c r="BY96" s="230">
        <v>75501600</v>
      </c>
      <c r="BZ96" s="230">
        <v>-430400</v>
      </c>
      <c r="CA96" s="229">
        <v>-5.7000000000000002E-3</v>
      </c>
      <c r="CB96" s="230">
        <v>69483600</v>
      </c>
      <c r="CC96" s="230">
        <v>70448800</v>
      </c>
      <c r="CD96" s="230">
        <v>-965200</v>
      </c>
      <c r="CE96" s="229">
        <v>-1.37E-2</v>
      </c>
      <c r="CF96" s="230">
        <v>4841600</v>
      </c>
      <c r="CG96" s="230">
        <v>4446400</v>
      </c>
      <c r="CH96" s="230">
        <v>395200</v>
      </c>
      <c r="CI96" s="229">
        <v>8.8900000000000007E-2</v>
      </c>
      <c r="CJ96" s="230">
        <v>746000</v>
      </c>
      <c r="CK96" s="230">
        <v>606400</v>
      </c>
      <c r="CL96" s="230">
        <v>139600</v>
      </c>
      <c r="CM96" s="229">
        <v>0.23019999999999999</v>
      </c>
      <c r="CN96" s="230">
        <v>51607200</v>
      </c>
      <c r="CO96" s="230">
        <v>49408400</v>
      </c>
      <c r="CP96" s="230">
        <v>2198800</v>
      </c>
      <c r="CQ96" s="229">
        <v>4.4499999999999998E-2</v>
      </c>
      <c r="CR96" s="230">
        <v>22626000</v>
      </c>
      <c r="CS96" s="230">
        <v>22306400</v>
      </c>
      <c r="CT96" s="230">
        <v>319600</v>
      </c>
      <c r="CU96" s="229">
        <v>1.43E-2</v>
      </c>
      <c r="CV96" s="230">
        <v>149304400</v>
      </c>
      <c r="CW96" s="230">
        <v>147216400</v>
      </c>
      <c r="CX96" s="230">
        <v>2088000</v>
      </c>
      <c r="CY96" s="229">
        <v>1.4200000000000001E-2</v>
      </c>
      <c r="CZ96" s="228">
        <v>33.229999999999997</v>
      </c>
      <c r="DA96" s="228">
        <v>31.36</v>
      </c>
      <c r="DB96" s="228">
        <v>1.87</v>
      </c>
      <c r="DC96" s="228">
        <v>1.87</v>
      </c>
      <c r="DD96" s="228">
        <v>29.87</v>
      </c>
      <c r="DE96" s="228">
        <v>29.85</v>
      </c>
      <c r="DF96" s="228">
        <v>3.36</v>
      </c>
      <c r="DG96" s="228">
        <v>0.02</v>
      </c>
      <c r="DH96" s="228">
        <v>33.119999999999997</v>
      </c>
      <c r="DI96" s="228">
        <v>31.29</v>
      </c>
      <c r="DJ96" s="228">
        <v>1.83</v>
      </c>
      <c r="DK96" s="228">
        <v>1.83</v>
      </c>
      <c r="DL96" s="228">
        <v>33.42</v>
      </c>
      <c r="DM96" s="228">
        <v>31.49</v>
      </c>
      <c r="DN96" s="228">
        <v>1.93</v>
      </c>
      <c r="DO96" s="228">
        <v>1.93</v>
      </c>
      <c r="DP96" s="228">
        <v>0.44</v>
      </c>
      <c r="DQ96" s="228">
        <v>0.45</v>
      </c>
      <c r="DR96" s="228">
        <v>-0.01</v>
      </c>
      <c r="DS96" s="229">
        <v>-2.2200000000000001E-2</v>
      </c>
      <c r="DT96" s="231">
        <v>1600</v>
      </c>
      <c r="DU96" s="231">
        <v>1400</v>
      </c>
      <c r="DV96" s="228">
        <v>0.57999999999999996</v>
      </c>
      <c r="DW96" s="228">
        <v>0.51</v>
      </c>
      <c r="DX96" s="228">
        <v>7.0000000000000007E-2</v>
      </c>
      <c r="DY96" s="229">
        <v>0.13730000000000001</v>
      </c>
      <c r="DZ96" s="229">
        <v>7.4399999999999994E-2</v>
      </c>
      <c r="EA96" s="230">
        <v>5052800</v>
      </c>
      <c r="EB96" s="229">
        <v>5.7999999999999996E-3</v>
      </c>
      <c r="EC96" s="229">
        <v>7.4399999999999994E-2</v>
      </c>
      <c r="ED96" s="228">
        <v>9.9700000000000006</v>
      </c>
      <c r="EE96" s="229">
        <v>6.7000000000000002E-3</v>
      </c>
      <c r="EF96" s="230">
        <v>4586882</v>
      </c>
      <c r="EG96" s="230">
        <v>4175061</v>
      </c>
      <c r="EH96" s="229">
        <v>9.8599999999999993E-2</v>
      </c>
      <c r="EI96" s="229">
        <v>0.5524</v>
      </c>
      <c r="EJ96" s="231">
        <v>915144.08</v>
      </c>
      <c r="EK96" s="231">
        <v>487382.55</v>
      </c>
      <c r="EL96" s="231">
        <v>162206.06</v>
      </c>
      <c r="EM96" s="231">
        <v>40896</v>
      </c>
      <c r="EN96" s="231">
        <v>1564732.69</v>
      </c>
      <c r="EO96" s="231">
        <v>1363499.1</v>
      </c>
      <c r="EP96" s="231">
        <v>201233.59</v>
      </c>
      <c r="EQ96" s="229">
        <v>0.14760000000000001</v>
      </c>
      <c r="ER96" s="231">
        <v>832433</v>
      </c>
      <c r="ES96" s="231">
        <v>336027</v>
      </c>
      <c r="ET96" s="231">
        <v>1105900</v>
      </c>
      <c r="EU96" s="231">
        <v>368703409</v>
      </c>
      <c r="EV96" s="231">
        <v>2274360</v>
      </c>
      <c r="EW96" s="231">
        <v>2267276</v>
      </c>
      <c r="EX96" s="231">
        <v>7084</v>
      </c>
      <c r="EY96" s="229">
        <v>3.0999999999999999E-3</v>
      </c>
      <c r="EZ96" s="229">
        <v>0.40489999999999998</v>
      </c>
      <c r="FA96" s="227" t="s">
        <v>568</v>
      </c>
      <c r="FB96" s="161">
        <f t="shared" si="1"/>
        <v>5587600</v>
      </c>
    </row>
    <row r="97" spans="1:158" ht="17.25" hidden="1" thickBot="1" x14ac:dyDescent="0.3">
      <c r="A97" s="226">
        <v>46064</v>
      </c>
      <c r="B97" s="227" t="s">
        <v>161</v>
      </c>
      <c r="C97" s="227" t="s">
        <v>668</v>
      </c>
      <c r="D97" s="228">
        <v>3575</v>
      </c>
      <c r="E97" s="228">
        <v>110.63</v>
      </c>
      <c r="F97" s="228">
        <v>111.39</v>
      </c>
      <c r="G97" s="228">
        <v>-0.76</v>
      </c>
      <c r="H97" s="229">
        <v>-6.7999999999999996E-3</v>
      </c>
      <c r="I97" s="228">
        <v>110.42</v>
      </c>
      <c r="J97" s="228">
        <v>111.22</v>
      </c>
      <c r="K97" s="228">
        <v>-0.8</v>
      </c>
      <c r="L97" s="229">
        <v>-7.1999999999999998E-3</v>
      </c>
      <c r="M97" s="228">
        <v>110.63</v>
      </c>
      <c r="N97" s="228">
        <v>111.39</v>
      </c>
      <c r="O97" s="228">
        <v>-0.76</v>
      </c>
      <c r="P97" s="229">
        <v>-6.7999999999999996E-3</v>
      </c>
      <c r="Q97" s="228">
        <v>111.36</v>
      </c>
      <c r="R97" s="228">
        <v>111.9</v>
      </c>
      <c r="S97" s="228">
        <v>-0.54</v>
      </c>
      <c r="T97" s="229">
        <v>-4.7999999999999996E-3</v>
      </c>
      <c r="U97" s="228">
        <v>112.1</v>
      </c>
      <c r="V97" s="228">
        <v>112.88</v>
      </c>
      <c r="W97" s="228">
        <v>-0.78</v>
      </c>
      <c r="X97" s="229">
        <v>-6.8999999999999999E-3</v>
      </c>
      <c r="Y97" s="228">
        <v>0.21</v>
      </c>
      <c r="Z97" s="228">
        <v>0.17</v>
      </c>
      <c r="AA97" s="228">
        <v>0.04</v>
      </c>
      <c r="AB97" s="229">
        <v>1.9E-3</v>
      </c>
      <c r="AC97" s="228">
        <v>0.21</v>
      </c>
      <c r="AD97" s="228">
        <v>0.17</v>
      </c>
      <c r="AE97" s="228">
        <v>0.04</v>
      </c>
      <c r="AF97" s="229">
        <v>1.9E-3</v>
      </c>
      <c r="AG97" s="228">
        <v>0.94</v>
      </c>
      <c r="AH97" s="228">
        <v>0.68</v>
      </c>
      <c r="AI97" s="228">
        <v>0.26</v>
      </c>
      <c r="AJ97" s="229">
        <v>8.5000000000000006E-3</v>
      </c>
      <c r="AK97" s="228">
        <v>1.68</v>
      </c>
      <c r="AL97" s="228">
        <v>1.66</v>
      </c>
      <c r="AM97" s="228">
        <v>0.02</v>
      </c>
      <c r="AN97" s="229">
        <v>1.52E-2</v>
      </c>
      <c r="AO97" s="228">
        <v>109.65</v>
      </c>
      <c r="AP97" s="228">
        <v>110.34</v>
      </c>
      <c r="AQ97" s="228">
        <v>0</v>
      </c>
      <c r="AR97" s="230">
        <v>14489475</v>
      </c>
      <c r="AS97" s="230">
        <v>11300575</v>
      </c>
      <c r="AT97" s="230">
        <v>3188900</v>
      </c>
      <c r="AU97" s="229">
        <v>0.28220000000000001</v>
      </c>
      <c r="AV97" s="230">
        <v>12601875</v>
      </c>
      <c r="AW97" s="230">
        <v>9538100</v>
      </c>
      <c r="AX97" s="230">
        <v>3063775</v>
      </c>
      <c r="AY97" s="229">
        <v>0.32119999999999999</v>
      </c>
      <c r="AZ97" s="230">
        <v>1612325</v>
      </c>
      <c r="BA97" s="230">
        <v>1619475</v>
      </c>
      <c r="BB97" s="230">
        <v>-7150</v>
      </c>
      <c r="BC97" s="229">
        <v>-4.4000000000000003E-3</v>
      </c>
      <c r="BD97" s="230">
        <v>275275</v>
      </c>
      <c r="BE97" s="230">
        <v>143000</v>
      </c>
      <c r="BF97" s="230">
        <v>132275</v>
      </c>
      <c r="BG97" s="229">
        <v>0.92500000000000004</v>
      </c>
      <c r="BH97" s="230">
        <v>26208325</v>
      </c>
      <c r="BI97" s="230">
        <v>22747725</v>
      </c>
      <c r="BJ97" s="230">
        <v>3460600</v>
      </c>
      <c r="BK97" s="229">
        <v>0.15210000000000001</v>
      </c>
      <c r="BL97" s="230">
        <v>7364500</v>
      </c>
      <c r="BM97" s="230">
        <v>6803225</v>
      </c>
      <c r="BN97" s="230">
        <v>561275</v>
      </c>
      <c r="BO97" s="229">
        <v>8.2500000000000004E-2</v>
      </c>
      <c r="BP97" s="230">
        <v>48062300</v>
      </c>
      <c r="BQ97" s="230">
        <v>40851525</v>
      </c>
      <c r="BR97" s="230">
        <v>7210775</v>
      </c>
      <c r="BS97" s="229">
        <v>0.17649999999999999</v>
      </c>
      <c r="BT97" s="230">
        <v>6360567</v>
      </c>
      <c r="BU97" s="230">
        <v>7076829</v>
      </c>
      <c r="BV97" s="230">
        <v>-716262</v>
      </c>
      <c r="BW97" s="229">
        <v>-0.1012</v>
      </c>
      <c r="BX97" s="230">
        <v>98569900</v>
      </c>
      <c r="BY97" s="230">
        <v>97854900</v>
      </c>
      <c r="BZ97" s="230">
        <v>715000</v>
      </c>
      <c r="CA97" s="229">
        <v>7.3000000000000001E-3</v>
      </c>
      <c r="CB97" s="230">
        <v>92967875</v>
      </c>
      <c r="CC97" s="230">
        <v>92474525</v>
      </c>
      <c r="CD97" s="230">
        <v>493350</v>
      </c>
      <c r="CE97" s="229">
        <v>5.3E-3</v>
      </c>
      <c r="CF97" s="230">
        <v>4940650</v>
      </c>
      <c r="CG97" s="230">
        <v>4651075</v>
      </c>
      <c r="CH97" s="230">
        <v>289575</v>
      </c>
      <c r="CI97" s="229">
        <v>6.2300000000000001E-2</v>
      </c>
      <c r="CJ97" s="230">
        <v>661375</v>
      </c>
      <c r="CK97" s="230">
        <v>729300</v>
      </c>
      <c r="CL97" s="230">
        <v>-67925</v>
      </c>
      <c r="CM97" s="229">
        <v>-9.3100000000000002E-2</v>
      </c>
      <c r="CN97" s="230">
        <v>28621450</v>
      </c>
      <c r="CO97" s="230">
        <v>25386075</v>
      </c>
      <c r="CP97" s="230">
        <v>3235375</v>
      </c>
      <c r="CQ97" s="229">
        <v>0.12740000000000001</v>
      </c>
      <c r="CR97" s="230">
        <v>19376500</v>
      </c>
      <c r="CS97" s="230">
        <v>19244225</v>
      </c>
      <c r="CT97" s="230">
        <v>132275</v>
      </c>
      <c r="CU97" s="229">
        <v>6.8999999999999999E-3</v>
      </c>
      <c r="CV97" s="230">
        <v>146567850</v>
      </c>
      <c r="CW97" s="230">
        <v>142485200</v>
      </c>
      <c r="CX97" s="230">
        <v>4082650</v>
      </c>
      <c r="CY97" s="229">
        <v>2.87E-2</v>
      </c>
      <c r="CZ97" s="228">
        <v>55.35</v>
      </c>
      <c r="DA97" s="228">
        <v>51.2</v>
      </c>
      <c r="DB97" s="228">
        <v>4.1500000000000004</v>
      </c>
      <c r="DC97" s="228">
        <v>4.1500000000000004</v>
      </c>
      <c r="DD97" s="228">
        <v>51.65</v>
      </c>
      <c r="DE97" s="228">
        <v>51.77</v>
      </c>
      <c r="DF97" s="228">
        <v>3.7</v>
      </c>
      <c r="DG97" s="228">
        <v>-0.12</v>
      </c>
      <c r="DH97" s="228">
        <v>55.42</v>
      </c>
      <c r="DI97" s="228">
        <v>50.11</v>
      </c>
      <c r="DJ97" s="228">
        <v>5.31</v>
      </c>
      <c r="DK97" s="228">
        <v>5.31</v>
      </c>
      <c r="DL97" s="228">
        <v>55.11</v>
      </c>
      <c r="DM97" s="228">
        <v>54.83</v>
      </c>
      <c r="DN97" s="228">
        <v>0.28000000000000003</v>
      </c>
      <c r="DO97" s="228">
        <v>0.28000000000000003</v>
      </c>
      <c r="DP97" s="228">
        <v>0.68</v>
      </c>
      <c r="DQ97" s="228">
        <v>0.76</v>
      </c>
      <c r="DR97" s="228">
        <v>-0.08</v>
      </c>
      <c r="DS97" s="229">
        <v>-0.1053</v>
      </c>
      <c r="DT97" s="228">
        <v>120</v>
      </c>
      <c r="DU97" s="228">
        <v>110</v>
      </c>
      <c r="DV97" s="228">
        <v>0.28000000000000003</v>
      </c>
      <c r="DW97" s="228">
        <v>0.3</v>
      </c>
      <c r="DX97" s="228">
        <v>-0.02</v>
      </c>
      <c r="DY97" s="229">
        <v>-6.6699999999999995E-2</v>
      </c>
      <c r="DZ97" s="229">
        <v>5.6800000000000003E-2</v>
      </c>
      <c r="EA97" s="230">
        <v>5380375</v>
      </c>
      <c r="EB97" s="229">
        <v>6.6E-3</v>
      </c>
      <c r="EC97" s="229">
        <v>5.6800000000000003E-2</v>
      </c>
      <c r="ED97" s="228">
        <v>0.69</v>
      </c>
      <c r="EE97" s="229">
        <v>6.3E-3</v>
      </c>
      <c r="EF97" s="230">
        <v>1930807</v>
      </c>
      <c r="EG97" s="230">
        <v>2323017</v>
      </c>
      <c r="EH97" s="229">
        <v>-0.16880000000000001</v>
      </c>
      <c r="EI97" s="229">
        <v>0.30359999999999998</v>
      </c>
      <c r="EJ97" s="231">
        <v>31286.92</v>
      </c>
      <c r="EK97" s="231">
        <v>7781.84</v>
      </c>
      <c r="EL97" s="231">
        <v>15902.56</v>
      </c>
      <c r="EM97" s="231">
        <v>4018</v>
      </c>
      <c r="EN97" s="231">
        <v>54971.32</v>
      </c>
      <c r="EO97" s="231">
        <v>47503.89</v>
      </c>
      <c r="EP97" s="231">
        <v>7467.43</v>
      </c>
      <c r="EQ97" s="229">
        <v>0.15720000000000001</v>
      </c>
      <c r="ER97" s="231">
        <v>33176</v>
      </c>
      <c r="ES97" s="231">
        <v>21516</v>
      </c>
      <c r="ET97" s="231">
        <v>109094</v>
      </c>
      <c r="EU97" s="231">
        <v>144708707</v>
      </c>
      <c r="EV97" s="231">
        <v>163786</v>
      </c>
      <c r="EW97" s="231">
        <v>159688</v>
      </c>
      <c r="EX97" s="231">
        <v>4098</v>
      </c>
      <c r="EY97" s="229">
        <v>2.5700000000000001E-2</v>
      </c>
      <c r="EZ97" s="229">
        <v>1.0127999999999999</v>
      </c>
      <c r="FA97" s="227" t="s">
        <v>567</v>
      </c>
      <c r="FB97" s="161">
        <f t="shared" si="1"/>
        <v>5602025</v>
      </c>
    </row>
    <row r="98" spans="1:158" ht="17.25" hidden="1" thickBot="1" x14ac:dyDescent="0.3">
      <c r="A98" s="226">
        <v>46064</v>
      </c>
      <c r="B98" s="227" t="s">
        <v>193</v>
      </c>
      <c r="C98" s="227" t="s">
        <v>241</v>
      </c>
      <c r="D98" s="228">
        <v>4875</v>
      </c>
      <c r="E98" s="228">
        <v>181.39</v>
      </c>
      <c r="F98" s="228">
        <v>178.26</v>
      </c>
      <c r="G98" s="228">
        <v>3.13</v>
      </c>
      <c r="H98" s="229">
        <v>1.7600000000000001E-2</v>
      </c>
      <c r="I98" s="228">
        <v>181.31</v>
      </c>
      <c r="J98" s="228">
        <v>178.21</v>
      </c>
      <c r="K98" s="228">
        <v>3.1</v>
      </c>
      <c r="L98" s="229">
        <v>1.7399999999999999E-2</v>
      </c>
      <c r="M98" s="228">
        <v>181.39</v>
      </c>
      <c r="N98" s="228">
        <v>178.26</v>
      </c>
      <c r="O98" s="228">
        <v>3.13</v>
      </c>
      <c r="P98" s="229">
        <v>1.7600000000000001E-2</v>
      </c>
      <c r="Q98" s="228">
        <v>182.04</v>
      </c>
      <c r="R98" s="228">
        <v>178.97</v>
      </c>
      <c r="S98" s="228">
        <v>3.07</v>
      </c>
      <c r="T98" s="229">
        <v>1.72E-2</v>
      </c>
      <c r="U98" s="228">
        <v>183</v>
      </c>
      <c r="V98" s="228">
        <v>180.09</v>
      </c>
      <c r="W98" s="228">
        <v>2.91</v>
      </c>
      <c r="X98" s="229">
        <v>1.6199999999999999E-2</v>
      </c>
      <c r="Y98" s="228">
        <v>0.08</v>
      </c>
      <c r="Z98" s="228">
        <v>0.05</v>
      </c>
      <c r="AA98" s="228">
        <v>0.03</v>
      </c>
      <c r="AB98" s="229">
        <v>4.0000000000000002E-4</v>
      </c>
      <c r="AC98" s="228">
        <v>0.08</v>
      </c>
      <c r="AD98" s="228">
        <v>0.05</v>
      </c>
      <c r="AE98" s="228">
        <v>0.03</v>
      </c>
      <c r="AF98" s="229">
        <v>4.0000000000000002E-4</v>
      </c>
      <c r="AG98" s="228">
        <v>0.73</v>
      </c>
      <c r="AH98" s="228">
        <v>0.76</v>
      </c>
      <c r="AI98" s="228">
        <v>-0.03</v>
      </c>
      <c r="AJ98" s="229">
        <v>4.0000000000000001E-3</v>
      </c>
      <c r="AK98" s="228">
        <v>1.69</v>
      </c>
      <c r="AL98" s="228">
        <v>1.88</v>
      </c>
      <c r="AM98" s="228">
        <v>-0.19</v>
      </c>
      <c r="AN98" s="229">
        <v>9.2999999999999992E-3</v>
      </c>
      <c r="AO98" s="228">
        <v>180.11</v>
      </c>
      <c r="AP98" s="228">
        <v>181.1</v>
      </c>
      <c r="AQ98" s="228">
        <v>0</v>
      </c>
      <c r="AR98" s="230">
        <v>22152000</v>
      </c>
      <c r="AS98" s="230">
        <v>14415375</v>
      </c>
      <c r="AT98" s="230">
        <v>7736625</v>
      </c>
      <c r="AU98" s="229">
        <v>0.53669999999999995</v>
      </c>
      <c r="AV98" s="230">
        <v>19139250</v>
      </c>
      <c r="AW98" s="230">
        <v>12704250</v>
      </c>
      <c r="AX98" s="230">
        <v>6435000</v>
      </c>
      <c r="AY98" s="229">
        <v>0.50649999999999995</v>
      </c>
      <c r="AZ98" s="230">
        <v>2725125</v>
      </c>
      <c r="BA98" s="230">
        <v>1428375</v>
      </c>
      <c r="BB98" s="230">
        <v>1296750</v>
      </c>
      <c r="BC98" s="229">
        <v>0.90780000000000005</v>
      </c>
      <c r="BD98" s="230">
        <v>287625</v>
      </c>
      <c r="BE98" s="230">
        <v>282750</v>
      </c>
      <c r="BF98" s="230">
        <v>4875</v>
      </c>
      <c r="BG98" s="229">
        <v>1.72E-2</v>
      </c>
      <c r="BH98" s="230">
        <v>84971250</v>
      </c>
      <c r="BI98" s="230">
        <v>45040125</v>
      </c>
      <c r="BJ98" s="230">
        <v>39931125</v>
      </c>
      <c r="BK98" s="229">
        <v>0.88660000000000005</v>
      </c>
      <c r="BL98" s="230">
        <v>46151625</v>
      </c>
      <c r="BM98" s="230">
        <v>28947750</v>
      </c>
      <c r="BN98" s="230">
        <v>17203875</v>
      </c>
      <c r="BO98" s="229">
        <v>0.59430000000000005</v>
      </c>
      <c r="BP98" s="230">
        <v>153274875</v>
      </c>
      <c r="BQ98" s="230">
        <v>88403250</v>
      </c>
      <c r="BR98" s="230">
        <v>64871625</v>
      </c>
      <c r="BS98" s="229">
        <v>0.73380000000000001</v>
      </c>
      <c r="BT98" s="230">
        <v>26979097</v>
      </c>
      <c r="BU98" s="230">
        <v>22486184</v>
      </c>
      <c r="BV98" s="230">
        <v>4492913</v>
      </c>
      <c r="BW98" s="229">
        <v>0.19980000000000001</v>
      </c>
      <c r="BX98" s="230">
        <v>93692625</v>
      </c>
      <c r="BY98" s="230">
        <v>99815625</v>
      </c>
      <c r="BZ98" s="230">
        <v>-6123000</v>
      </c>
      <c r="CA98" s="229">
        <v>-6.13E-2</v>
      </c>
      <c r="CB98" s="230">
        <v>90109500</v>
      </c>
      <c r="CC98" s="230">
        <v>96666375</v>
      </c>
      <c r="CD98" s="230">
        <v>-6556875</v>
      </c>
      <c r="CE98" s="229">
        <v>-6.7799999999999999E-2</v>
      </c>
      <c r="CF98" s="230">
        <v>3085875</v>
      </c>
      <c r="CG98" s="230">
        <v>2652000</v>
      </c>
      <c r="CH98" s="230">
        <v>433875</v>
      </c>
      <c r="CI98" s="229">
        <v>0.1636</v>
      </c>
      <c r="CJ98" s="230">
        <v>497250</v>
      </c>
      <c r="CK98" s="230">
        <v>497250</v>
      </c>
      <c r="CL98" s="228">
        <v>0</v>
      </c>
      <c r="CM98" s="229">
        <v>0</v>
      </c>
      <c r="CN98" s="230">
        <v>62010000</v>
      </c>
      <c r="CO98" s="230">
        <v>66729000</v>
      </c>
      <c r="CP98" s="230">
        <v>-4719000</v>
      </c>
      <c r="CQ98" s="229">
        <v>-7.0699999999999999E-2</v>
      </c>
      <c r="CR98" s="230">
        <v>45946875</v>
      </c>
      <c r="CS98" s="230">
        <v>44040750</v>
      </c>
      <c r="CT98" s="230">
        <v>1906125</v>
      </c>
      <c r="CU98" s="229">
        <v>4.3299999999999998E-2</v>
      </c>
      <c r="CV98" s="230">
        <v>201649500</v>
      </c>
      <c r="CW98" s="230">
        <v>210585375</v>
      </c>
      <c r="CX98" s="230">
        <v>-8935875</v>
      </c>
      <c r="CY98" s="229">
        <v>-4.24E-2</v>
      </c>
      <c r="CZ98" s="228">
        <v>28.51</v>
      </c>
      <c r="DA98" s="228">
        <v>29.4</v>
      </c>
      <c r="DB98" s="228">
        <v>-0.89</v>
      </c>
      <c r="DC98" s="228">
        <v>-0.89</v>
      </c>
      <c r="DD98" s="228">
        <v>30.71</v>
      </c>
      <c r="DE98" s="228">
        <v>30.7</v>
      </c>
      <c r="DF98" s="228">
        <v>-2.2000000000000002</v>
      </c>
      <c r="DG98" s="228">
        <v>0.01</v>
      </c>
      <c r="DH98" s="228">
        <v>27.74</v>
      </c>
      <c r="DI98" s="228">
        <v>29.15</v>
      </c>
      <c r="DJ98" s="228">
        <v>-1.41</v>
      </c>
      <c r="DK98" s="228">
        <v>-1.41</v>
      </c>
      <c r="DL98" s="228">
        <v>29.92</v>
      </c>
      <c r="DM98" s="228">
        <v>29.8</v>
      </c>
      <c r="DN98" s="228">
        <v>0.12</v>
      </c>
      <c r="DO98" s="228">
        <v>0.12</v>
      </c>
      <c r="DP98" s="228">
        <v>0.74</v>
      </c>
      <c r="DQ98" s="228">
        <v>0.66</v>
      </c>
      <c r="DR98" s="228">
        <v>0.08</v>
      </c>
      <c r="DS98" s="229">
        <v>0.1212</v>
      </c>
      <c r="DT98" s="228">
        <v>180</v>
      </c>
      <c r="DU98" s="228">
        <v>160</v>
      </c>
      <c r="DV98" s="228">
        <v>0.54</v>
      </c>
      <c r="DW98" s="228">
        <v>0.64</v>
      </c>
      <c r="DX98" s="228">
        <v>-0.1</v>
      </c>
      <c r="DY98" s="229">
        <v>-0.15620000000000001</v>
      </c>
      <c r="DZ98" s="229">
        <v>3.8199999999999998E-2</v>
      </c>
      <c r="EA98" s="230">
        <v>3149250</v>
      </c>
      <c r="EB98" s="229">
        <v>3.5999999999999999E-3</v>
      </c>
      <c r="EC98" s="229">
        <v>3.8199999999999998E-2</v>
      </c>
      <c r="ED98" s="228">
        <v>0.99</v>
      </c>
      <c r="EE98" s="229">
        <v>5.4999999999999997E-3</v>
      </c>
      <c r="EF98" s="230">
        <v>16913580</v>
      </c>
      <c r="EG98" s="230">
        <v>15048571</v>
      </c>
      <c r="EH98" s="229">
        <v>0.1239</v>
      </c>
      <c r="EI98" s="229">
        <v>0.62690000000000001</v>
      </c>
      <c r="EJ98" s="231">
        <v>158416.07</v>
      </c>
      <c r="EK98" s="231">
        <v>80309.39</v>
      </c>
      <c r="EL98" s="231">
        <v>39930.78</v>
      </c>
      <c r="EM98" s="231">
        <v>6429</v>
      </c>
      <c r="EN98" s="231">
        <v>278656.24</v>
      </c>
      <c r="EO98" s="231">
        <v>157980.12</v>
      </c>
      <c r="EP98" s="231">
        <v>120676.12</v>
      </c>
      <c r="EQ98" s="229">
        <v>0.76390000000000002</v>
      </c>
      <c r="ER98" s="231">
        <v>111189</v>
      </c>
      <c r="ES98" s="231">
        <v>76404</v>
      </c>
      <c r="ET98" s="231">
        <v>169977</v>
      </c>
      <c r="EU98" s="231">
        <v>684903861</v>
      </c>
      <c r="EV98" s="231">
        <v>357570</v>
      </c>
      <c r="EW98" s="231">
        <v>369725</v>
      </c>
      <c r="EX98" s="231">
        <v>-12155</v>
      </c>
      <c r="EY98" s="229">
        <v>-3.2899999999999999E-2</v>
      </c>
      <c r="EZ98" s="229">
        <v>0.2944</v>
      </c>
      <c r="FA98" s="227" t="s">
        <v>556</v>
      </c>
      <c r="FB98" s="161">
        <f t="shared" si="1"/>
        <v>3583125</v>
      </c>
    </row>
    <row r="99" spans="1:158" ht="17.25" hidden="1" thickBot="1" x14ac:dyDescent="0.3">
      <c r="A99" s="226">
        <v>46064</v>
      </c>
      <c r="B99" s="227" t="s">
        <v>215</v>
      </c>
      <c r="C99" s="227" t="s">
        <v>490</v>
      </c>
      <c r="D99" s="228">
        <v>875</v>
      </c>
      <c r="E99" s="228">
        <v>625</v>
      </c>
      <c r="F99" s="228">
        <v>631.79999999999995</v>
      </c>
      <c r="G99" s="228">
        <v>-6.8</v>
      </c>
      <c r="H99" s="229">
        <v>-1.0800000000000001E-2</v>
      </c>
      <c r="I99" s="228">
        <v>628.35</v>
      </c>
      <c r="J99" s="228">
        <v>636.20000000000005</v>
      </c>
      <c r="K99" s="228">
        <v>-7.85</v>
      </c>
      <c r="L99" s="229">
        <v>-1.23E-2</v>
      </c>
      <c r="M99" s="228">
        <v>625</v>
      </c>
      <c r="N99" s="228">
        <v>631.79999999999995</v>
      </c>
      <c r="O99" s="228">
        <v>-6.8</v>
      </c>
      <c r="P99" s="229">
        <v>-1.0800000000000001E-2</v>
      </c>
      <c r="Q99" s="228">
        <v>0</v>
      </c>
      <c r="R99" s="228">
        <v>0</v>
      </c>
      <c r="S99" s="228">
        <v>0</v>
      </c>
      <c r="T99" s="229">
        <v>0</v>
      </c>
      <c r="U99" s="228">
        <v>0</v>
      </c>
      <c r="V99" s="228">
        <v>0</v>
      </c>
      <c r="W99" s="228">
        <v>0</v>
      </c>
      <c r="X99" s="229">
        <v>0</v>
      </c>
      <c r="Y99" s="228">
        <v>-3.35</v>
      </c>
      <c r="Z99" s="228">
        <v>-4.4000000000000004</v>
      </c>
      <c r="AA99" s="228">
        <v>1.05</v>
      </c>
      <c r="AB99" s="229">
        <v>-5.3E-3</v>
      </c>
      <c r="AC99" s="228">
        <v>-3.35</v>
      </c>
      <c r="AD99" s="228">
        <v>-4.4000000000000004</v>
      </c>
      <c r="AE99" s="228">
        <v>1.05</v>
      </c>
      <c r="AF99" s="229">
        <v>-5.3E-3</v>
      </c>
      <c r="AG99" s="228">
        <v>0</v>
      </c>
      <c r="AH99" s="228">
        <v>0</v>
      </c>
      <c r="AI99" s="228">
        <v>0</v>
      </c>
      <c r="AJ99" s="229">
        <v>0</v>
      </c>
      <c r="AK99" s="228">
        <v>0</v>
      </c>
      <c r="AL99" s="228">
        <v>0</v>
      </c>
      <c r="AM99" s="228">
        <v>0</v>
      </c>
      <c r="AN99" s="229">
        <v>0</v>
      </c>
      <c r="AO99" s="228">
        <v>624.79</v>
      </c>
      <c r="AP99" s="228">
        <v>0</v>
      </c>
      <c r="AQ99" s="228">
        <v>0</v>
      </c>
      <c r="AR99" s="230">
        <v>1696625</v>
      </c>
      <c r="AS99" s="230">
        <v>3699500</v>
      </c>
      <c r="AT99" s="230">
        <v>-2002875</v>
      </c>
      <c r="AU99" s="229">
        <v>-0.54139999999999999</v>
      </c>
      <c r="AV99" s="230">
        <v>1696625</v>
      </c>
      <c r="AW99" s="230">
        <v>3699500</v>
      </c>
      <c r="AX99" s="230">
        <v>-2002875</v>
      </c>
      <c r="AY99" s="229">
        <v>-0.54139999999999999</v>
      </c>
      <c r="AZ99" s="228">
        <v>0</v>
      </c>
      <c r="BA99" s="228">
        <v>0</v>
      </c>
      <c r="BB99" s="228">
        <v>0</v>
      </c>
      <c r="BC99" s="229">
        <v>0</v>
      </c>
      <c r="BD99" s="228">
        <v>0</v>
      </c>
      <c r="BE99" s="228">
        <v>0</v>
      </c>
      <c r="BF99" s="228">
        <v>0</v>
      </c>
      <c r="BG99" s="229">
        <v>0</v>
      </c>
      <c r="BH99" s="230">
        <v>11578000</v>
      </c>
      <c r="BI99" s="230">
        <v>24917375</v>
      </c>
      <c r="BJ99" s="230">
        <v>-13339375</v>
      </c>
      <c r="BK99" s="229">
        <v>-0.5353</v>
      </c>
      <c r="BL99" s="230">
        <v>3397625</v>
      </c>
      <c r="BM99" s="230">
        <v>5670000</v>
      </c>
      <c r="BN99" s="230">
        <v>-2272375</v>
      </c>
      <c r="BO99" s="229">
        <v>-0.40079999999999999</v>
      </c>
      <c r="BP99" s="230">
        <v>16672250</v>
      </c>
      <c r="BQ99" s="230">
        <v>34286875</v>
      </c>
      <c r="BR99" s="230">
        <v>-17614625</v>
      </c>
      <c r="BS99" s="229">
        <v>-0.51370000000000005</v>
      </c>
      <c r="BT99" s="230">
        <v>960021</v>
      </c>
      <c r="BU99" s="230">
        <v>2035207</v>
      </c>
      <c r="BV99" s="230">
        <v>-1075186</v>
      </c>
      <c r="BW99" s="229">
        <v>-0.52829999999999999</v>
      </c>
      <c r="BX99" s="230">
        <v>18407375</v>
      </c>
      <c r="BY99" s="230">
        <v>18445875</v>
      </c>
      <c r="BZ99" s="230">
        <v>-38500</v>
      </c>
      <c r="CA99" s="229">
        <v>-2.0999999999999999E-3</v>
      </c>
      <c r="CB99" s="230">
        <v>18407375</v>
      </c>
      <c r="CC99" s="230">
        <v>18445875</v>
      </c>
      <c r="CD99" s="230">
        <v>-38500</v>
      </c>
      <c r="CE99" s="229">
        <v>-2.0999999999999999E-3</v>
      </c>
      <c r="CF99" s="228">
        <v>0</v>
      </c>
      <c r="CG99" s="228">
        <v>0</v>
      </c>
      <c r="CH99" s="228">
        <v>0</v>
      </c>
      <c r="CI99" s="229">
        <v>0</v>
      </c>
      <c r="CJ99" s="228">
        <v>0</v>
      </c>
      <c r="CK99" s="228">
        <v>0</v>
      </c>
      <c r="CL99" s="228">
        <v>0</v>
      </c>
      <c r="CM99" s="229">
        <v>0</v>
      </c>
      <c r="CN99" s="230">
        <v>15045625</v>
      </c>
      <c r="CO99" s="230">
        <v>13995625</v>
      </c>
      <c r="CP99" s="230">
        <v>1050000</v>
      </c>
      <c r="CQ99" s="229">
        <v>7.4999999999999997E-2</v>
      </c>
      <c r="CR99" s="230">
        <v>9156000</v>
      </c>
      <c r="CS99" s="230">
        <v>9156000</v>
      </c>
      <c r="CT99" s="228">
        <v>0</v>
      </c>
      <c r="CU99" s="229">
        <v>0</v>
      </c>
      <c r="CV99" s="230">
        <v>42609000</v>
      </c>
      <c r="CW99" s="230">
        <v>41597500</v>
      </c>
      <c r="CX99" s="230">
        <v>1011500</v>
      </c>
      <c r="CY99" s="229">
        <v>2.4299999999999999E-2</v>
      </c>
      <c r="CZ99" s="228">
        <v>37.33</v>
      </c>
      <c r="DA99" s="228">
        <v>36.1</v>
      </c>
      <c r="DB99" s="228">
        <v>1.23</v>
      </c>
      <c r="DC99" s="228">
        <v>1.23</v>
      </c>
      <c r="DD99" s="228">
        <v>29.53</v>
      </c>
      <c r="DE99" s="228">
        <v>29.57</v>
      </c>
      <c r="DF99" s="228">
        <v>7.8</v>
      </c>
      <c r="DG99" s="228">
        <v>-0.04</v>
      </c>
      <c r="DH99" s="228">
        <v>37.76</v>
      </c>
      <c r="DI99" s="228">
        <v>36.35</v>
      </c>
      <c r="DJ99" s="228">
        <v>1.41</v>
      </c>
      <c r="DK99" s="228">
        <v>1.41</v>
      </c>
      <c r="DL99" s="228">
        <v>35.85</v>
      </c>
      <c r="DM99" s="228">
        <v>35.03</v>
      </c>
      <c r="DN99" s="228">
        <v>0.82</v>
      </c>
      <c r="DO99" s="228">
        <v>0.82</v>
      </c>
      <c r="DP99" s="228">
        <v>0.61</v>
      </c>
      <c r="DQ99" s="228">
        <v>0.65</v>
      </c>
      <c r="DR99" s="228">
        <v>-0.04</v>
      </c>
      <c r="DS99" s="229">
        <v>-6.1499999999999999E-2</v>
      </c>
      <c r="DT99" s="228">
        <v>650</v>
      </c>
      <c r="DU99" s="228">
        <v>600</v>
      </c>
      <c r="DV99" s="228">
        <v>0.28999999999999998</v>
      </c>
      <c r="DW99" s="228">
        <v>0.23</v>
      </c>
      <c r="DX99" s="228">
        <v>0.06</v>
      </c>
      <c r="DY99" s="229">
        <v>0.26090000000000002</v>
      </c>
      <c r="DZ99" s="229">
        <v>0</v>
      </c>
      <c r="EA99" s="228">
        <v>0</v>
      </c>
      <c r="EB99" s="229">
        <v>0</v>
      </c>
      <c r="EC99" s="229">
        <v>0</v>
      </c>
      <c r="ED99" s="228">
        <v>0</v>
      </c>
      <c r="EE99" s="229">
        <v>0</v>
      </c>
      <c r="EF99" s="230">
        <v>401412</v>
      </c>
      <c r="EG99" s="230">
        <v>775541</v>
      </c>
      <c r="EH99" s="229">
        <v>-0.4824</v>
      </c>
      <c r="EI99" s="229">
        <v>0.41810000000000003</v>
      </c>
      <c r="EJ99" s="231">
        <v>76263.33</v>
      </c>
      <c r="EK99" s="231">
        <v>21217.72</v>
      </c>
      <c r="EL99" s="231">
        <v>10600.39</v>
      </c>
      <c r="EM99" s="231">
        <v>2357</v>
      </c>
      <c r="EN99" s="231">
        <v>108081.44</v>
      </c>
      <c r="EO99" s="231">
        <v>223322.86</v>
      </c>
      <c r="EP99" s="231">
        <v>-115241.42</v>
      </c>
      <c r="EQ99" s="229">
        <v>-0.51600000000000001</v>
      </c>
      <c r="ER99" s="231">
        <v>99346</v>
      </c>
      <c r="ES99" s="231">
        <v>56676</v>
      </c>
      <c r="ET99" s="231">
        <v>115046</v>
      </c>
      <c r="EU99" s="231">
        <v>32504261</v>
      </c>
      <c r="EV99" s="231">
        <v>271068</v>
      </c>
      <c r="EW99" s="231">
        <v>265677</v>
      </c>
      <c r="EX99" s="231">
        <v>5391</v>
      </c>
      <c r="EY99" s="229">
        <v>2.0299999999999999E-2</v>
      </c>
      <c r="EZ99" s="229">
        <v>1.3109</v>
      </c>
      <c r="FA99" s="227" t="s">
        <v>568</v>
      </c>
      <c r="FB99" s="161">
        <f t="shared" si="1"/>
        <v>0</v>
      </c>
    </row>
    <row r="100" spans="1:158" ht="17.25" hidden="1" thickBot="1" x14ac:dyDescent="0.3">
      <c r="A100" s="226">
        <v>46064</v>
      </c>
      <c r="B100" s="227" t="s">
        <v>175</v>
      </c>
      <c r="C100" s="227" t="s">
        <v>664</v>
      </c>
      <c r="D100" s="228">
        <v>3450</v>
      </c>
      <c r="E100" s="228">
        <v>125.05</v>
      </c>
      <c r="F100" s="228">
        <v>128.62</v>
      </c>
      <c r="G100" s="228">
        <v>-3.57</v>
      </c>
      <c r="H100" s="229">
        <v>-2.7799999999999998E-2</v>
      </c>
      <c r="I100" s="228">
        <v>126.67</v>
      </c>
      <c r="J100" s="228">
        <v>129.28</v>
      </c>
      <c r="K100" s="228">
        <v>-2.61</v>
      </c>
      <c r="L100" s="229">
        <v>-2.0199999999999999E-2</v>
      </c>
      <c r="M100" s="228">
        <v>125.05</v>
      </c>
      <c r="N100" s="228">
        <v>128.62</v>
      </c>
      <c r="O100" s="228">
        <v>-3.57</v>
      </c>
      <c r="P100" s="229">
        <v>-2.7799999999999998E-2</v>
      </c>
      <c r="Q100" s="228">
        <v>123.54</v>
      </c>
      <c r="R100" s="228">
        <v>127.37</v>
      </c>
      <c r="S100" s="228">
        <v>-3.83</v>
      </c>
      <c r="T100" s="229">
        <v>-3.0099999999999998E-2</v>
      </c>
      <c r="U100" s="228">
        <v>123.26</v>
      </c>
      <c r="V100" s="228">
        <v>127.33</v>
      </c>
      <c r="W100" s="228">
        <v>-4.07</v>
      </c>
      <c r="X100" s="229">
        <v>-3.2000000000000001E-2</v>
      </c>
      <c r="Y100" s="228">
        <v>-1.62</v>
      </c>
      <c r="Z100" s="228">
        <v>-0.66</v>
      </c>
      <c r="AA100" s="228">
        <v>-0.96</v>
      </c>
      <c r="AB100" s="229">
        <v>-1.2800000000000001E-2</v>
      </c>
      <c r="AC100" s="228">
        <v>-1.62</v>
      </c>
      <c r="AD100" s="228">
        <v>-0.66</v>
      </c>
      <c r="AE100" s="228">
        <v>-0.96</v>
      </c>
      <c r="AF100" s="229">
        <v>-1.2800000000000001E-2</v>
      </c>
      <c r="AG100" s="228">
        <v>-3.13</v>
      </c>
      <c r="AH100" s="228">
        <v>-1.91</v>
      </c>
      <c r="AI100" s="228">
        <v>-1.22</v>
      </c>
      <c r="AJ100" s="229">
        <v>-2.47E-2</v>
      </c>
      <c r="AK100" s="228">
        <v>-3.41</v>
      </c>
      <c r="AL100" s="228">
        <v>-1.95</v>
      </c>
      <c r="AM100" s="228">
        <v>-1.46</v>
      </c>
      <c r="AN100" s="229">
        <v>-2.69E-2</v>
      </c>
      <c r="AO100" s="228">
        <v>124.93</v>
      </c>
      <c r="AP100" s="228">
        <v>123.39</v>
      </c>
      <c r="AQ100" s="228">
        <v>0</v>
      </c>
      <c r="AR100" s="230">
        <v>24753750</v>
      </c>
      <c r="AS100" s="230">
        <v>11447100</v>
      </c>
      <c r="AT100" s="230">
        <v>13306650</v>
      </c>
      <c r="AU100" s="229">
        <v>1.1624000000000001</v>
      </c>
      <c r="AV100" s="230">
        <v>15790650</v>
      </c>
      <c r="AW100" s="230">
        <v>7120800</v>
      </c>
      <c r="AX100" s="230">
        <v>8669850</v>
      </c>
      <c r="AY100" s="229">
        <v>1.2175</v>
      </c>
      <c r="AZ100" s="230">
        <v>7879800</v>
      </c>
      <c r="BA100" s="230">
        <v>3791550</v>
      </c>
      <c r="BB100" s="230">
        <v>4088250</v>
      </c>
      <c r="BC100" s="229">
        <v>1.0783</v>
      </c>
      <c r="BD100" s="230">
        <v>1083300</v>
      </c>
      <c r="BE100" s="230">
        <v>534750</v>
      </c>
      <c r="BF100" s="230">
        <v>548550</v>
      </c>
      <c r="BG100" s="229">
        <v>1.0258</v>
      </c>
      <c r="BH100" s="230">
        <v>41348250</v>
      </c>
      <c r="BI100" s="230">
        <v>14538300</v>
      </c>
      <c r="BJ100" s="230">
        <v>26809950</v>
      </c>
      <c r="BK100" s="229">
        <v>1.8441000000000001</v>
      </c>
      <c r="BL100" s="230">
        <v>16149450</v>
      </c>
      <c r="BM100" s="230">
        <v>4947300</v>
      </c>
      <c r="BN100" s="230">
        <v>11202150</v>
      </c>
      <c r="BO100" s="229">
        <v>2.2643</v>
      </c>
      <c r="BP100" s="230">
        <v>82251450</v>
      </c>
      <c r="BQ100" s="230">
        <v>30932700</v>
      </c>
      <c r="BR100" s="230">
        <v>51318750</v>
      </c>
      <c r="BS100" s="229">
        <v>1.659</v>
      </c>
      <c r="BT100" s="230">
        <v>14010351</v>
      </c>
      <c r="BU100" s="230">
        <v>5279798</v>
      </c>
      <c r="BV100" s="230">
        <v>8730553</v>
      </c>
      <c r="BW100" s="229">
        <v>1.6536</v>
      </c>
      <c r="BX100" s="230">
        <v>84090300</v>
      </c>
      <c r="BY100" s="230">
        <v>75517050</v>
      </c>
      <c r="BZ100" s="230">
        <v>8573250</v>
      </c>
      <c r="CA100" s="229">
        <v>0.1135</v>
      </c>
      <c r="CB100" s="230">
        <v>65781150</v>
      </c>
      <c r="CC100" s="230">
        <v>61023600</v>
      </c>
      <c r="CD100" s="230">
        <v>4757550</v>
      </c>
      <c r="CE100" s="229">
        <v>7.8E-2</v>
      </c>
      <c r="CF100" s="230">
        <v>15100650</v>
      </c>
      <c r="CG100" s="230">
        <v>11861100</v>
      </c>
      <c r="CH100" s="230">
        <v>3239550</v>
      </c>
      <c r="CI100" s="229">
        <v>0.27310000000000001</v>
      </c>
      <c r="CJ100" s="230">
        <v>3208500</v>
      </c>
      <c r="CK100" s="230">
        <v>2632350</v>
      </c>
      <c r="CL100" s="230">
        <v>576150</v>
      </c>
      <c r="CM100" s="229">
        <v>0.21890000000000001</v>
      </c>
      <c r="CN100" s="230">
        <v>42248700</v>
      </c>
      <c r="CO100" s="230">
        <v>38377800</v>
      </c>
      <c r="CP100" s="230">
        <v>3870900</v>
      </c>
      <c r="CQ100" s="229">
        <v>0.1009</v>
      </c>
      <c r="CR100" s="230">
        <v>22224900</v>
      </c>
      <c r="CS100" s="230">
        <v>21241650</v>
      </c>
      <c r="CT100" s="230">
        <v>983250</v>
      </c>
      <c r="CU100" s="229">
        <v>4.6300000000000001E-2</v>
      </c>
      <c r="CV100" s="230">
        <v>148563900</v>
      </c>
      <c r="CW100" s="230">
        <v>135136500</v>
      </c>
      <c r="CX100" s="230">
        <v>13427400</v>
      </c>
      <c r="CY100" s="229">
        <v>9.9400000000000002E-2</v>
      </c>
      <c r="CZ100" s="228">
        <v>40.64</v>
      </c>
      <c r="DA100" s="228">
        <v>39.86</v>
      </c>
      <c r="DB100" s="228">
        <v>0.78</v>
      </c>
      <c r="DC100" s="228">
        <v>0.78</v>
      </c>
      <c r="DD100" s="228">
        <v>48.32</v>
      </c>
      <c r="DE100" s="228">
        <v>48.29</v>
      </c>
      <c r="DF100" s="228">
        <v>-7.68</v>
      </c>
      <c r="DG100" s="228">
        <v>0.03</v>
      </c>
      <c r="DH100" s="228">
        <v>41.44</v>
      </c>
      <c r="DI100" s="228">
        <v>40.46</v>
      </c>
      <c r="DJ100" s="228">
        <v>0.98</v>
      </c>
      <c r="DK100" s="228">
        <v>0.98</v>
      </c>
      <c r="DL100" s="228">
        <v>38.6</v>
      </c>
      <c r="DM100" s="228">
        <v>38.07</v>
      </c>
      <c r="DN100" s="228">
        <v>0.53</v>
      </c>
      <c r="DO100" s="228">
        <v>0.53</v>
      </c>
      <c r="DP100" s="228">
        <v>0.53</v>
      </c>
      <c r="DQ100" s="228">
        <v>0.55000000000000004</v>
      </c>
      <c r="DR100" s="228">
        <v>-0.02</v>
      </c>
      <c r="DS100" s="229">
        <v>-3.6400000000000002E-2</v>
      </c>
      <c r="DT100" s="228">
        <v>130</v>
      </c>
      <c r="DU100" s="228">
        <v>130</v>
      </c>
      <c r="DV100" s="228">
        <v>0.39</v>
      </c>
      <c r="DW100" s="228">
        <v>0.34</v>
      </c>
      <c r="DX100" s="228">
        <v>0.05</v>
      </c>
      <c r="DY100" s="229">
        <v>0.14710000000000001</v>
      </c>
      <c r="DZ100" s="229">
        <v>0.2177</v>
      </c>
      <c r="EA100" s="230">
        <v>14493450</v>
      </c>
      <c r="EB100" s="229">
        <v>-1.21E-2</v>
      </c>
      <c r="EC100" s="229">
        <v>0.2177</v>
      </c>
      <c r="ED100" s="228">
        <v>-1.54</v>
      </c>
      <c r="EE100" s="229">
        <v>-1.23E-2</v>
      </c>
      <c r="EF100" s="230">
        <v>5578202</v>
      </c>
      <c r="EG100" s="230">
        <v>1847418</v>
      </c>
      <c r="EH100" s="229">
        <v>2.0194999999999999</v>
      </c>
      <c r="EI100" s="229">
        <v>0.39810000000000001</v>
      </c>
      <c r="EJ100" s="231">
        <v>55660.45</v>
      </c>
      <c r="EK100" s="231">
        <v>20704.77</v>
      </c>
      <c r="EL100" s="231">
        <v>30783.06</v>
      </c>
      <c r="EM100" s="231">
        <v>4742</v>
      </c>
      <c r="EN100" s="231">
        <v>107148.28</v>
      </c>
      <c r="EO100" s="231">
        <v>41149.72</v>
      </c>
      <c r="EP100" s="231">
        <v>65998.559999999998</v>
      </c>
      <c r="EQ100" s="229">
        <v>1.6039000000000001</v>
      </c>
      <c r="ER100" s="231">
        <v>57816</v>
      </c>
      <c r="ES100" s="231">
        <v>28718</v>
      </c>
      <c r="ET100" s="231">
        <v>104869</v>
      </c>
      <c r="EU100" s="231">
        <v>119011160</v>
      </c>
      <c r="EV100" s="231">
        <v>191404</v>
      </c>
      <c r="EW100" s="231">
        <v>177570</v>
      </c>
      <c r="EX100" s="231">
        <v>13834</v>
      </c>
      <c r="EY100" s="229">
        <v>7.7899999999999997E-2</v>
      </c>
      <c r="EZ100" s="229">
        <v>1.2483</v>
      </c>
      <c r="FA100" s="227" t="s">
        <v>567</v>
      </c>
      <c r="FB100" s="161">
        <f t="shared" si="1"/>
        <v>18309150</v>
      </c>
    </row>
    <row r="101" spans="1:158" ht="17.25" hidden="1" thickBot="1" x14ac:dyDescent="0.3">
      <c r="A101" s="226">
        <v>46064</v>
      </c>
      <c r="B101" s="227" t="s">
        <v>215</v>
      </c>
      <c r="C101" s="227" t="s">
        <v>592</v>
      </c>
      <c r="D101" s="228">
        <v>4250</v>
      </c>
      <c r="E101" s="228">
        <v>114.28</v>
      </c>
      <c r="F101" s="228">
        <v>115.82</v>
      </c>
      <c r="G101" s="228">
        <v>-1.54</v>
      </c>
      <c r="H101" s="229">
        <v>-1.3299999999999999E-2</v>
      </c>
      <c r="I101" s="228">
        <v>114.33</v>
      </c>
      <c r="J101" s="228">
        <v>115.46</v>
      </c>
      <c r="K101" s="228">
        <v>-1.1299999999999999</v>
      </c>
      <c r="L101" s="229">
        <v>-9.7999999999999997E-3</v>
      </c>
      <c r="M101" s="228">
        <v>114.28</v>
      </c>
      <c r="N101" s="228">
        <v>115.82</v>
      </c>
      <c r="O101" s="228">
        <v>-1.54</v>
      </c>
      <c r="P101" s="229">
        <v>-1.3299999999999999E-2</v>
      </c>
      <c r="Q101" s="228">
        <v>112.96</v>
      </c>
      <c r="R101" s="228">
        <v>114.63</v>
      </c>
      <c r="S101" s="228">
        <v>-1.67</v>
      </c>
      <c r="T101" s="229">
        <v>-1.46E-2</v>
      </c>
      <c r="U101" s="228">
        <v>112.72</v>
      </c>
      <c r="V101" s="228">
        <v>114.3</v>
      </c>
      <c r="W101" s="228">
        <v>-1.58</v>
      </c>
      <c r="X101" s="229">
        <v>-1.38E-2</v>
      </c>
      <c r="Y101" s="228">
        <v>-0.05</v>
      </c>
      <c r="Z101" s="228">
        <v>0.36</v>
      </c>
      <c r="AA101" s="228">
        <v>-0.41</v>
      </c>
      <c r="AB101" s="229">
        <v>-4.0000000000000002E-4</v>
      </c>
      <c r="AC101" s="228">
        <v>-0.05</v>
      </c>
      <c r="AD101" s="228">
        <v>0.36</v>
      </c>
      <c r="AE101" s="228">
        <v>-0.41</v>
      </c>
      <c r="AF101" s="229">
        <v>-4.0000000000000002E-4</v>
      </c>
      <c r="AG101" s="228">
        <v>-1.37</v>
      </c>
      <c r="AH101" s="228">
        <v>-0.83</v>
      </c>
      <c r="AI101" s="228">
        <v>-0.54</v>
      </c>
      <c r="AJ101" s="229">
        <v>-1.2E-2</v>
      </c>
      <c r="AK101" s="228">
        <v>-1.61</v>
      </c>
      <c r="AL101" s="228">
        <v>-1.1599999999999999</v>
      </c>
      <c r="AM101" s="228">
        <v>-0.45</v>
      </c>
      <c r="AN101" s="229">
        <v>-1.41E-2</v>
      </c>
      <c r="AO101" s="228">
        <v>114.07</v>
      </c>
      <c r="AP101" s="228">
        <v>112.86</v>
      </c>
      <c r="AQ101" s="228">
        <v>0</v>
      </c>
      <c r="AR101" s="230">
        <v>14071750</v>
      </c>
      <c r="AS101" s="230">
        <v>12231500</v>
      </c>
      <c r="AT101" s="230">
        <v>1840250</v>
      </c>
      <c r="AU101" s="229">
        <v>0.15049999999999999</v>
      </c>
      <c r="AV101" s="230">
        <v>11169000</v>
      </c>
      <c r="AW101" s="230">
        <v>9035500</v>
      </c>
      <c r="AX101" s="230">
        <v>2133500</v>
      </c>
      <c r="AY101" s="229">
        <v>0.2361</v>
      </c>
      <c r="AZ101" s="230">
        <v>2443750</v>
      </c>
      <c r="BA101" s="230">
        <v>2715750</v>
      </c>
      <c r="BB101" s="230">
        <v>-272000</v>
      </c>
      <c r="BC101" s="229">
        <v>-0.1002</v>
      </c>
      <c r="BD101" s="230">
        <v>459000</v>
      </c>
      <c r="BE101" s="230">
        <v>480250</v>
      </c>
      <c r="BF101" s="230">
        <v>-21250</v>
      </c>
      <c r="BG101" s="229">
        <v>-4.4200000000000003E-2</v>
      </c>
      <c r="BH101" s="230">
        <v>65076000</v>
      </c>
      <c r="BI101" s="230">
        <v>66529500</v>
      </c>
      <c r="BJ101" s="230">
        <v>-1453500</v>
      </c>
      <c r="BK101" s="229">
        <v>-2.18E-2</v>
      </c>
      <c r="BL101" s="230">
        <v>16502750</v>
      </c>
      <c r="BM101" s="230">
        <v>13799750</v>
      </c>
      <c r="BN101" s="230">
        <v>2703000</v>
      </c>
      <c r="BO101" s="229">
        <v>0.19589999999999999</v>
      </c>
      <c r="BP101" s="230">
        <v>95650500</v>
      </c>
      <c r="BQ101" s="230">
        <v>92560750</v>
      </c>
      <c r="BR101" s="230">
        <v>3089750</v>
      </c>
      <c r="BS101" s="229">
        <v>3.3399999999999999E-2</v>
      </c>
      <c r="BT101" s="230">
        <v>11150064</v>
      </c>
      <c r="BU101" s="230">
        <v>13426226</v>
      </c>
      <c r="BV101" s="230">
        <v>-2276162</v>
      </c>
      <c r="BW101" s="229">
        <v>-0.16950000000000001</v>
      </c>
      <c r="BX101" s="230">
        <v>78127750</v>
      </c>
      <c r="BY101" s="230">
        <v>78518750</v>
      </c>
      <c r="BZ101" s="230">
        <v>-391000</v>
      </c>
      <c r="CA101" s="229">
        <v>-5.0000000000000001E-3</v>
      </c>
      <c r="CB101" s="230">
        <v>64217500</v>
      </c>
      <c r="CC101" s="230">
        <v>65768750</v>
      </c>
      <c r="CD101" s="230">
        <v>-1551250</v>
      </c>
      <c r="CE101" s="229">
        <v>-2.3599999999999999E-2</v>
      </c>
      <c r="CF101" s="230">
        <v>11543000</v>
      </c>
      <c r="CG101" s="230">
        <v>10629250</v>
      </c>
      <c r="CH101" s="230">
        <v>913750</v>
      </c>
      <c r="CI101" s="229">
        <v>8.5999999999999993E-2</v>
      </c>
      <c r="CJ101" s="230">
        <v>2367250</v>
      </c>
      <c r="CK101" s="230">
        <v>2120750</v>
      </c>
      <c r="CL101" s="230">
        <v>246500</v>
      </c>
      <c r="CM101" s="229">
        <v>0.1162</v>
      </c>
      <c r="CN101" s="230">
        <v>104571250</v>
      </c>
      <c r="CO101" s="230">
        <v>101541000</v>
      </c>
      <c r="CP101" s="230">
        <v>3030250</v>
      </c>
      <c r="CQ101" s="229">
        <v>2.98E-2</v>
      </c>
      <c r="CR101" s="230">
        <v>40175250</v>
      </c>
      <c r="CS101" s="230">
        <v>39410250</v>
      </c>
      <c r="CT101" s="230">
        <v>765000</v>
      </c>
      <c r="CU101" s="229">
        <v>1.9400000000000001E-2</v>
      </c>
      <c r="CV101" s="230">
        <v>222874250</v>
      </c>
      <c r="CW101" s="230">
        <v>219470000</v>
      </c>
      <c r="CX101" s="230">
        <v>3404250</v>
      </c>
      <c r="CY101" s="229">
        <v>1.55E-2</v>
      </c>
      <c r="CZ101" s="228">
        <v>42.07</v>
      </c>
      <c r="DA101" s="228">
        <v>39.729999999999997</v>
      </c>
      <c r="DB101" s="228">
        <v>2.34</v>
      </c>
      <c r="DC101" s="228">
        <v>2.34</v>
      </c>
      <c r="DD101" s="228">
        <v>45.24</v>
      </c>
      <c r="DE101" s="228">
        <v>45.32</v>
      </c>
      <c r="DF101" s="228">
        <v>-3.17</v>
      </c>
      <c r="DG101" s="228">
        <v>-0.08</v>
      </c>
      <c r="DH101" s="228">
        <v>43.49</v>
      </c>
      <c r="DI101" s="228">
        <v>40.549999999999997</v>
      </c>
      <c r="DJ101" s="228">
        <v>2.94</v>
      </c>
      <c r="DK101" s="228">
        <v>2.94</v>
      </c>
      <c r="DL101" s="228">
        <v>36.450000000000003</v>
      </c>
      <c r="DM101" s="228">
        <v>35.82</v>
      </c>
      <c r="DN101" s="228">
        <v>0.63</v>
      </c>
      <c r="DO101" s="228">
        <v>0.63</v>
      </c>
      <c r="DP101" s="228">
        <v>0.38</v>
      </c>
      <c r="DQ101" s="228">
        <v>0.39</v>
      </c>
      <c r="DR101" s="228">
        <v>-0.01</v>
      </c>
      <c r="DS101" s="229">
        <v>-2.5600000000000001E-2</v>
      </c>
      <c r="DT101" s="228">
        <v>120</v>
      </c>
      <c r="DU101" s="228">
        <v>110</v>
      </c>
      <c r="DV101" s="228">
        <v>0.25</v>
      </c>
      <c r="DW101" s="228">
        <v>0.21</v>
      </c>
      <c r="DX101" s="228">
        <v>0.04</v>
      </c>
      <c r="DY101" s="229">
        <v>0.1905</v>
      </c>
      <c r="DZ101" s="229">
        <v>0.17799999999999999</v>
      </c>
      <c r="EA101" s="230">
        <v>12750000</v>
      </c>
      <c r="EB101" s="229">
        <v>-1.1599999999999999E-2</v>
      </c>
      <c r="EC101" s="229">
        <v>0.17799999999999999</v>
      </c>
      <c r="ED101" s="228">
        <v>-1.21</v>
      </c>
      <c r="EE101" s="229">
        <v>-1.06E-2</v>
      </c>
      <c r="EF101" s="230">
        <v>3842618</v>
      </c>
      <c r="EG101" s="230">
        <v>3503847</v>
      </c>
      <c r="EH101" s="229">
        <v>9.6699999999999994E-2</v>
      </c>
      <c r="EI101" s="229">
        <v>0.34460000000000002</v>
      </c>
      <c r="EJ101" s="231">
        <v>81045.55</v>
      </c>
      <c r="EK101" s="231">
        <v>18730.46</v>
      </c>
      <c r="EL101" s="231">
        <v>16015.87</v>
      </c>
      <c r="EM101" s="231">
        <v>3202</v>
      </c>
      <c r="EN101" s="231">
        <v>115791.88</v>
      </c>
      <c r="EO101" s="231">
        <v>112111.22</v>
      </c>
      <c r="EP101" s="231">
        <v>3680.66</v>
      </c>
      <c r="EQ101" s="229">
        <v>3.2800000000000003E-2</v>
      </c>
      <c r="ER101" s="231">
        <v>132319</v>
      </c>
      <c r="ES101" s="231">
        <v>45860</v>
      </c>
      <c r="ET101" s="231">
        <v>89095</v>
      </c>
      <c r="EU101" s="231">
        <v>200960551</v>
      </c>
      <c r="EV101" s="231">
        <v>267274</v>
      </c>
      <c r="EW101" s="231">
        <v>264264</v>
      </c>
      <c r="EX101" s="231">
        <v>3010</v>
      </c>
      <c r="EY101" s="229">
        <v>1.14E-2</v>
      </c>
      <c r="EZ101" s="229">
        <v>1.109</v>
      </c>
      <c r="FA101" s="227" t="s">
        <v>568</v>
      </c>
      <c r="FB101" s="161">
        <f t="shared" si="1"/>
        <v>13910250</v>
      </c>
    </row>
    <row r="102" spans="1:158" ht="17.25" hidden="1" thickBot="1" x14ac:dyDescent="0.3">
      <c r="A102" s="226">
        <v>46064</v>
      </c>
      <c r="B102" s="227" t="s">
        <v>168</v>
      </c>
      <c r="C102" s="227" t="s">
        <v>242</v>
      </c>
      <c r="D102" s="228">
        <v>1600</v>
      </c>
      <c r="E102" s="228">
        <v>319.14999999999998</v>
      </c>
      <c r="F102" s="228">
        <v>321.89999999999998</v>
      </c>
      <c r="G102" s="228">
        <v>-2.75</v>
      </c>
      <c r="H102" s="229">
        <v>-8.5000000000000006E-3</v>
      </c>
      <c r="I102" s="228">
        <v>318.25</v>
      </c>
      <c r="J102" s="228">
        <v>321.39999999999998</v>
      </c>
      <c r="K102" s="228">
        <v>-3.15</v>
      </c>
      <c r="L102" s="229">
        <v>-9.7999999999999997E-3</v>
      </c>
      <c r="M102" s="228">
        <v>319.14999999999998</v>
      </c>
      <c r="N102" s="228">
        <v>321.89999999999998</v>
      </c>
      <c r="O102" s="228">
        <v>-2.75</v>
      </c>
      <c r="P102" s="229">
        <v>-8.5000000000000006E-3</v>
      </c>
      <c r="Q102" s="228">
        <v>321.2</v>
      </c>
      <c r="R102" s="228">
        <v>324</v>
      </c>
      <c r="S102" s="228">
        <v>-2.8</v>
      </c>
      <c r="T102" s="229">
        <v>-8.6E-3</v>
      </c>
      <c r="U102" s="228">
        <v>323.14999999999998</v>
      </c>
      <c r="V102" s="228">
        <v>326</v>
      </c>
      <c r="W102" s="228">
        <v>-2.85</v>
      </c>
      <c r="X102" s="229">
        <v>-8.6999999999999994E-3</v>
      </c>
      <c r="Y102" s="228">
        <v>0.9</v>
      </c>
      <c r="Z102" s="228">
        <v>0.5</v>
      </c>
      <c r="AA102" s="228">
        <v>0.4</v>
      </c>
      <c r="AB102" s="229">
        <v>2.8E-3</v>
      </c>
      <c r="AC102" s="228">
        <v>0.9</v>
      </c>
      <c r="AD102" s="228">
        <v>0.5</v>
      </c>
      <c r="AE102" s="228">
        <v>0.4</v>
      </c>
      <c r="AF102" s="229">
        <v>2.8E-3</v>
      </c>
      <c r="AG102" s="228">
        <v>2.95</v>
      </c>
      <c r="AH102" s="228">
        <v>2.6</v>
      </c>
      <c r="AI102" s="228">
        <v>0.35</v>
      </c>
      <c r="AJ102" s="229">
        <v>9.2999999999999992E-3</v>
      </c>
      <c r="AK102" s="228">
        <v>4.9000000000000004</v>
      </c>
      <c r="AL102" s="228">
        <v>4.5999999999999996</v>
      </c>
      <c r="AM102" s="228">
        <v>0.3</v>
      </c>
      <c r="AN102" s="229">
        <v>1.54E-2</v>
      </c>
      <c r="AO102" s="228">
        <v>319.25</v>
      </c>
      <c r="AP102" s="228">
        <v>321.33999999999997</v>
      </c>
      <c r="AQ102" s="228">
        <v>0</v>
      </c>
      <c r="AR102" s="230">
        <v>19556800</v>
      </c>
      <c r="AS102" s="230">
        <v>16212800</v>
      </c>
      <c r="AT102" s="230">
        <v>3344000</v>
      </c>
      <c r="AU102" s="229">
        <v>0.20630000000000001</v>
      </c>
      <c r="AV102" s="230">
        <v>15859200</v>
      </c>
      <c r="AW102" s="230">
        <v>13641600</v>
      </c>
      <c r="AX102" s="230">
        <v>2217600</v>
      </c>
      <c r="AY102" s="229">
        <v>0.16259999999999999</v>
      </c>
      <c r="AZ102" s="230">
        <v>3193600</v>
      </c>
      <c r="BA102" s="230">
        <v>2134400</v>
      </c>
      <c r="BB102" s="230">
        <v>1059200</v>
      </c>
      <c r="BC102" s="229">
        <v>0.49630000000000002</v>
      </c>
      <c r="BD102" s="230">
        <v>504000</v>
      </c>
      <c r="BE102" s="230">
        <v>436800</v>
      </c>
      <c r="BF102" s="230">
        <v>67200</v>
      </c>
      <c r="BG102" s="229">
        <v>0.15379999999999999</v>
      </c>
      <c r="BH102" s="230">
        <v>158126400</v>
      </c>
      <c r="BI102" s="230">
        <v>119270400</v>
      </c>
      <c r="BJ102" s="230">
        <v>38856000</v>
      </c>
      <c r="BK102" s="229">
        <v>0.32579999999999998</v>
      </c>
      <c r="BL102" s="230">
        <v>73270400</v>
      </c>
      <c r="BM102" s="230">
        <v>48420800</v>
      </c>
      <c r="BN102" s="230">
        <v>24849600</v>
      </c>
      <c r="BO102" s="229">
        <v>0.51319999999999999</v>
      </c>
      <c r="BP102" s="230">
        <v>250953600</v>
      </c>
      <c r="BQ102" s="230">
        <v>183904000</v>
      </c>
      <c r="BR102" s="230">
        <v>67049600</v>
      </c>
      <c r="BS102" s="229">
        <v>0.36459999999999998</v>
      </c>
      <c r="BT102" s="230">
        <v>25577376</v>
      </c>
      <c r="BU102" s="230">
        <v>11920303</v>
      </c>
      <c r="BV102" s="230">
        <v>13657073</v>
      </c>
      <c r="BW102" s="229">
        <v>1.1456999999999999</v>
      </c>
      <c r="BX102" s="230">
        <v>201121600</v>
      </c>
      <c r="BY102" s="230">
        <v>198185600</v>
      </c>
      <c r="BZ102" s="230">
        <v>2936000</v>
      </c>
      <c r="CA102" s="229">
        <v>1.4800000000000001E-2</v>
      </c>
      <c r="CB102" s="230">
        <v>178345600</v>
      </c>
      <c r="CC102" s="230">
        <v>177401600</v>
      </c>
      <c r="CD102" s="230">
        <v>944000</v>
      </c>
      <c r="CE102" s="229">
        <v>5.3E-3</v>
      </c>
      <c r="CF102" s="230">
        <v>19305600</v>
      </c>
      <c r="CG102" s="230">
        <v>17472000</v>
      </c>
      <c r="CH102" s="230">
        <v>1833600</v>
      </c>
      <c r="CI102" s="229">
        <v>0.10489999999999999</v>
      </c>
      <c r="CJ102" s="230">
        <v>3470400</v>
      </c>
      <c r="CK102" s="230">
        <v>3312000</v>
      </c>
      <c r="CL102" s="230">
        <v>158400</v>
      </c>
      <c r="CM102" s="229">
        <v>4.7800000000000002E-2</v>
      </c>
      <c r="CN102" s="230">
        <v>195238400</v>
      </c>
      <c r="CO102" s="230">
        <v>187168000</v>
      </c>
      <c r="CP102" s="230">
        <v>8070400</v>
      </c>
      <c r="CQ102" s="229">
        <v>4.3099999999999999E-2</v>
      </c>
      <c r="CR102" s="230">
        <v>90598400</v>
      </c>
      <c r="CS102" s="230">
        <v>90793600</v>
      </c>
      <c r="CT102" s="230">
        <v>-195200</v>
      </c>
      <c r="CU102" s="229">
        <v>-2.0999999999999999E-3</v>
      </c>
      <c r="CV102" s="230">
        <v>486958400</v>
      </c>
      <c r="CW102" s="230">
        <v>476147200</v>
      </c>
      <c r="CX102" s="230">
        <v>10811200</v>
      </c>
      <c r="CY102" s="229">
        <v>2.2700000000000001E-2</v>
      </c>
      <c r="CZ102" s="228">
        <v>22.86</v>
      </c>
      <c r="DA102" s="228">
        <v>23.16</v>
      </c>
      <c r="DB102" s="228">
        <v>-0.3</v>
      </c>
      <c r="DC102" s="228">
        <v>-0.3</v>
      </c>
      <c r="DD102" s="228">
        <v>24.42</v>
      </c>
      <c r="DE102" s="228">
        <v>24.45</v>
      </c>
      <c r="DF102" s="228">
        <v>-1.56</v>
      </c>
      <c r="DG102" s="228">
        <v>-0.03</v>
      </c>
      <c r="DH102" s="228">
        <v>23.75</v>
      </c>
      <c r="DI102" s="228">
        <v>23.76</v>
      </c>
      <c r="DJ102" s="228">
        <v>-0.01</v>
      </c>
      <c r="DK102" s="228">
        <v>-0.01</v>
      </c>
      <c r="DL102" s="228">
        <v>20.93</v>
      </c>
      <c r="DM102" s="228">
        <v>21.7</v>
      </c>
      <c r="DN102" s="228">
        <v>-0.77</v>
      </c>
      <c r="DO102" s="228">
        <v>-0.77</v>
      </c>
      <c r="DP102" s="228">
        <v>0.46</v>
      </c>
      <c r="DQ102" s="228">
        <v>0.49</v>
      </c>
      <c r="DR102" s="228">
        <v>-0.03</v>
      </c>
      <c r="DS102" s="229">
        <v>-6.1199999999999997E-2</v>
      </c>
      <c r="DT102" s="228">
        <v>330</v>
      </c>
      <c r="DU102" s="228">
        <v>293.5</v>
      </c>
      <c r="DV102" s="228">
        <v>0.46</v>
      </c>
      <c r="DW102" s="228">
        <v>0.41</v>
      </c>
      <c r="DX102" s="228">
        <v>0.05</v>
      </c>
      <c r="DY102" s="229">
        <v>0.122</v>
      </c>
      <c r="DZ102" s="229">
        <v>0.1132</v>
      </c>
      <c r="EA102" s="230">
        <v>20784000</v>
      </c>
      <c r="EB102" s="229">
        <v>6.4000000000000003E-3</v>
      </c>
      <c r="EC102" s="229">
        <v>0.1132</v>
      </c>
      <c r="ED102" s="228">
        <v>2.09</v>
      </c>
      <c r="EE102" s="229">
        <v>6.4999999999999997E-3</v>
      </c>
      <c r="EF102" s="230">
        <v>18613433</v>
      </c>
      <c r="EG102" s="230">
        <v>6246846</v>
      </c>
      <c r="EH102" s="229">
        <v>1.9797</v>
      </c>
      <c r="EI102" s="229">
        <v>0.72770000000000001</v>
      </c>
      <c r="EJ102" s="231">
        <v>531292.86</v>
      </c>
      <c r="EK102" s="231">
        <v>231688.15</v>
      </c>
      <c r="EL102" s="231">
        <v>62523.08</v>
      </c>
      <c r="EM102" s="231">
        <v>20728</v>
      </c>
      <c r="EN102" s="231">
        <v>825504.09</v>
      </c>
      <c r="EO102" s="231">
        <v>611869.15</v>
      </c>
      <c r="EP102" s="231">
        <v>213634.94</v>
      </c>
      <c r="EQ102" s="229">
        <v>0.34920000000000001</v>
      </c>
      <c r="ER102" s="231">
        <v>660886</v>
      </c>
      <c r="ES102" s="231">
        <v>285252</v>
      </c>
      <c r="ET102" s="231">
        <v>642414</v>
      </c>
      <c r="EU102" s="231">
        <v>1252401670</v>
      </c>
      <c r="EV102" s="231">
        <v>1588551</v>
      </c>
      <c r="EW102" s="231">
        <v>1558901</v>
      </c>
      <c r="EX102" s="231">
        <v>29650</v>
      </c>
      <c r="EY102" s="229">
        <v>1.9E-2</v>
      </c>
      <c r="EZ102" s="229">
        <v>0.38879999999999998</v>
      </c>
      <c r="FA102" s="227" t="s">
        <v>567</v>
      </c>
      <c r="FB102" s="161">
        <f t="shared" si="1"/>
        <v>22776000</v>
      </c>
    </row>
    <row r="103" spans="1:158" ht="17.25" hidden="1" thickBot="1" x14ac:dyDescent="0.3">
      <c r="A103" s="226">
        <v>46064</v>
      </c>
      <c r="B103" s="227" t="s">
        <v>227</v>
      </c>
      <c r="C103" s="227" t="s">
        <v>243</v>
      </c>
      <c r="D103" s="228">
        <v>625</v>
      </c>
      <c r="E103" s="231">
        <v>1194.5</v>
      </c>
      <c r="F103" s="231">
        <v>1193.5</v>
      </c>
      <c r="G103" s="228">
        <v>1</v>
      </c>
      <c r="H103" s="229">
        <v>8.0000000000000004E-4</v>
      </c>
      <c r="I103" s="231">
        <v>1190.5</v>
      </c>
      <c r="J103" s="231">
        <v>1191.4000000000001</v>
      </c>
      <c r="K103" s="228">
        <v>-0.9</v>
      </c>
      <c r="L103" s="229">
        <v>-8.0000000000000004E-4</v>
      </c>
      <c r="M103" s="231">
        <v>1194.5</v>
      </c>
      <c r="N103" s="231">
        <v>1193.5</v>
      </c>
      <c r="O103" s="228">
        <v>1</v>
      </c>
      <c r="P103" s="229">
        <v>8.0000000000000004E-4</v>
      </c>
      <c r="Q103" s="231">
        <v>1199.5</v>
      </c>
      <c r="R103" s="231">
        <v>1198.7</v>
      </c>
      <c r="S103" s="228">
        <v>0.8</v>
      </c>
      <c r="T103" s="229">
        <v>6.9999999999999999E-4</v>
      </c>
      <c r="U103" s="231">
        <v>1204.8</v>
      </c>
      <c r="V103" s="231">
        <v>1207.9000000000001</v>
      </c>
      <c r="W103" s="228">
        <v>-3.1</v>
      </c>
      <c r="X103" s="229">
        <v>-2.5999999999999999E-3</v>
      </c>
      <c r="Y103" s="228">
        <v>4</v>
      </c>
      <c r="Z103" s="228">
        <v>2.1</v>
      </c>
      <c r="AA103" s="228">
        <v>1.9</v>
      </c>
      <c r="AB103" s="229">
        <v>3.3999999999999998E-3</v>
      </c>
      <c r="AC103" s="228">
        <v>4</v>
      </c>
      <c r="AD103" s="228">
        <v>2.1</v>
      </c>
      <c r="AE103" s="228">
        <v>1.9</v>
      </c>
      <c r="AF103" s="229">
        <v>3.3999999999999998E-3</v>
      </c>
      <c r="AG103" s="228">
        <v>9</v>
      </c>
      <c r="AH103" s="228">
        <v>7.3</v>
      </c>
      <c r="AI103" s="228">
        <v>1.7</v>
      </c>
      <c r="AJ103" s="229">
        <v>7.6E-3</v>
      </c>
      <c r="AK103" s="228">
        <v>14.3</v>
      </c>
      <c r="AL103" s="228">
        <v>16.5</v>
      </c>
      <c r="AM103" s="228">
        <v>-2.2000000000000002</v>
      </c>
      <c r="AN103" s="229">
        <v>1.2E-2</v>
      </c>
      <c r="AO103" s="231">
        <v>1194.7</v>
      </c>
      <c r="AP103" s="231">
        <v>1200.1199999999999</v>
      </c>
      <c r="AQ103" s="228">
        <v>0</v>
      </c>
      <c r="AR103" s="230">
        <v>1306875</v>
      </c>
      <c r="AS103" s="230">
        <v>1218750</v>
      </c>
      <c r="AT103" s="230">
        <v>88125</v>
      </c>
      <c r="AU103" s="229">
        <v>7.2300000000000003E-2</v>
      </c>
      <c r="AV103" s="230">
        <v>1250625</v>
      </c>
      <c r="AW103" s="230">
        <v>1127500</v>
      </c>
      <c r="AX103" s="230">
        <v>123125</v>
      </c>
      <c r="AY103" s="229">
        <v>0.10920000000000001</v>
      </c>
      <c r="AZ103" s="230">
        <v>50000</v>
      </c>
      <c r="BA103" s="230">
        <v>80000</v>
      </c>
      <c r="BB103" s="230">
        <v>-30000</v>
      </c>
      <c r="BC103" s="229">
        <v>-0.375</v>
      </c>
      <c r="BD103" s="230">
        <v>6250</v>
      </c>
      <c r="BE103" s="230">
        <v>11250</v>
      </c>
      <c r="BF103" s="230">
        <v>-5000</v>
      </c>
      <c r="BG103" s="229">
        <v>-0.44440000000000002</v>
      </c>
      <c r="BH103" s="230">
        <v>3276250</v>
      </c>
      <c r="BI103" s="230">
        <v>3753750</v>
      </c>
      <c r="BJ103" s="230">
        <v>-477500</v>
      </c>
      <c r="BK103" s="229">
        <v>-0.12720000000000001</v>
      </c>
      <c r="BL103" s="230">
        <v>3018750</v>
      </c>
      <c r="BM103" s="230">
        <v>2396875</v>
      </c>
      <c r="BN103" s="230">
        <v>621875</v>
      </c>
      <c r="BO103" s="229">
        <v>0.25950000000000001</v>
      </c>
      <c r="BP103" s="230">
        <v>7601875</v>
      </c>
      <c r="BQ103" s="230">
        <v>7369375</v>
      </c>
      <c r="BR103" s="230">
        <v>232500</v>
      </c>
      <c r="BS103" s="229">
        <v>3.15E-2</v>
      </c>
      <c r="BT103" s="230">
        <v>679705</v>
      </c>
      <c r="BU103" s="230">
        <v>690966</v>
      </c>
      <c r="BV103" s="230">
        <v>-11261</v>
      </c>
      <c r="BW103" s="229">
        <v>-1.6299999999999999E-2</v>
      </c>
      <c r="BX103" s="230">
        <v>11356875</v>
      </c>
      <c r="BY103" s="230">
        <v>11594375</v>
      </c>
      <c r="BZ103" s="230">
        <v>-237500</v>
      </c>
      <c r="CA103" s="229">
        <v>-2.0500000000000001E-2</v>
      </c>
      <c r="CB103" s="230">
        <v>11000000</v>
      </c>
      <c r="CC103" s="230">
        <v>11247500</v>
      </c>
      <c r="CD103" s="230">
        <v>-247500</v>
      </c>
      <c r="CE103" s="229">
        <v>-2.1999999999999999E-2</v>
      </c>
      <c r="CF103" s="230">
        <v>312500</v>
      </c>
      <c r="CG103" s="230">
        <v>302500</v>
      </c>
      <c r="CH103" s="230">
        <v>10000</v>
      </c>
      <c r="CI103" s="229">
        <v>3.3099999999999997E-2</v>
      </c>
      <c r="CJ103" s="230">
        <v>44375</v>
      </c>
      <c r="CK103" s="230">
        <v>44375</v>
      </c>
      <c r="CL103" s="228">
        <v>0</v>
      </c>
      <c r="CM103" s="229">
        <v>0</v>
      </c>
      <c r="CN103" s="230">
        <v>4626875</v>
      </c>
      <c r="CO103" s="230">
        <v>4727500</v>
      </c>
      <c r="CP103" s="230">
        <v>-100625</v>
      </c>
      <c r="CQ103" s="229">
        <v>-2.1299999999999999E-2</v>
      </c>
      <c r="CR103" s="230">
        <v>4242500</v>
      </c>
      <c r="CS103" s="230">
        <v>4251250</v>
      </c>
      <c r="CT103" s="230">
        <v>-8750</v>
      </c>
      <c r="CU103" s="229">
        <v>-2.0999999999999999E-3</v>
      </c>
      <c r="CV103" s="230">
        <v>20226250</v>
      </c>
      <c r="CW103" s="230">
        <v>20573125</v>
      </c>
      <c r="CX103" s="230">
        <v>-346875</v>
      </c>
      <c r="CY103" s="229">
        <v>-1.6899999999999998E-2</v>
      </c>
      <c r="CZ103" s="228">
        <v>31.17</v>
      </c>
      <c r="DA103" s="228">
        <v>30.86</v>
      </c>
      <c r="DB103" s="228">
        <v>0.31</v>
      </c>
      <c r="DC103" s="228">
        <v>0.31</v>
      </c>
      <c r="DD103" s="228">
        <v>34.92</v>
      </c>
      <c r="DE103" s="228">
        <v>35</v>
      </c>
      <c r="DF103" s="228">
        <v>-3.75</v>
      </c>
      <c r="DG103" s="228">
        <v>-0.08</v>
      </c>
      <c r="DH103" s="228">
        <v>30.25</v>
      </c>
      <c r="DI103" s="228">
        <v>29.63</v>
      </c>
      <c r="DJ103" s="228">
        <v>0.62</v>
      </c>
      <c r="DK103" s="228">
        <v>0.62</v>
      </c>
      <c r="DL103" s="228">
        <v>32.17</v>
      </c>
      <c r="DM103" s="228">
        <v>32.799999999999997</v>
      </c>
      <c r="DN103" s="228">
        <v>-0.63</v>
      </c>
      <c r="DO103" s="228">
        <v>-0.63</v>
      </c>
      <c r="DP103" s="228">
        <v>0.92</v>
      </c>
      <c r="DQ103" s="228">
        <v>0.9</v>
      </c>
      <c r="DR103" s="228">
        <v>0.02</v>
      </c>
      <c r="DS103" s="229">
        <v>2.2200000000000001E-2</v>
      </c>
      <c r="DT103" s="231">
        <v>1200</v>
      </c>
      <c r="DU103" s="231">
        <v>1140</v>
      </c>
      <c r="DV103" s="228">
        <v>0.92</v>
      </c>
      <c r="DW103" s="228">
        <v>0.64</v>
      </c>
      <c r="DX103" s="228">
        <v>0.28000000000000003</v>
      </c>
      <c r="DY103" s="229">
        <v>0.4375</v>
      </c>
      <c r="DZ103" s="229">
        <v>3.1399999999999997E-2</v>
      </c>
      <c r="EA103" s="230">
        <v>346875</v>
      </c>
      <c r="EB103" s="229">
        <v>4.1999999999999997E-3</v>
      </c>
      <c r="EC103" s="229">
        <v>3.1399999999999997E-2</v>
      </c>
      <c r="ED103" s="228">
        <v>5.42</v>
      </c>
      <c r="EE103" s="229">
        <v>4.4999999999999997E-3</v>
      </c>
      <c r="EF103" s="230">
        <v>310890</v>
      </c>
      <c r="EG103" s="230">
        <v>258324</v>
      </c>
      <c r="EH103" s="229">
        <v>0.20349999999999999</v>
      </c>
      <c r="EI103" s="229">
        <v>0.45739999999999997</v>
      </c>
      <c r="EJ103" s="231">
        <v>40402.629999999997</v>
      </c>
      <c r="EK103" s="231">
        <v>35465.919999999998</v>
      </c>
      <c r="EL103" s="231">
        <v>15616.75</v>
      </c>
      <c r="EM103" s="231">
        <v>3544</v>
      </c>
      <c r="EN103" s="231">
        <v>91485.3</v>
      </c>
      <c r="EO103" s="231">
        <v>89117</v>
      </c>
      <c r="EP103" s="231">
        <v>2368.3000000000002</v>
      </c>
      <c r="EQ103" s="229">
        <v>2.6599999999999999E-2</v>
      </c>
      <c r="ER103" s="231">
        <v>55535</v>
      </c>
      <c r="ES103" s="231">
        <v>46199</v>
      </c>
      <c r="ET103" s="231">
        <v>135678</v>
      </c>
      <c r="EU103" s="231">
        <v>48257090</v>
      </c>
      <c r="EV103" s="231">
        <v>237412</v>
      </c>
      <c r="EW103" s="231">
        <v>241284</v>
      </c>
      <c r="EX103" s="231">
        <v>-3872</v>
      </c>
      <c r="EY103" s="229">
        <v>-1.6E-2</v>
      </c>
      <c r="EZ103" s="229">
        <v>0.41909999999999997</v>
      </c>
      <c r="FA103" s="227" t="s">
        <v>556</v>
      </c>
      <c r="FB103" s="161">
        <f t="shared" si="1"/>
        <v>356875</v>
      </c>
    </row>
    <row r="104" spans="1:158" ht="17.25" hidden="1" thickBot="1" x14ac:dyDescent="0.3">
      <c r="A104" s="226">
        <v>46064</v>
      </c>
      <c r="B104" s="227" t="s">
        <v>175</v>
      </c>
      <c r="C104" s="227" t="s">
        <v>570</v>
      </c>
      <c r="D104" s="228">
        <v>2350</v>
      </c>
      <c r="E104" s="228">
        <v>270.85000000000002</v>
      </c>
      <c r="F104" s="228">
        <v>270.85000000000002</v>
      </c>
      <c r="G104" s="228">
        <v>0</v>
      </c>
      <c r="H104" s="229">
        <v>0</v>
      </c>
      <c r="I104" s="228">
        <v>270.3</v>
      </c>
      <c r="J104" s="228">
        <v>270.2</v>
      </c>
      <c r="K104" s="228">
        <v>0.1</v>
      </c>
      <c r="L104" s="229">
        <v>4.0000000000000002E-4</v>
      </c>
      <c r="M104" s="228">
        <v>270.85000000000002</v>
      </c>
      <c r="N104" s="228">
        <v>270.85000000000002</v>
      </c>
      <c r="O104" s="228">
        <v>0</v>
      </c>
      <c r="P104" s="229">
        <v>0</v>
      </c>
      <c r="Q104" s="228">
        <v>272.55</v>
      </c>
      <c r="R104" s="228">
        <v>272.7</v>
      </c>
      <c r="S104" s="228">
        <v>-0.15</v>
      </c>
      <c r="T104" s="229">
        <v>-5.9999999999999995E-4</v>
      </c>
      <c r="U104" s="228">
        <v>274.39999999999998</v>
      </c>
      <c r="V104" s="228">
        <v>274.39999999999998</v>
      </c>
      <c r="W104" s="228">
        <v>0</v>
      </c>
      <c r="X104" s="229">
        <v>0</v>
      </c>
      <c r="Y104" s="228">
        <v>0.55000000000000004</v>
      </c>
      <c r="Z104" s="228">
        <v>0.65</v>
      </c>
      <c r="AA104" s="228">
        <v>-0.1</v>
      </c>
      <c r="AB104" s="229">
        <v>2E-3</v>
      </c>
      <c r="AC104" s="228">
        <v>0.55000000000000004</v>
      </c>
      <c r="AD104" s="228">
        <v>0.65</v>
      </c>
      <c r="AE104" s="228">
        <v>-0.1</v>
      </c>
      <c r="AF104" s="229">
        <v>2E-3</v>
      </c>
      <c r="AG104" s="228">
        <v>2.25</v>
      </c>
      <c r="AH104" s="228">
        <v>2.5</v>
      </c>
      <c r="AI104" s="228">
        <v>-0.25</v>
      </c>
      <c r="AJ104" s="229">
        <v>8.3000000000000001E-3</v>
      </c>
      <c r="AK104" s="228">
        <v>4.0999999999999996</v>
      </c>
      <c r="AL104" s="228">
        <v>4.2</v>
      </c>
      <c r="AM104" s="228">
        <v>-0.1</v>
      </c>
      <c r="AN104" s="229">
        <v>1.52E-2</v>
      </c>
      <c r="AO104" s="228">
        <v>270.39</v>
      </c>
      <c r="AP104" s="228">
        <v>272.10000000000002</v>
      </c>
      <c r="AQ104" s="228">
        <v>0</v>
      </c>
      <c r="AR104" s="230">
        <v>12229400</v>
      </c>
      <c r="AS104" s="230">
        <v>15359600</v>
      </c>
      <c r="AT104" s="230">
        <v>-3130200</v>
      </c>
      <c r="AU104" s="229">
        <v>-0.20380000000000001</v>
      </c>
      <c r="AV104" s="230">
        <v>10405800</v>
      </c>
      <c r="AW104" s="230">
        <v>12701750</v>
      </c>
      <c r="AX104" s="230">
        <v>-2295950</v>
      </c>
      <c r="AY104" s="229">
        <v>-0.18079999999999999</v>
      </c>
      <c r="AZ104" s="230">
        <v>1527500</v>
      </c>
      <c r="BA104" s="230">
        <v>2206650</v>
      </c>
      <c r="BB104" s="230">
        <v>-679150</v>
      </c>
      <c r="BC104" s="229">
        <v>-0.30780000000000002</v>
      </c>
      <c r="BD104" s="230">
        <v>296100</v>
      </c>
      <c r="BE104" s="230">
        <v>451200</v>
      </c>
      <c r="BF104" s="230">
        <v>-155100</v>
      </c>
      <c r="BG104" s="229">
        <v>-0.34379999999999999</v>
      </c>
      <c r="BH104" s="230">
        <v>49279500</v>
      </c>
      <c r="BI104" s="230">
        <v>66939750</v>
      </c>
      <c r="BJ104" s="230">
        <v>-17660250</v>
      </c>
      <c r="BK104" s="229">
        <v>-0.26379999999999998</v>
      </c>
      <c r="BL104" s="230">
        <v>16830700</v>
      </c>
      <c r="BM104" s="230">
        <v>25739550</v>
      </c>
      <c r="BN104" s="230">
        <v>-8908850</v>
      </c>
      <c r="BO104" s="229">
        <v>-0.34610000000000002</v>
      </c>
      <c r="BP104" s="230">
        <v>78339600</v>
      </c>
      <c r="BQ104" s="230">
        <v>108038900</v>
      </c>
      <c r="BR104" s="230">
        <v>-29699300</v>
      </c>
      <c r="BS104" s="229">
        <v>-0.27489999999999998</v>
      </c>
      <c r="BT104" s="230">
        <v>7243308</v>
      </c>
      <c r="BU104" s="230">
        <v>13544194</v>
      </c>
      <c r="BV104" s="230">
        <v>-6300886</v>
      </c>
      <c r="BW104" s="229">
        <v>-0.4652</v>
      </c>
      <c r="BX104" s="230">
        <v>169200000</v>
      </c>
      <c r="BY104" s="230">
        <v>168936800</v>
      </c>
      <c r="BZ104" s="230">
        <v>263200</v>
      </c>
      <c r="CA104" s="229">
        <v>1.6000000000000001E-3</v>
      </c>
      <c r="CB104" s="230">
        <v>153997850</v>
      </c>
      <c r="CC104" s="230">
        <v>154583000</v>
      </c>
      <c r="CD104" s="230">
        <v>-585150</v>
      </c>
      <c r="CE104" s="229">
        <v>-3.8E-3</v>
      </c>
      <c r="CF104" s="230">
        <v>13148250</v>
      </c>
      <c r="CG104" s="230">
        <v>12426800</v>
      </c>
      <c r="CH104" s="230">
        <v>721450</v>
      </c>
      <c r="CI104" s="229">
        <v>5.8099999999999999E-2</v>
      </c>
      <c r="CJ104" s="230">
        <v>2053900</v>
      </c>
      <c r="CK104" s="230">
        <v>1927000</v>
      </c>
      <c r="CL104" s="230">
        <v>126900</v>
      </c>
      <c r="CM104" s="229">
        <v>6.59E-2</v>
      </c>
      <c r="CN104" s="230">
        <v>76957800</v>
      </c>
      <c r="CO104" s="230">
        <v>81584950</v>
      </c>
      <c r="CP104" s="230">
        <v>-4627150</v>
      </c>
      <c r="CQ104" s="229">
        <v>-5.67E-2</v>
      </c>
      <c r="CR104" s="230">
        <v>53749200</v>
      </c>
      <c r="CS104" s="230">
        <v>53967750</v>
      </c>
      <c r="CT104" s="230">
        <v>-218550</v>
      </c>
      <c r="CU104" s="229">
        <v>-4.0000000000000001E-3</v>
      </c>
      <c r="CV104" s="230">
        <v>299907000</v>
      </c>
      <c r="CW104" s="230">
        <v>304489500</v>
      </c>
      <c r="CX104" s="230">
        <v>-4582500</v>
      </c>
      <c r="CY104" s="229">
        <v>-1.4999999999999999E-2</v>
      </c>
      <c r="CZ104" s="228">
        <v>29.58</v>
      </c>
      <c r="DA104" s="228">
        <v>29.89</v>
      </c>
      <c r="DB104" s="228">
        <v>-0.31</v>
      </c>
      <c r="DC104" s="228">
        <v>-0.31</v>
      </c>
      <c r="DD104" s="228">
        <v>35.36</v>
      </c>
      <c r="DE104" s="228">
        <v>35.450000000000003</v>
      </c>
      <c r="DF104" s="228">
        <v>-5.78</v>
      </c>
      <c r="DG104" s="228">
        <v>-0.09</v>
      </c>
      <c r="DH104" s="228">
        <v>29.67</v>
      </c>
      <c r="DI104" s="228">
        <v>30.39</v>
      </c>
      <c r="DJ104" s="228">
        <v>-0.72</v>
      </c>
      <c r="DK104" s="228">
        <v>-0.72</v>
      </c>
      <c r="DL104" s="228">
        <v>29.32</v>
      </c>
      <c r="DM104" s="228">
        <v>28.58</v>
      </c>
      <c r="DN104" s="228">
        <v>0.74</v>
      </c>
      <c r="DO104" s="228">
        <v>0.74</v>
      </c>
      <c r="DP104" s="228">
        <v>0.7</v>
      </c>
      <c r="DQ104" s="228">
        <v>0.66</v>
      </c>
      <c r="DR104" s="228">
        <v>0.04</v>
      </c>
      <c r="DS104" s="229">
        <v>6.0600000000000001E-2</v>
      </c>
      <c r="DT104" s="228">
        <v>300</v>
      </c>
      <c r="DU104" s="228">
        <v>260</v>
      </c>
      <c r="DV104" s="228">
        <v>0.34</v>
      </c>
      <c r="DW104" s="228">
        <v>0.38</v>
      </c>
      <c r="DX104" s="228">
        <v>-0.04</v>
      </c>
      <c r="DY104" s="229">
        <v>-0.1053</v>
      </c>
      <c r="DZ104" s="229">
        <v>8.9800000000000005E-2</v>
      </c>
      <c r="EA104" s="230">
        <v>14353800</v>
      </c>
      <c r="EB104" s="229">
        <v>6.3E-3</v>
      </c>
      <c r="EC104" s="229">
        <v>8.9800000000000005E-2</v>
      </c>
      <c r="ED104" s="228">
        <v>1.71</v>
      </c>
      <c r="EE104" s="229">
        <v>6.3E-3</v>
      </c>
      <c r="EF104" s="230">
        <v>3593369</v>
      </c>
      <c r="EG104" s="230">
        <v>7266052</v>
      </c>
      <c r="EH104" s="229">
        <v>-0.50549999999999995</v>
      </c>
      <c r="EI104" s="229">
        <v>0.49609999999999999</v>
      </c>
      <c r="EJ104" s="231">
        <v>142410.70000000001</v>
      </c>
      <c r="EK104" s="231">
        <v>44380.65</v>
      </c>
      <c r="EL104" s="231">
        <v>33104</v>
      </c>
      <c r="EM104" s="231">
        <v>7268</v>
      </c>
      <c r="EN104" s="231">
        <v>219895.35</v>
      </c>
      <c r="EO104" s="231">
        <v>303134.01</v>
      </c>
      <c r="EP104" s="231">
        <v>-83238.66</v>
      </c>
      <c r="EQ104" s="229">
        <v>-0.27460000000000001</v>
      </c>
      <c r="ER104" s="231">
        <v>218762</v>
      </c>
      <c r="ES104" s="231">
        <v>143279</v>
      </c>
      <c r="ET104" s="231">
        <v>458575</v>
      </c>
      <c r="EU104" s="231">
        <v>355358091</v>
      </c>
      <c r="EV104" s="231">
        <v>820616</v>
      </c>
      <c r="EW104" s="231">
        <v>833831</v>
      </c>
      <c r="EX104" s="231">
        <v>-13215</v>
      </c>
      <c r="EY104" s="229">
        <v>-1.5800000000000002E-2</v>
      </c>
      <c r="EZ104" s="229">
        <v>0.84399999999999997</v>
      </c>
      <c r="FA104" s="227" t="s">
        <v>237</v>
      </c>
      <c r="FB104" s="161">
        <f t="shared" si="1"/>
        <v>15202150</v>
      </c>
    </row>
    <row r="105" spans="1:158" ht="17.25" hidden="1" thickBot="1" x14ac:dyDescent="0.3">
      <c r="A105" s="226">
        <v>46064</v>
      </c>
      <c r="B105" s="227" t="s">
        <v>161</v>
      </c>
      <c r="C105" s="227" t="s">
        <v>580</v>
      </c>
      <c r="D105" s="228">
        <v>1000</v>
      </c>
      <c r="E105" s="228">
        <v>482.9</v>
      </c>
      <c r="F105" s="228">
        <v>484.1</v>
      </c>
      <c r="G105" s="228">
        <v>-1.2</v>
      </c>
      <c r="H105" s="229">
        <v>-2.5000000000000001E-3</v>
      </c>
      <c r="I105" s="228">
        <v>482.35</v>
      </c>
      <c r="J105" s="228">
        <v>483.7</v>
      </c>
      <c r="K105" s="228">
        <v>-1.35</v>
      </c>
      <c r="L105" s="229">
        <v>-2.8E-3</v>
      </c>
      <c r="M105" s="228">
        <v>482.9</v>
      </c>
      <c r="N105" s="228">
        <v>484.1</v>
      </c>
      <c r="O105" s="228">
        <v>-1.2</v>
      </c>
      <c r="P105" s="229">
        <v>-2.5000000000000001E-3</v>
      </c>
      <c r="Q105" s="228">
        <v>485.5</v>
      </c>
      <c r="R105" s="228">
        <v>487.2</v>
      </c>
      <c r="S105" s="228">
        <v>-1.7</v>
      </c>
      <c r="T105" s="229">
        <v>-3.5000000000000001E-3</v>
      </c>
      <c r="U105" s="228">
        <v>484</v>
      </c>
      <c r="V105" s="228">
        <v>490.3</v>
      </c>
      <c r="W105" s="228">
        <v>-6.3</v>
      </c>
      <c r="X105" s="229">
        <v>-1.2800000000000001E-2</v>
      </c>
      <c r="Y105" s="228">
        <v>0.55000000000000004</v>
      </c>
      <c r="Z105" s="228">
        <v>0.4</v>
      </c>
      <c r="AA105" s="228">
        <v>0.15</v>
      </c>
      <c r="AB105" s="229">
        <v>1.1000000000000001E-3</v>
      </c>
      <c r="AC105" s="228">
        <v>0.55000000000000004</v>
      </c>
      <c r="AD105" s="228">
        <v>0.4</v>
      </c>
      <c r="AE105" s="228">
        <v>0.15</v>
      </c>
      <c r="AF105" s="229">
        <v>1.1000000000000001E-3</v>
      </c>
      <c r="AG105" s="228">
        <v>3.15</v>
      </c>
      <c r="AH105" s="228">
        <v>3.5</v>
      </c>
      <c r="AI105" s="228">
        <v>-0.35</v>
      </c>
      <c r="AJ105" s="229">
        <v>6.4999999999999997E-3</v>
      </c>
      <c r="AK105" s="228">
        <v>1.65</v>
      </c>
      <c r="AL105" s="228">
        <v>6.6</v>
      </c>
      <c r="AM105" s="228">
        <v>-4.95</v>
      </c>
      <c r="AN105" s="229">
        <v>3.3999999999999998E-3</v>
      </c>
      <c r="AO105" s="228">
        <v>481.32</v>
      </c>
      <c r="AP105" s="228">
        <v>484.33</v>
      </c>
      <c r="AQ105" s="228">
        <v>0</v>
      </c>
      <c r="AR105" s="230">
        <v>1731000</v>
      </c>
      <c r="AS105" s="230">
        <v>2294000</v>
      </c>
      <c r="AT105" s="230">
        <v>-563000</v>
      </c>
      <c r="AU105" s="229">
        <v>-0.24540000000000001</v>
      </c>
      <c r="AV105" s="230">
        <v>1593000</v>
      </c>
      <c r="AW105" s="230">
        <v>2178000</v>
      </c>
      <c r="AX105" s="230">
        <v>-585000</v>
      </c>
      <c r="AY105" s="229">
        <v>-0.26860000000000001</v>
      </c>
      <c r="AZ105" s="230">
        <v>135000</v>
      </c>
      <c r="BA105" s="230">
        <v>109000</v>
      </c>
      <c r="BB105" s="230">
        <v>26000</v>
      </c>
      <c r="BC105" s="229">
        <v>0.23849999999999999</v>
      </c>
      <c r="BD105" s="230">
        <v>3000</v>
      </c>
      <c r="BE105" s="230">
        <v>7000</v>
      </c>
      <c r="BF105" s="230">
        <v>-4000</v>
      </c>
      <c r="BG105" s="229">
        <v>-0.57140000000000002</v>
      </c>
      <c r="BH105" s="230">
        <v>5024000</v>
      </c>
      <c r="BI105" s="230">
        <v>7583000</v>
      </c>
      <c r="BJ105" s="230">
        <v>-2559000</v>
      </c>
      <c r="BK105" s="229">
        <v>-0.33750000000000002</v>
      </c>
      <c r="BL105" s="230">
        <v>2626000</v>
      </c>
      <c r="BM105" s="230">
        <v>3798000</v>
      </c>
      <c r="BN105" s="230">
        <v>-1172000</v>
      </c>
      <c r="BO105" s="229">
        <v>-0.30859999999999999</v>
      </c>
      <c r="BP105" s="230">
        <v>9381000</v>
      </c>
      <c r="BQ105" s="230">
        <v>13675000</v>
      </c>
      <c r="BR105" s="230">
        <v>-4294000</v>
      </c>
      <c r="BS105" s="229">
        <v>-0.314</v>
      </c>
      <c r="BT105" s="230">
        <v>857159</v>
      </c>
      <c r="BU105" s="230">
        <v>1213575</v>
      </c>
      <c r="BV105" s="230">
        <v>-356416</v>
      </c>
      <c r="BW105" s="229">
        <v>-0.29370000000000002</v>
      </c>
      <c r="BX105" s="230">
        <v>33667000</v>
      </c>
      <c r="BY105" s="230">
        <v>33493000</v>
      </c>
      <c r="BZ105" s="230">
        <v>174000</v>
      </c>
      <c r="CA105" s="229">
        <v>5.1999999999999998E-3</v>
      </c>
      <c r="CB105" s="230">
        <v>33263000</v>
      </c>
      <c r="CC105" s="230">
        <v>33139000</v>
      </c>
      <c r="CD105" s="230">
        <v>124000</v>
      </c>
      <c r="CE105" s="229">
        <v>3.7000000000000002E-3</v>
      </c>
      <c r="CF105" s="230">
        <v>363000</v>
      </c>
      <c r="CG105" s="230">
        <v>314000</v>
      </c>
      <c r="CH105" s="230">
        <v>49000</v>
      </c>
      <c r="CI105" s="229">
        <v>0.15609999999999999</v>
      </c>
      <c r="CJ105" s="230">
        <v>41000</v>
      </c>
      <c r="CK105" s="230">
        <v>40000</v>
      </c>
      <c r="CL105" s="230">
        <v>1000</v>
      </c>
      <c r="CM105" s="229">
        <v>2.5000000000000001E-2</v>
      </c>
      <c r="CN105" s="230">
        <v>7760000</v>
      </c>
      <c r="CO105" s="230">
        <v>7219000</v>
      </c>
      <c r="CP105" s="230">
        <v>541000</v>
      </c>
      <c r="CQ105" s="229">
        <v>7.4899999999999994E-2</v>
      </c>
      <c r="CR105" s="230">
        <v>7159000</v>
      </c>
      <c r="CS105" s="230">
        <v>7040000</v>
      </c>
      <c r="CT105" s="230">
        <v>119000</v>
      </c>
      <c r="CU105" s="229">
        <v>1.6899999999999998E-2</v>
      </c>
      <c r="CV105" s="230">
        <v>48586000</v>
      </c>
      <c r="CW105" s="230">
        <v>47752000</v>
      </c>
      <c r="CX105" s="230">
        <v>834000</v>
      </c>
      <c r="CY105" s="229">
        <v>1.7500000000000002E-2</v>
      </c>
      <c r="CZ105" s="228">
        <v>26.05</v>
      </c>
      <c r="DA105" s="228">
        <v>27.15</v>
      </c>
      <c r="DB105" s="228">
        <v>-1.1000000000000001</v>
      </c>
      <c r="DC105" s="228">
        <v>-1.1000000000000001</v>
      </c>
      <c r="DD105" s="228">
        <v>42.91</v>
      </c>
      <c r="DE105" s="228">
        <v>43.02</v>
      </c>
      <c r="DF105" s="228">
        <v>-16.86</v>
      </c>
      <c r="DG105" s="228">
        <v>-0.11</v>
      </c>
      <c r="DH105" s="228">
        <v>25.24</v>
      </c>
      <c r="DI105" s="228">
        <v>26.49</v>
      </c>
      <c r="DJ105" s="228">
        <v>-1.25</v>
      </c>
      <c r="DK105" s="228">
        <v>-1.25</v>
      </c>
      <c r="DL105" s="228">
        <v>27.6</v>
      </c>
      <c r="DM105" s="228">
        <v>28.47</v>
      </c>
      <c r="DN105" s="228">
        <v>-0.87</v>
      </c>
      <c r="DO105" s="228">
        <v>-0.87</v>
      </c>
      <c r="DP105" s="228">
        <v>0.92</v>
      </c>
      <c r="DQ105" s="228">
        <v>0.98</v>
      </c>
      <c r="DR105" s="228">
        <v>-0.06</v>
      </c>
      <c r="DS105" s="229">
        <v>-6.1199999999999997E-2</v>
      </c>
      <c r="DT105" s="228">
        <v>500</v>
      </c>
      <c r="DU105" s="228">
        <v>530</v>
      </c>
      <c r="DV105" s="228">
        <v>0.52</v>
      </c>
      <c r="DW105" s="228">
        <v>0.5</v>
      </c>
      <c r="DX105" s="228">
        <v>0.02</v>
      </c>
      <c r="DY105" s="229">
        <v>0.04</v>
      </c>
      <c r="DZ105" s="229">
        <v>1.2E-2</v>
      </c>
      <c r="EA105" s="230">
        <v>354000</v>
      </c>
      <c r="EB105" s="229">
        <v>5.4000000000000003E-3</v>
      </c>
      <c r="EC105" s="229">
        <v>1.2E-2</v>
      </c>
      <c r="ED105" s="228">
        <v>3.01</v>
      </c>
      <c r="EE105" s="229">
        <v>6.3E-3</v>
      </c>
      <c r="EF105" s="230">
        <v>301716</v>
      </c>
      <c r="EG105" s="230">
        <v>493337</v>
      </c>
      <c r="EH105" s="229">
        <v>-0.38840000000000002</v>
      </c>
      <c r="EI105" s="229">
        <v>0.35199999999999998</v>
      </c>
      <c r="EJ105" s="231">
        <v>25173.55</v>
      </c>
      <c r="EK105" s="231">
        <v>12297.82</v>
      </c>
      <c r="EL105" s="231">
        <v>8335.84</v>
      </c>
      <c r="EM105" s="231">
        <v>2603</v>
      </c>
      <c r="EN105" s="231">
        <v>45807.21</v>
      </c>
      <c r="EO105" s="231">
        <v>66924.47</v>
      </c>
      <c r="EP105" s="231">
        <v>-21117.26</v>
      </c>
      <c r="EQ105" s="229">
        <v>-0.3155</v>
      </c>
      <c r="ER105" s="231">
        <v>38281</v>
      </c>
      <c r="ES105" s="231">
        <v>33547</v>
      </c>
      <c r="ET105" s="231">
        <v>162588</v>
      </c>
      <c r="EU105" s="231">
        <v>80385888</v>
      </c>
      <c r="EV105" s="231">
        <v>234416</v>
      </c>
      <c r="EW105" s="231">
        <v>230670</v>
      </c>
      <c r="EX105" s="231">
        <v>3746</v>
      </c>
      <c r="EY105" s="229">
        <v>1.6199999999999999E-2</v>
      </c>
      <c r="EZ105" s="229">
        <v>0.60440000000000005</v>
      </c>
      <c r="FA105" s="227" t="s">
        <v>567</v>
      </c>
      <c r="FB105" s="161">
        <f t="shared" si="1"/>
        <v>404000</v>
      </c>
    </row>
    <row r="106" spans="1:158" ht="17.25" hidden="1" thickBot="1" x14ac:dyDescent="0.3">
      <c r="A106" s="226">
        <v>46064</v>
      </c>
      <c r="B106" s="227" t="s">
        <v>227</v>
      </c>
      <c r="C106" s="227" t="s">
        <v>244</v>
      </c>
      <c r="D106" s="228">
        <v>675</v>
      </c>
      <c r="E106" s="231">
        <v>1250.5</v>
      </c>
      <c r="F106" s="231">
        <v>1248.2</v>
      </c>
      <c r="G106" s="228">
        <v>2.2999999999999998</v>
      </c>
      <c r="H106" s="229">
        <v>1.8E-3</v>
      </c>
      <c r="I106" s="231">
        <v>1249.2</v>
      </c>
      <c r="J106" s="231">
        <v>1244.0999999999999</v>
      </c>
      <c r="K106" s="228">
        <v>5.0999999999999996</v>
      </c>
      <c r="L106" s="229">
        <v>4.1000000000000003E-3</v>
      </c>
      <c r="M106" s="231">
        <v>1250.5</v>
      </c>
      <c r="N106" s="231">
        <v>1248.2</v>
      </c>
      <c r="O106" s="228">
        <v>2.2999999999999998</v>
      </c>
      <c r="P106" s="229">
        <v>1.8E-3</v>
      </c>
      <c r="Q106" s="231">
        <v>1258.7</v>
      </c>
      <c r="R106" s="231">
        <v>1255.2</v>
      </c>
      <c r="S106" s="228">
        <v>3.5</v>
      </c>
      <c r="T106" s="229">
        <v>2.8E-3</v>
      </c>
      <c r="U106" s="231">
        <v>1263.9000000000001</v>
      </c>
      <c r="V106" s="231">
        <v>1261.0999999999999</v>
      </c>
      <c r="W106" s="228">
        <v>2.8</v>
      </c>
      <c r="X106" s="229">
        <v>2.2000000000000001E-3</v>
      </c>
      <c r="Y106" s="228">
        <v>1.3</v>
      </c>
      <c r="Z106" s="228">
        <v>4.0999999999999996</v>
      </c>
      <c r="AA106" s="228">
        <v>-2.8</v>
      </c>
      <c r="AB106" s="229">
        <v>1E-3</v>
      </c>
      <c r="AC106" s="228">
        <v>1.3</v>
      </c>
      <c r="AD106" s="228">
        <v>4.0999999999999996</v>
      </c>
      <c r="AE106" s="228">
        <v>-2.8</v>
      </c>
      <c r="AF106" s="229">
        <v>1E-3</v>
      </c>
      <c r="AG106" s="228">
        <v>9.5</v>
      </c>
      <c r="AH106" s="228">
        <v>11.1</v>
      </c>
      <c r="AI106" s="228">
        <v>-1.6</v>
      </c>
      <c r="AJ106" s="229">
        <v>7.6E-3</v>
      </c>
      <c r="AK106" s="228">
        <v>14.7</v>
      </c>
      <c r="AL106" s="228">
        <v>17</v>
      </c>
      <c r="AM106" s="228">
        <v>-2.2999999999999998</v>
      </c>
      <c r="AN106" s="229">
        <v>1.18E-2</v>
      </c>
      <c r="AO106" s="231">
        <v>1250.5999999999999</v>
      </c>
      <c r="AP106" s="231">
        <v>1257.8</v>
      </c>
      <c r="AQ106" s="228">
        <v>0</v>
      </c>
      <c r="AR106" s="230">
        <v>1707750</v>
      </c>
      <c r="AS106" s="230">
        <v>2723625</v>
      </c>
      <c r="AT106" s="230">
        <v>-1015875</v>
      </c>
      <c r="AU106" s="229">
        <v>-0.373</v>
      </c>
      <c r="AV106" s="230">
        <v>1607175</v>
      </c>
      <c r="AW106" s="230">
        <v>2583900</v>
      </c>
      <c r="AX106" s="230">
        <v>-976725</v>
      </c>
      <c r="AY106" s="229">
        <v>-0.378</v>
      </c>
      <c r="AZ106" s="230">
        <v>93150</v>
      </c>
      <c r="BA106" s="230">
        <v>128925</v>
      </c>
      <c r="BB106" s="230">
        <v>-35775</v>
      </c>
      <c r="BC106" s="229">
        <v>-0.27750000000000002</v>
      </c>
      <c r="BD106" s="230">
        <v>7425</v>
      </c>
      <c r="BE106" s="230">
        <v>10800</v>
      </c>
      <c r="BF106" s="230">
        <v>-3375</v>
      </c>
      <c r="BG106" s="229">
        <v>-0.3125</v>
      </c>
      <c r="BH106" s="230">
        <v>4878225</v>
      </c>
      <c r="BI106" s="230">
        <v>12650850</v>
      </c>
      <c r="BJ106" s="230">
        <v>-7772625</v>
      </c>
      <c r="BK106" s="229">
        <v>-0.61439999999999995</v>
      </c>
      <c r="BL106" s="230">
        <v>2861325</v>
      </c>
      <c r="BM106" s="230">
        <v>4806675</v>
      </c>
      <c r="BN106" s="230">
        <v>-1945350</v>
      </c>
      <c r="BO106" s="229">
        <v>-0.4047</v>
      </c>
      <c r="BP106" s="230">
        <v>9447300</v>
      </c>
      <c r="BQ106" s="230">
        <v>20181150</v>
      </c>
      <c r="BR106" s="230">
        <v>-10733850</v>
      </c>
      <c r="BS106" s="229">
        <v>-0.53190000000000004</v>
      </c>
      <c r="BT106" s="230">
        <v>890766</v>
      </c>
      <c r="BU106" s="230">
        <v>1173793</v>
      </c>
      <c r="BV106" s="230">
        <v>-283027</v>
      </c>
      <c r="BW106" s="229">
        <v>-0.24110000000000001</v>
      </c>
      <c r="BX106" s="230">
        <v>54212625</v>
      </c>
      <c r="BY106" s="230">
        <v>54270675</v>
      </c>
      <c r="BZ106" s="230">
        <v>-58050</v>
      </c>
      <c r="CA106" s="229">
        <v>-1.1000000000000001E-3</v>
      </c>
      <c r="CB106" s="230">
        <v>53412075</v>
      </c>
      <c r="CC106" s="230">
        <v>53474175</v>
      </c>
      <c r="CD106" s="230">
        <v>-62100</v>
      </c>
      <c r="CE106" s="229">
        <v>-1.1999999999999999E-3</v>
      </c>
      <c r="CF106" s="230">
        <v>768150</v>
      </c>
      <c r="CG106" s="230">
        <v>762075</v>
      </c>
      <c r="CH106" s="230">
        <v>6075</v>
      </c>
      <c r="CI106" s="229">
        <v>8.0000000000000002E-3</v>
      </c>
      <c r="CJ106" s="230">
        <v>32400</v>
      </c>
      <c r="CK106" s="230">
        <v>34425</v>
      </c>
      <c r="CL106" s="230">
        <v>-2025</v>
      </c>
      <c r="CM106" s="229">
        <v>-5.8799999999999998E-2</v>
      </c>
      <c r="CN106" s="230">
        <v>6637950</v>
      </c>
      <c r="CO106" s="230">
        <v>6822225</v>
      </c>
      <c r="CP106" s="230">
        <v>-184275</v>
      </c>
      <c r="CQ106" s="229">
        <v>-2.7E-2</v>
      </c>
      <c r="CR106" s="230">
        <v>4762125</v>
      </c>
      <c r="CS106" s="230">
        <v>4850550</v>
      </c>
      <c r="CT106" s="230">
        <v>-88425</v>
      </c>
      <c r="CU106" s="229">
        <v>-1.8200000000000001E-2</v>
      </c>
      <c r="CV106" s="230">
        <v>65612700</v>
      </c>
      <c r="CW106" s="230">
        <v>65943450</v>
      </c>
      <c r="CX106" s="230">
        <v>-330750</v>
      </c>
      <c r="CY106" s="229">
        <v>-5.0000000000000001E-3</v>
      </c>
      <c r="CZ106" s="228">
        <v>24.82</v>
      </c>
      <c r="DA106" s="228">
        <v>24.46</v>
      </c>
      <c r="DB106" s="228">
        <v>0.36</v>
      </c>
      <c r="DC106" s="228">
        <v>0.36</v>
      </c>
      <c r="DD106" s="228">
        <v>29.38</v>
      </c>
      <c r="DE106" s="228">
        <v>29.45</v>
      </c>
      <c r="DF106" s="228">
        <v>-4.5599999999999996</v>
      </c>
      <c r="DG106" s="228">
        <v>-7.0000000000000007E-2</v>
      </c>
      <c r="DH106" s="228">
        <v>24.18</v>
      </c>
      <c r="DI106" s="228">
        <v>24.17</v>
      </c>
      <c r="DJ106" s="228">
        <v>0.01</v>
      </c>
      <c r="DK106" s="228">
        <v>0.01</v>
      </c>
      <c r="DL106" s="228">
        <v>25.91</v>
      </c>
      <c r="DM106" s="228">
        <v>25.21</v>
      </c>
      <c r="DN106" s="228">
        <v>0.7</v>
      </c>
      <c r="DO106" s="228">
        <v>0.7</v>
      </c>
      <c r="DP106" s="228">
        <v>0.72</v>
      </c>
      <c r="DQ106" s="228">
        <v>0.71</v>
      </c>
      <c r="DR106" s="228">
        <v>0.01</v>
      </c>
      <c r="DS106" s="229">
        <v>1.41E-2</v>
      </c>
      <c r="DT106" s="231">
        <v>1400</v>
      </c>
      <c r="DU106" s="231">
        <v>1100</v>
      </c>
      <c r="DV106" s="228">
        <v>0.59</v>
      </c>
      <c r="DW106" s="228">
        <v>0.38</v>
      </c>
      <c r="DX106" s="228">
        <v>0.21</v>
      </c>
      <c r="DY106" s="229">
        <v>0.55259999999999998</v>
      </c>
      <c r="DZ106" s="229">
        <v>1.4800000000000001E-2</v>
      </c>
      <c r="EA106" s="230">
        <v>796500</v>
      </c>
      <c r="EB106" s="229">
        <v>6.6E-3</v>
      </c>
      <c r="EC106" s="229">
        <v>1.4800000000000001E-2</v>
      </c>
      <c r="ED106" s="228">
        <v>7.2</v>
      </c>
      <c r="EE106" s="229">
        <v>5.7999999999999996E-3</v>
      </c>
      <c r="EF106" s="230">
        <v>411250</v>
      </c>
      <c r="EG106" s="230">
        <v>496260</v>
      </c>
      <c r="EH106" s="229">
        <v>-0.17130000000000001</v>
      </c>
      <c r="EI106" s="229">
        <v>0.4617</v>
      </c>
      <c r="EJ106" s="231">
        <v>62866.47</v>
      </c>
      <c r="EK106" s="231">
        <v>35107.67</v>
      </c>
      <c r="EL106" s="231">
        <v>21364.7</v>
      </c>
      <c r="EM106" s="231">
        <v>3831</v>
      </c>
      <c r="EN106" s="231">
        <v>119338.84</v>
      </c>
      <c r="EO106" s="231">
        <v>256848.53</v>
      </c>
      <c r="EP106" s="231">
        <v>-137509.69</v>
      </c>
      <c r="EQ106" s="229">
        <v>-0.53539999999999999</v>
      </c>
      <c r="ER106" s="231">
        <v>85161</v>
      </c>
      <c r="ES106" s="231">
        <v>55242</v>
      </c>
      <c r="ET106" s="231">
        <v>677996</v>
      </c>
      <c r="EU106" s="231">
        <v>133434355</v>
      </c>
      <c r="EV106" s="231">
        <v>818399</v>
      </c>
      <c r="EW106" s="231">
        <v>821131</v>
      </c>
      <c r="EX106" s="231">
        <v>-2732</v>
      </c>
      <c r="EY106" s="229">
        <v>-3.3E-3</v>
      </c>
      <c r="EZ106" s="229">
        <v>0.49170000000000003</v>
      </c>
      <c r="FA106" s="227" t="s">
        <v>556</v>
      </c>
      <c r="FB106" s="161">
        <f t="shared" si="1"/>
        <v>800550</v>
      </c>
    </row>
    <row r="107" spans="1:158" ht="17.25" hidden="1" thickBot="1" x14ac:dyDescent="0.3">
      <c r="A107" s="226">
        <v>46064</v>
      </c>
      <c r="B107" s="227" t="s">
        <v>168</v>
      </c>
      <c r="C107" s="227" t="s">
        <v>245</v>
      </c>
      <c r="D107" s="228">
        <v>1250</v>
      </c>
      <c r="E107" s="228">
        <v>545</v>
      </c>
      <c r="F107" s="228">
        <v>556.20000000000005</v>
      </c>
      <c r="G107" s="228">
        <v>-11.2</v>
      </c>
      <c r="H107" s="229">
        <v>-2.01E-2</v>
      </c>
      <c r="I107" s="228">
        <v>547</v>
      </c>
      <c r="J107" s="228">
        <v>554.45000000000005</v>
      </c>
      <c r="K107" s="228">
        <v>-7.45</v>
      </c>
      <c r="L107" s="229">
        <v>-1.34E-2</v>
      </c>
      <c r="M107" s="228">
        <v>545</v>
      </c>
      <c r="N107" s="228">
        <v>556.20000000000005</v>
      </c>
      <c r="O107" s="228">
        <v>-11.2</v>
      </c>
      <c r="P107" s="229">
        <v>-2.01E-2</v>
      </c>
      <c r="Q107" s="228">
        <v>538.6</v>
      </c>
      <c r="R107" s="228">
        <v>551.54999999999995</v>
      </c>
      <c r="S107" s="228">
        <v>-12.95</v>
      </c>
      <c r="T107" s="229">
        <v>-2.35E-2</v>
      </c>
      <c r="U107" s="228">
        <v>536.4</v>
      </c>
      <c r="V107" s="228">
        <v>550</v>
      </c>
      <c r="W107" s="228">
        <v>-13.6</v>
      </c>
      <c r="X107" s="229">
        <v>-2.47E-2</v>
      </c>
      <c r="Y107" s="228">
        <v>-2</v>
      </c>
      <c r="Z107" s="228">
        <v>1.75</v>
      </c>
      <c r="AA107" s="228">
        <v>-3.75</v>
      </c>
      <c r="AB107" s="229">
        <v>-3.7000000000000002E-3</v>
      </c>
      <c r="AC107" s="228">
        <v>-2</v>
      </c>
      <c r="AD107" s="228">
        <v>1.75</v>
      </c>
      <c r="AE107" s="228">
        <v>-3.75</v>
      </c>
      <c r="AF107" s="229">
        <v>-3.7000000000000002E-3</v>
      </c>
      <c r="AG107" s="228">
        <v>-8.4</v>
      </c>
      <c r="AH107" s="228">
        <v>-2.9</v>
      </c>
      <c r="AI107" s="228">
        <v>-5.5</v>
      </c>
      <c r="AJ107" s="229">
        <v>-1.54E-2</v>
      </c>
      <c r="AK107" s="228">
        <v>-10.6</v>
      </c>
      <c r="AL107" s="228">
        <v>-4.45</v>
      </c>
      <c r="AM107" s="228">
        <v>-6.15</v>
      </c>
      <c r="AN107" s="229">
        <v>-1.9400000000000001E-2</v>
      </c>
      <c r="AO107" s="228">
        <v>551.04999999999995</v>
      </c>
      <c r="AP107" s="228">
        <v>543.9</v>
      </c>
      <c r="AQ107" s="228">
        <v>0</v>
      </c>
      <c r="AR107" s="230">
        <v>19295000</v>
      </c>
      <c r="AS107" s="230">
        <v>6395000</v>
      </c>
      <c r="AT107" s="230">
        <v>12900000</v>
      </c>
      <c r="AU107" s="229">
        <v>2.0171999999999999</v>
      </c>
      <c r="AV107" s="230">
        <v>16577500</v>
      </c>
      <c r="AW107" s="230">
        <v>5362500</v>
      </c>
      <c r="AX107" s="230">
        <v>11215000</v>
      </c>
      <c r="AY107" s="229">
        <v>2.0914000000000001</v>
      </c>
      <c r="AZ107" s="230">
        <v>2388750</v>
      </c>
      <c r="BA107" s="230">
        <v>917500</v>
      </c>
      <c r="BB107" s="230">
        <v>1471250</v>
      </c>
      <c r="BC107" s="229">
        <v>1.6034999999999999</v>
      </c>
      <c r="BD107" s="230">
        <v>328750</v>
      </c>
      <c r="BE107" s="230">
        <v>115000</v>
      </c>
      <c r="BF107" s="230">
        <v>213750</v>
      </c>
      <c r="BG107" s="229">
        <v>1.8587</v>
      </c>
      <c r="BH107" s="230">
        <v>74775000</v>
      </c>
      <c r="BI107" s="230">
        <v>17552500</v>
      </c>
      <c r="BJ107" s="230">
        <v>57222500</v>
      </c>
      <c r="BK107" s="229">
        <v>3.2601</v>
      </c>
      <c r="BL107" s="230">
        <v>30162500</v>
      </c>
      <c r="BM107" s="230">
        <v>7043750</v>
      </c>
      <c r="BN107" s="230">
        <v>23118750</v>
      </c>
      <c r="BO107" s="229">
        <v>3.2822</v>
      </c>
      <c r="BP107" s="230">
        <v>124232500</v>
      </c>
      <c r="BQ107" s="230">
        <v>30991250</v>
      </c>
      <c r="BR107" s="230">
        <v>93241250</v>
      </c>
      <c r="BS107" s="229">
        <v>3.0085999999999999</v>
      </c>
      <c r="BT107" s="230">
        <v>11052073</v>
      </c>
      <c r="BU107" s="230">
        <v>1983660</v>
      </c>
      <c r="BV107" s="230">
        <v>9068413</v>
      </c>
      <c r="BW107" s="229">
        <v>4.5716000000000001</v>
      </c>
      <c r="BX107" s="230">
        <v>26176250</v>
      </c>
      <c r="BY107" s="230">
        <v>23430000</v>
      </c>
      <c r="BZ107" s="230">
        <v>2746250</v>
      </c>
      <c r="CA107" s="229">
        <v>0.1172</v>
      </c>
      <c r="CB107" s="230">
        <v>23282500</v>
      </c>
      <c r="CC107" s="230">
        <v>21466250</v>
      </c>
      <c r="CD107" s="230">
        <v>1816250</v>
      </c>
      <c r="CE107" s="229">
        <v>8.4599999999999995E-2</v>
      </c>
      <c r="CF107" s="230">
        <v>2527500</v>
      </c>
      <c r="CG107" s="230">
        <v>1762500</v>
      </c>
      <c r="CH107" s="230">
        <v>765000</v>
      </c>
      <c r="CI107" s="229">
        <v>0.434</v>
      </c>
      <c r="CJ107" s="230">
        <v>366250</v>
      </c>
      <c r="CK107" s="230">
        <v>201250</v>
      </c>
      <c r="CL107" s="230">
        <v>165000</v>
      </c>
      <c r="CM107" s="229">
        <v>0.81989999999999996</v>
      </c>
      <c r="CN107" s="230">
        <v>17876250</v>
      </c>
      <c r="CO107" s="230">
        <v>8450000</v>
      </c>
      <c r="CP107" s="230">
        <v>9426250</v>
      </c>
      <c r="CQ107" s="229">
        <v>1.1154999999999999</v>
      </c>
      <c r="CR107" s="230">
        <v>8801250</v>
      </c>
      <c r="CS107" s="230">
        <v>6481250</v>
      </c>
      <c r="CT107" s="230">
        <v>2320000</v>
      </c>
      <c r="CU107" s="229">
        <v>0.35799999999999998</v>
      </c>
      <c r="CV107" s="230">
        <v>52853750</v>
      </c>
      <c r="CW107" s="230">
        <v>38361250</v>
      </c>
      <c r="CX107" s="230">
        <v>14492500</v>
      </c>
      <c r="CY107" s="229">
        <v>0.37780000000000002</v>
      </c>
      <c r="CZ107" s="228">
        <v>37.14</v>
      </c>
      <c r="DA107" s="228">
        <v>41.51</v>
      </c>
      <c r="DB107" s="228">
        <v>-4.37</v>
      </c>
      <c r="DC107" s="228">
        <v>-4.37</v>
      </c>
      <c r="DD107" s="228">
        <v>33.01</v>
      </c>
      <c r="DE107" s="228">
        <v>33.04</v>
      </c>
      <c r="DF107" s="228">
        <v>4.13</v>
      </c>
      <c r="DG107" s="228">
        <v>-0.03</v>
      </c>
      <c r="DH107" s="228">
        <v>37.299999999999997</v>
      </c>
      <c r="DI107" s="228">
        <v>41.19</v>
      </c>
      <c r="DJ107" s="228">
        <v>-3.89</v>
      </c>
      <c r="DK107" s="228">
        <v>-3.89</v>
      </c>
      <c r="DL107" s="228">
        <v>36.74</v>
      </c>
      <c r="DM107" s="228">
        <v>42.29</v>
      </c>
      <c r="DN107" s="228">
        <v>-5.55</v>
      </c>
      <c r="DO107" s="228">
        <v>-5.55</v>
      </c>
      <c r="DP107" s="228">
        <v>0.49</v>
      </c>
      <c r="DQ107" s="228">
        <v>0.77</v>
      </c>
      <c r="DR107" s="228">
        <v>-0.28000000000000003</v>
      </c>
      <c r="DS107" s="229">
        <v>-0.36359999999999998</v>
      </c>
      <c r="DT107" s="228">
        <v>550</v>
      </c>
      <c r="DU107" s="228">
        <v>500</v>
      </c>
      <c r="DV107" s="228">
        <v>0.4</v>
      </c>
      <c r="DW107" s="228">
        <v>0.4</v>
      </c>
      <c r="DX107" s="228">
        <v>0</v>
      </c>
      <c r="DY107" s="229">
        <v>0</v>
      </c>
      <c r="DZ107" s="229">
        <v>0.1105</v>
      </c>
      <c r="EA107" s="230">
        <v>1963750</v>
      </c>
      <c r="EB107" s="229">
        <v>-1.17E-2</v>
      </c>
      <c r="EC107" s="229">
        <v>0.1105</v>
      </c>
      <c r="ED107" s="228">
        <v>-7.15</v>
      </c>
      <c r="EE107" s="229">
        <v>-1.2999999999999999E-2</v>
      </c>
      <c r="EF107" s="230">
        <v>2956083</v>
      </c>
      <c r="EG107" s="230">
        <v>943559</v>
      </c>
      <c r="EH107" s="229">
        <v>2.1328999999999998</v>
      </c>
      <c r="EI107" s="229">
        <v>0.26750000000000002</v>
      </c>
      <c r="EJ107" s="231">
        <v>432827.6</v>
      </c>
      <c r="EK107" s="231">
        <v>163470.21</v>
      </c>
      <c r="EL107" s="231">
        <v>106124.48</v>
      </c>
      <c r="EM107" s="231">
        <v>5310</v>
      </c>
      <c r="EN107" s="231">
        <v>702422.29</v>
      </c>
      <c r="EO107" s="231">
        <v>176079.51</v>
      </c>
      <c r="EP107" s="231">
        <v>526342.78</v>
      </c>
      <c r="EQ107" s="229">
        <v>2.9891999999999999</v>
      </c>
      <c r="ER107" s="231">
        <v>101271</v>
      </c>
      <c r="ES107" s="231">
        <v>45553</v>
      </c>
      <c r="ET107" s="231">
        <v>142467</v>
      </c>
      <c r="EU107" s="231">
        <v>58761693</v>
      </c>
      <c r="EV107" s="231">
        <v>289291</v>
      </c>
      <c r="EW107" s="231">
        <v>210908</v>
      </c>
      <c r="EX107" s="231">
        <v>78383</v>
      </c>
      <c r="EY107" s="229">
        <v>0.37159999999999999</v>
      </c>
      <c r="EZ107" s="229">
        <v>0.89949999999999997</v>
      </c>
      <c r="FA107" s="227" t="s">
        <v>567</v>
      </c>
      <c r="FB107" s="161">
        <f t="shared" si="1"/>
        <v>2893750</v>
      </c>
    </row>
    <row r="108" spans="1:158" ht="17.25" hidden="1" thickBot="1" x14ac:dyDescent="0.3">
      <c r="A108" s="226">
        <v>46064</v>
      </c>
      <c r="B108" s="227" t="s">
        <v>168</v>
      </c>
      <c r="C108" s="227" t="s">
        <v>582</v>
      </c>
      <c r="D108" s="228">
        <v>1175</v>
      </c>
      <c r="E108" s="228">
        <v>427.45</v>
      </c>
      <c r="F108" s="228">
        <v>434.8</v>
      </c>
      <c r="G108" s="228">
        <v>-7.35</v>
      </c>
      <c r="H108" s="229">
        <v>-1.6899999999999998E-2</v>
      </c>
      <c r="I108" s="228">
        <v>426.95</v>
      </c>
      <c r="J108" s="228">
        <v>433.9</v>
      </c>
      <c r="K108" s="228">
        <v>-6.95</v>
      </c>
      <c r="L108" s="229">
        <v>-1.6E-2</v>
      </c>
      <c r="M108" s="228">
        <v>427.45</v>
      </c>
      <c r="N108" s="228">
        <v>434.8</v>
      </c>
      <c r="O108" s="228">
        <v>-7.35</v>
      </c>
      <c r="P108" s="229">
        <v>-1.6899999999999998E-2</v>
      </c>
      <c r="Q108" s="228">
        <v>429.9</v>
      </c>
      <c r="R108" s="228">
        <v>436.85</v>
      </c>
      <c r="S108" s="228">
        <v>-6.95</v>
      </c>
      <c r="T108" s="229">
        <v>-1.5900000000000001E-2</v>
      </c>
      <c r="U108" s="228">
        <v>432.35</v>
      </c>
      <c r="V108" s="228">
        <v>438.75</v>
      </c>
      <c r="W108" s="228">
        <v>-6.4</v>
      </c>
      <c r="X108" s="229">
        <v>-1.46E-2</v>
      </c>
      <c r="Y108" s="228">
        <v>0.5</v>
      </c>
      <c r="Z108" s="228">
        <v>0.9</v>
      </c>
      <c r="AA108" s="228">
        <v>-0.4</v>
      </c>
      <c r="AB108" s="229">
        <v>1.1999999999999999E-3</v>
      </c>
      <c r="AC108" s="228">
        <v>0.5</v>
      </c>
      <c r="AD108" s="228">
        <v>0.9</v>
      </c>
      <c r="AE108" s="228">
        <v>-0.4</v>
      </c>
      <c r="AF108" s="229">
        <v>1.1999999999999999E-3</v>
      </c>
      <c r="AG108" s="228">
        <v>2.95</v>
      </c>
      <c r="AH108" s="228">
        <v>2.95</v>
      </c>
      <c r="AI108" s="228">
        <v>0</v>
      </c>
      <c r="AJ108" s="229">
        <v>6.8999999999999999E-3</v>
      </c>
      <c r="AK108" s="228">
        <v>5.4</v>
      </c>
      <c r="AL108" s="228">
        <v>4.8499999999999996</v>
      </c>
      <c r="AM108" s="228">
        <v>0.55000000000000004</v>
      </c>
      <c r="AN108" s="229">
        <v>1.26E-2</v>
      </c>
      <c r="AO108" s="228">
        <v>428.76</v>
      </c>
      <c r="AP108" s="228">
        <v>430.36</v>
      </c>
      <c r="AQ108" s="228">
        <v>0</v>
      </c>
      <c r="AR108" s="230">
        <v>8039350</v>
      </c>
      <c r="AS108" s="230">
        <v>13667600</v>
      </c>
      <c r="AT108" s="230">
        <v>-5628250</v>
      </c>
      <c r="AU108" s="229">
        <v>-0.4118</v>
      </c>
      <c r="AV108" s="230">
        <v>7344925</v>
      </c>
      <c r="AW108" s="230">
        <v>11896875</v>
      </c>
      <c r="AX108" s="230">
        <v>-4551950</v>
      </c>
      <c r="AY108" s="229">
        <v>-0.3826</v>
      </c>
      <c r="AZ108" s="230">
        <v>594550</v>
      </c>
      <c r="BA108" s="230">
        <v>1526325</v>
      </c>
      <c r="BB108" s="230">
        <v>-931775</v>
      </c>
      <c r="BC108" s="229">
        <v>-0.61050000000000004</v>
      </c>
      <c r="BD108" s="230">
        <v>99875</v>
      </c>
      <c r="BE108" s="230">
        <v>244400</v>
      </c>
      <c r="BF108" s="230">
        <v>-144525</v>
      </c>
      <c r="BG108" s="229">
        <v>-0.59130000000000005</v>
      </c>
      <c r="BH108" s="230">
        <v>31102250</v>
      </c>
      <c r="BI108" s="230">
        <v>79069275</v>
      </c>
      <c r="BJ108" s="230">
        <v>-47967025</v>
      </c>
      <c r="BK108" s="229">
        <v>-0.60660000000000003</v>
      </c>
      <c r="BL108" s="230">
        <v>22460125</v>
      </c>
      <c r="BM108" s="230">
        <v>44818025</v>
      </c>
      <c r="BN108" s="230">
        <v>-22357900</v>
      </c>
      <c r="BO108" s="229">
        <v>-0.49890000000000001</v>
      </c>
      <c r="BP108" s="230">
        <v>61601725</v>
      </c>
      <c r="BQ108" s="230">
        <v>137554900</v>
      </c>
      <c r="BR108" s="230">
        <v>-75953175</v>
      </c>
      <c r="BS108" s="229">
        <v>-0.55220000000000002</v>
      </c>
      <c r="BT108" s="230">
        <v>9348898</v>
      </c>
      <c r="BU108" s="230">
        <v>31434507</v>
      </c>
      <c r="BV108" s="230">
        <v>-22085609</v>
      </c>
      <c r="BW108" s="229">
        <v>-0.7026</v>
      </c>
      <c r="BX108" s="230">
        <v>32908225</v>
      </c>
      <c r="BY108" s="230">
        <v>33492200</v>
      </c>
      <c r="BZ108" s="230">
        <v>-583975</v>
      </c>
      <c r="CA108" s="229">
        <v>-1.7399999999999999E-2</v>
      </c>
      <c r="CB108" s="230">
        <v>30647525</v>
      </c>
      <c r="CC108" s="230">
        <v>31278500</v>
      </c>
      <c r="CD108" s="230">
        <v>-630975</v>
      </c>
      <c r="CE108" s="229">
        <v>-2.0199999999999999E-2</v>
      </c>
      <c r="CF108" s="230">
        <v>2025700</v>
      </c>
      <c r="CG108" s="230">
        <v>1968125</v>
      </c>
      <c r="CH108" s="230">
        <v>57575</v>
      </c>
      <c r="CI108" s="229">
        <v>2.93E-2</v>
      </c>
      <c r="CJ108" s="230">
        <v>235000</v>
      </c>
      <c r="CK108" s="230">
        <v>245575</v>
      </c>
      <c r="CL108" s="230">
        <v>-10575</v>
      </c>
      <c r="CM108" s="229">
        <v>-4.3099999999999999E-2</v>
      </c>
      <c r="CN108" s="230">
        <v>22812625</v>
      </c>
      <c r="CO108" s="230">
        <v>24443525</v>
      </c>
      <c r="CP108" s="230">
        <v>-1630900</v>
      </c>
      <c r="CQ108" s="229">
        <v>-6.6699999999999995E-2</v>
      </c>
      <c r="CR108" s="230">
        <v>18181950</v>
      </c>
      <c r="CS108" s="230">
        <v>19160725</v>
      </c>
      <c r="CT108" s="230">
        <v>-978775</v>
      </c>
      <c r="CU108" s="229">
        <v>-5.11E-2</v>
      </c>
      <c r="CV108" s="230">
        <v>73902800</v>
      </c>
      <c r="CW108" s="230">
        <v>77096450</v>
      </c>
      <c r="CX108" s="230">
        <v>-3193650</v>
      </c>
      <c r="CY108" s="229">
        <v>-4.1399999999999999E-2</v>
      </c>
      <c r="CZ108" s="228">
        <v>46.88</v>
      </c>
      <c r="DA108" s="228">
        <v>51.5</v>
      </c>
      <c r="DB108" s="228">
        <v>-4.62</v>
      </c>
      <c r="DC108" s="228">
        <v>-4.62</v>
      </c>
      <c r="DD108" s="228">
        <v>53.02</v>
      </c>
      <c r="DE108" s="228">
        <v>53.11</v>
      </c>
      <c r="DF108" s="228">
        <v>-6.14</v>
      </c>
      <c r="DG108" s="228">
        <v>-0.09</v>
      </c>
      <c r="DH108" s="228">
        <v>48</v>
      </c>
      <c r="DI108" s="228">
        <v>52.16</v>
      </c>
      <c r="DJ108" s="228">
        <v>-4.16</v>
      </c>
      <c r="DK108" s="228">
        <v>-4.16</v>
      </c>
      <c r="DL108" s="228">
        <v>45.32</v>
      </c>
      <c r="DM108" s="228">
        <v>50.34</v>
      </c>
      <c r="DN108" s="228">
        <v>-5.0199999999999996</v>
      </c>
      <c r="DO108" s="228">
        <v>-5.0199999999999996</v>
      </c>
      <c r="DP108" s="228">
        <v>0.8</v>
      </c>
      <c r="DQ108" s="228">
        <v>0.78</v>
      </c>
      <c r="DR108" s="228">
        <v>0.02</v>
      </c>
      <c r="DS108" s="229">
        <v>2.5600000000000001E-2</v>
      </c>
      <c r="DT108" s="228">
        <v>500</v>
      </c>
      <c r="DU108" s="228">
        <v>400</v>
      </c>
      <c r="DV108" s="228">
        <v>0.72</v>
      </c>
      <c r="DW108" s="228">
        <v>0.56999999999999995</v>
      </c>
      <c r="DX108" s="228">
        <v>0.15</v>
      </c>
      <c r="DY108" s="229">
        <v>0.26319999999999999</v>
      </c>
      <c r="DZ108" s="229">
        <v>6.8699999999999997E-2</v>
      </c>
      <c r="EA108" s="230">
        <v>2213700</v>
      </c>
      <c r="EB108" s="229">
        <v>5.7000000000000002E-3</v>
      </c>
      <c r="EC108" s="229">
        <v>6.8699999999999997E-2</v>
      </c>
      <c r="ED108" s="228">
        <v>1.6</v>
      </c>
      <c r="EE108" s="229">
        <v>3.7000000000000002E-3</v>
      </c>
      <c r="EF108" s="230">
        <v>1985028</v>
      </c>
      <c r="EG108" s="230">
        <v>5137060</v>
      </c>
      <c r="EH108" s="229">
        <v>-0.61360000000000003</v>
      </c>
      <c r="EI108" s="229">
        <v>0.21229999999999999</v>
      </c>
      <c r="EJ108" s="231">
        <v>143303.59</v>
      </c>
      <c r="EK108" s="231">
        <v>94200.42</v>
      </c>
      <c r="EL108" s="231">
        <v>34482.99</v>
      </c>
      <c r="EM108" s="231">
        <v>13050</v>
      </c>
      <c r="EN108" s="231">
        <v>271987</v>
      </c>
      <c r="EO108" s="231">
        <v>618804.49</v>
      </c>
      <c r="EP108" s="231">
        <v>-346817.49</v>
      </c>
      <c r="EQ108" s="229">
        <v>-0.5605</v>
      </c>
      <c r="ER108" s="231">
        <v>101049</v>
      </c>
      <c r="ES108" s="231">
        <v>70922</v>
      </c>
      <c r="ET108" s="231">
        <v>140727</v>
      </c>
      <c r="EU108" s="231">
        <v>57654984</v>
      </c>
      <c r="EV108" s="231">
        <v>312698</v>
      </c>
      <c r="EW108" s="231">
        <v>329075</v>
      </c>
      <c r="EX108" s="231">
        <v>-16377</v>
      </c>
      <c r="EY108" s="229">
        <v>-4.9799999999999997E-2</v>
      </c>
      <c r="EZ108" s="229">
        <v>1.2818000000000001</v>
      </c>
      <c r="FA108" s="227" t="s">
        <v>568</v>
      </c>
      <c r="FB108" s="161">
        <f t="shared" si="1"/>
        <v>2260700</v>
      </c>
    </row>
    <row r="109" spans="1:158" ht="17.25" hidden="1" thickBot="1" x14ac:dyDescent="0.3">
      <c r="A109" s="226">
        <v>46064</v>
      </c>
      <c r="B109" s="227" t="s">
        <v>184</v>
      </c>
      <c r="C109" s="227" t="s">
        <v>675</v>
      </c>
      <c r="D109" s="228">
        <v>100</v>
      </c>
      <c r="E109" s="231">
        <v>4169.1000000000004</v>
      </c>
      <c r="F109" s="231">
        <v>3961.4</v>
      </c>
      <c r="G109" s="228">
        <v>207.7</v>
      </c>
      <c r="H109" s="229">
        <v>5.2400000000000002E-2</v>
      </c>
      <c r="I109" s="231">
        <v>4154.7</v>
      </c>
      <c r="J109" s="231">
        <v>3957.6</v>
      </c>
      <c r="K109" s="228">
        <v>197.1</v>
      </c>
      <c r="L109" s="229">
        <v>4.9799999999999997E-2</v>
      </c>
      <c r="M109" s="231">
        <v>4169.1000000000004</v>
      </c>
      <c r="N109" s="231">
        <v>3961.4</v>
      </c>
      <c r="O109" s="228">
        <v>207.7</v>
      </c>
      <c r="P109" s="229">
        <v>5.2400000000000002E-2</v>
      </c>
      <c r="Q109" s="231">
        <v>4162.8999999999996</v>
      </c>
      <c r="R109" s="231">
        <v>3956.6</v>
      </c>
      <c r="S109" s="228">
        <v>206.3</v>
      </c>
      <c r="T109" s="229">
        <v>5.21E-2</v>
      </c>
      <c r="U109" s="231">
        <v>4163.7</v>
      </c>
      <c r="V109" s="231">
        <v>3954.1</v>
      </c>
      <c r="W109" s="228">
        <v>209.6</v>
      </c>
      <c r="X109" s="229">
        <v>5.2999999999999999E-2</v>
      </c>
      <c r="Y109" s="228">
        <v>14.4</v>
      </c>
      <c r="Z109" s="228">
        <v>3.8</v>
      </c>
      <c r="AA109" s="228">
        <v>10.6</v>
      </c>
      <c r="AB109" s="229">
        <v>3.5000000000000001E-3</v>
      </c>
      <c r="AC109" s="228">
        <v>14.4</v>
      </c>
      <c r="AD109" s="228">
        <v>3.8</v>
      </c>
      <c r="AE109" s="228">
        <v>10.6</v>
      </c>
      <c r="AF109" s="229">
        <v>3.5000000000000001E-3</v>
      </c>
      <c r="AG109" s="228">
        <v>8.1999999999999993</v>
      </c>
      <c r="AH109" s="228">
        <v>-1</v>
      </c>
      <c r="AI109" s="228">
        <v>9.1999999999999993</v>
      </c>
      <c r="AJ109" s="229">
        <v>2E-3</v>
      </c>
      <c r="AK109" s="228">
        <v>9</v>
      </c>
      <c r="AL109" s="228">
        <v>-3.5</v>
      </c>
      <c r="AM109" s="228">
        <v>12.5</v>
      </c>
      <c r="AN109" s="229">
        <v>2.2000000000000001E-3</v>
      </c>
      <c r="AO109" s="231">
        <v>4108.88</v>
      </c>
      <c r="AP109" s="231">
        <v>4110.74</v>
      </c>
      <c r="AQ109" s="228">
        <v>0</v>
      </c>
      <c r="AR109" s="230">
        <v>1945900</v>
      </c>
      <c r="AS109" s="230">
        <v>1548700</v>
      </c>
      <c r="AT109" s="230">
        <v>397200</v>
      </c>
      <c r="AU109" s="229">
        <v>0.25650000000000001</v>
      </c>
      <c r="AV109" s="230">
        <v>1652600</v>
      </c>
      <c r="AW109" s="230">
        <v>1341900</v>
      </c>
      <c r="AX109" s="230">
        <v>310700</v>
      </c>
      <c r="AY109" s="229">
        <v>0.23150000000000001</v>
      </c>
      <c r="AZ109" s="230">
        <v>259600</v>
      </c>
      <c r="BA109" s="230">
        <v>172500</v>
      </c>
      <c r="BB109" s="230">
        <v>87100</v>
      </c>
      <c r="BC109" s="229">
        <v>0.50490000000000002</v>
      </c>
      <c r="BD109" s="230">
        <v>33700</v>
      </c>
      <c r="BE109" s="230">
        <v>34300</v>
      </c>
      <c r="BF109" s="228">
        <v>-600</v>
      </c>
      <c r="BG109" s="229">
        <v>-1.7500000000000002E-2</v>
      </c>
      <c r="BH109" s="230">
        <v>14636100</v>
      </c>
      <c r="BI109" s="230">
        <v>8111100</v>
      </c>
      <c r="BJ109" s="230">
        <v>6525000</v>
      </c>
      <c r="BK109" s="229">
        <v>0.80449999999999999</v>
      </c>
      <c r="BL109" s="230">
        <v>5215700</v>
      </c>
      <c r="BM109" s="230">
        <v>4598500</v>
      </c>
      <c r="BN109" s="230">
        <v>617200</v>
      </c>
      <c r="BO109" s="229">
        <v>0.13420000000000001</v>
      </c>
      <c r="BP109" s="230">
        <v>21797700</v>
      </c>
      <c r="BQ109" s="230">
        <v>14258300</v>
      </c>
      <c r="BR109" s="230">
        <v>7539400</v>
      </c>
      <c r="BS109" s="229">
        <v>0.52880000000000005</v>
      </c>
      <c r="BT109" s="230">
        <v>3843555</v>
      </c>
      <c r="BU109" s="230">
        <v>3052118</v>
      </c>
      <c r="BV109" s="230">
        <v>791437</v>
      </c>
      <c r="BW109" s="229">
        <v>0.25929999999999997</v>
      </c>
      <c r="BX109" s="230">
        <v>4132300</v>
      </c>
      <c r="BY109" s="230">
        <v>4159200</v>
      </c>
      <c r="BZ109" s="230">
        <v>-26900</v>
      </c>
      <c r="CA109" s="229">
        <v>-6.4999999999999997E-3</v>
      </c>
      <c r="CB109" s="230">
        <v>3777000</v>
      </c>
      <c r="CC109" s="230">
        <v>3841600</v>
      </c>
      <c r="CD109" s="230">
        <v>-64600</v>
      </c>
      <c r="CE109" s="229">
        <v>-1.6799999999999999E-2</v>
      </c>
      <c r="CF109" s="230">
        <v>308800</v>
      </c>
      <c r="CG109" s="230">
        <v>272700</v>
      </c>
      <c r="CH109" s="230">
        <v>36100</v>
      </c>
      <c r="CI109" s="229">
        <v>0.13239999999999999</v>
      </c>
      <c r="CJ109" s="230">
        <v>46500</v>
      </c>
      <c r="CK109" s="230">
        <v>44900</v>
      </c>
      <c r="CL109" s="230">
        <v>1600</v>
      </c>
      <c r="CM109" s="229">
        <v>3.56E-2</v>
      </c>
      <c r="CN109" s="230">
        <v>2431600</v>
      </c>
      <c r="CO109" s="230">
        <v>2013300</v>
      </c>
      <c r="CP109" s="230">
        <v>418300</v>
      </c>
      <c r="CQ109" s="229">
        <v>0.20780000000000001</v>
      </c>
      <c r="CR109" s="230">
        <v>2153300</v>
      </c>
      <c r="CS109" s="230">
        <v>1950000</v>
      </c>
      <c r="CT109" s="230">
        <v>203300</v>
      </c>
      <c r="CU109" s="229">
        <v>0.1043</v>
      </c>
      <c r="CV109" s="230">
        <v>8717200</v>
      </c>
      <c r="CW109" s="230">
        <v>8122500</v>
      </c>
      <c r="CX109" s="230">
        <v>594700</v>
      </c>
      <c r="CY109" s="229">
        <v>7.3200000000000001E-2</v>
      </c>
      <c r="CZ109" s="228">
        <v>54.23</v>
      </c>
      <c r="DA109" s="228">
        <v>50</v>
      </c>
      <c r="DB109" s="228">
        <v>4.2300000000000004</v>
      </c>
      <c r="DC109" s="228">
        <v>4.2300000000000004</v>
      </c>
      <c r="DD109" s="228">
        <v>61.58</v>
      </c>
      <c r="DE109" s="228">
        <v>61.39</v>
      </c>
      <c r="DF109" s="228">
        <v>-7.35</v>
      </c>
      <c r="DG109" s="228">
        <v>0.19</v>
      </c>
      <c r="DH109" s="228">
        <v>53.03</v>
      </c>
      <c r="DI109" s="228">
        <v>49.84</v>
      </c>
      <c r="DJ109" s="228">
        <v>3.19</v>
      </c>
      <c r="DK109" s="228">
        <v>3.19</v>
      </c>
      <c r="DL109" s="228">
        <v>57.6</v>
      </c>
      <c r="DM109" s="228">
        <v>50.27</v>
      </c>
      <c r="DN109" s="228">
        <v>7.33</v>
      </c>
      <c r="DO109" s="228">
        <v>7.33</v>
      </c>
      <c r="DP109" s="228">
        <v>0.89</v>
      </c>
      <c r="DQ109" s="228">
        <v>0.97</v>
      </c>
      <c r="DR109" s="228">
        <v>-0.08</v>
      </c>
      <c r="DS109" s="229">
        <v>-8.2500000000000004E-2</v>
      </c>
      <c r="DT109" s="231">
        <v>4500</v>
      </c>
      <c r="DU109" s="231">
        <v>3500</v>
      </c>
      <c r="DV109" s="228">
        <v>0.36</v>
      </c>
      <c r="DW109" s="228">
        <v>0.56999999999999995</v>
      </c>
      <c r="DX109" s="228">
        <v>-0.21</v>
      </c>
      <c r="DY109" s="229">
        <v>-0.36840000000000001</v>
      </c>
      <c r="DZ109" s="229">
        <v>8.5999999999999993E-2</v>
      </c>
      <c r="EA109" s="230">
        <v>317600</v>
      </c>
      <c r="EB109" s="229">
        <v>-1.5E-3</v>
      </c>
      <c r="EC109" s="229">
        <v>8.5999999999999993E-2</v>
      </c>
      <c r="ED109" s="228">
        <v>1.86</v>
      </c>
      <c r="EE109" s="229">
        <v>5.0000000000000001E-4</v>
      </c>
      <c r="EF109" s="230">
        <v>598088</v>
      </c>
      <c r="EG109" s="230">
        <v>444419</v>
      </c>
      <c r="EH109" s="229">
        <v>0.3458</v>
      </c>
      <c r="EI109" s="229">
        <v>0.15559999999999999</v>
      </c>
      <c r="EJ109" s="231">
        <v>645209.36</v>
      </c>
      <c r="EK109" s="231">
        <v>205082.08</v>
      </c>
      <c r="EL109" s="231">
        <v>79962.740000000005</v>
      </c>
      <c r="EM109" s="231">
        <v>25517</v>
      </c>
      <c r="EN109" s="231">
        <v>930254.18</v>
      </c>
      <c r="EO109" s="231">
        <v>582073.27</v>
      </c>
      <c r="EP109" s="231">
        <v>348180.91</v>
      </c>
      <c r="EQ109" s="229">
        <v>0.59819999999999995</v>
      </c>
      <c r="ER109" s="231">
        <v>102423</v>
      </c>
      <c r="ES109" s="231">
        <v>78719</v>
      </c>
      <c r="ET109" s="231">
        <v>172258</v>
      </c>
      <c r="EU109" s="231">
        <v>4679418</v>
      </c>
      <c r="EV109" s="231">
        <v>353401</v>
      </c>
      <c r="EW109" s="231">
        <v>316325</v>
      </c>
      <c r="EX109" s="231">
        <v>37076</v>
      </c>
      <c r="EY109" s="229">
        <v>0.1172</v>
      </c>
      <c r="EZ109" s="229">
        <v>1.8629</v>
      </c>
      <c r="FA109" s="227" t="s">
        <v>556</v>
      </c>
      <c r="FB109" s="161">
        <f t="shared" si="1"/>
        <v>355300</v>
      </c>
    </row>
    <row r="110" spans="1:158" ht="17.25" hidden="1" thickBot="1" x14ac:dyDescent="0.3">
      <c r="A110" s="226">
        <v>46064</v>
      </c>
      <c r="B110" s="227" t="s">
        <v>161</v>
      </c>
      <c r="C110" s="227" t="s">
        <v>610</v>
      </c>
      <c r="D110" s="228">
        <v>175</v>
      </c>
      <c r="E110" s="231">
        <v>4619.5</v>
      </c>
      <c r="F110" s="231">
        <v>4606.6000000000004</v>
      </c>
      <c r="G110" s="228">
        <v>12.9</v>
      </c>
      <c r="H110" s="229">
        <v>2.8E-3</v>
      </c>
      <c r="I110" s="231">
        <v>4605.8999999999996</v>
      </c>
      <c r="J110" s="231">
        <v>4590.6000000000004</v>
      </c>
      <c r="K110" s="228">
        <v>15.3</v>
      </c>
      <c r="L110" s="229">
        <v>3.3E-3</v>
      </c>
      <c r="M110" s="231">
        <v>4619.5</v>
      </c>
      <c r="N110" s="231">
        <v>4606.6000000000004</v>
      </c>
      <c r="O110" s="228">
        <v>12.9</v>
      </c>
      <c r="P110" s="229">
        <v>2.8E-3</v>
      </c>
      <c r="Q110" s="231">
        <v>4563.3999999999996</v>
      </c>
      <c r="R110" s="231">
        <v>4547.2</v>
      </c>
      <c r="S110" s="228">
        <v>16.2</v>
      </c>
      <c r="T110" s="229">
        <v>3.5999999999999999E-3</v>
      </c>
      <c r="U110" s="231">
        <v>4555.8</v>
      </c>
      <c r="V110" s="231">
        <v>4495</v>
      </c>
      <c r="W110" s="228">
        <v>60.8</v>
      </c>
      <c r="X110" s="229">
        <v>1.35E-2</v>
      </c>
      <c r="Y110" s="228">
        <v>13.6</v>
      </c>
      <c r="Z110" s="228">
        <v>16</v>
      </c>
      <c r="AA110" s="228">
        <v>-2.4</v>
      </c>
      <c r="AB110" s="229">
        <v>3.0000000000000001E-3</v>
      </c>
      <c r="AC110" s="228">
        <v>13.6</v>
      </c>
      <c r="AD110" s="228">
        <v>16</v>
      </c>
      <c r="AE110" s="228">
        <v>-2.4</v>
      </c>
      <c r="AF110" s="229">
        <v>3.0000000000000001E-3</v>
      </c>
      <c r="AG110" s="228">
        <v>-42.5</v>
      </c>
      <c r="AH110" s="228">
        <v>-43.4</v>
      </c>
      <c r="AI110" s="228">
        <v>0.9</v>
      </c>
      <c r="AJ110" s="229">
        <v>-9.1999999999999998E-3</v>
      </c>
      <c r="AK110" s="228">
        <v>-50.1</v>
      </c>
      <c r="AL110" s="228">
        <v>-95.6</v>
      </c>
      <c r="AM110" s="228">
        <v>45.5</v>
      </c>
      <c r="AN110" s="229">
        <v>-1.09E-2</v>
      </c>
      <c r="AO110" s="231">
        <v>4635.78</v>
      </c>
      <c r="AP110" s="231">
        <v>4572.58</v>
      </c>
      <c r="AQ110" s="228">
        <v>0</v>
      </c>
      <c r="AR110" s="230">
        <v>445375</v>
      </c>
      <c r="AS110" s="230">
        <v>292250</v>
      </c>
      <c r="AT110" s="230">
        <v>153125</v>
      </c>
      <c r="AU110" s="229">
        <v>0.52400000000000002</v>
      </c>
      <c r="AV110" s="230">
        <v>405650</v>
      </c>
      <c r="AW110" s="230">
        <v>257250</v>
      </c>
      <c r="AX110" s="230">
        <v>148400</v>
      </c>
      <c r="AY110" s="229">
        <v>0.57689999999999997</v>
      </c>
      <c r="AZ110" s="230">
        <v>38325</v>
      </c>
      <c r="BA110" s="230">
        <v>33425</v>
      </c>
      <c r="BB110" s="230">
        <v>4900</v>
      </c>
      <c r="BC110" s="229">
        <v>0.14660000000000001</v>
      </c>
      <c r="BD110" s="230">
        <v>1400</v>
      </c>
      <c r="BE110" s="230">
        <v>1575</v>
      </c>
      <c r="BF110" s="228">
        <v>-175</v>
      </c>
      <c r="BG110" s="229">
        <v>-0.1111</v>
      </c>
      <c r="BH110" s="230">
        <v>775425</v>
      </c>
      <c r="BI110" s="230">
        <v>1380575</v>
      </c>
      <c r="BJ110" s="230">
        <v>-605150</v>
      </c>
      <c r="BK110" s="229">
        <v>-0.43830000000000002</v>
      </c>
      <c r="BL110" s="230">
        <v>315175</v>
      </c>
      <c r="BM110" s="230">
        <v>325325</v>
      </c>
      <c r="BN110" s="230">
        <v>-10150</v>
      </c>
      <c r="BO110" s="229">
        <v>-3.1199999999999999E-2</v>
      </c>
      <c r="BP110" s="230">
        <v>1535975</v>
      </c>
      <c r="BQ110" s="230">
        <v>1998150</v>
      </c>
      <c r="BR110" s="230">
        <v>-462175</v>
      </c>
      <c r="BS110" s="229">
        <v>-0.23130000000000001</v>
      </c>
      <c r="BT110" s="230">
        <v>178429</v>
      </c>
      <c r="BU110" s="230">
        <v>151018</v>
      </c>
      <c r="BV110" s="230">
        <v>27411</v>
      </c>
      <c r="BW110" s="229">
        <v>0.18149999999999999</v>
      </c>
      <c r="BX110" s="230">
        <v>1869000</v>
      </c>
      <c r="BY110" s="230">
        <v>1825775</v>
      </c>
      <c r="BZ110" s="230">
        <v>43225</v>
      </c>
      <c r="CA110" s="229">
        <v>2.3699999999999999E-2</v>
      </c>
      <c r="CB110" s="230">
        <v>1629950</v>
      </c>
      <c r="CC110" s="230">
        <v>1600200</v>
      </c>
      <c r="CD110" s="230">
        <v>29750</v>
      </c>
      <c r="CE110" s="229">
        <v>1.8599999999999998E-2</v>
      </c>
      <c r="CF110" s="230">
        <v>234500</v>
      </c>
      <c r="CG110" s="230">
        <v>221550</v>
      </c>
      <c r="CH110" s="230">
        <v>12950</v>
      </c>
      <c r="CI110" s="229">
        <v>5.8500000000000003E-2</v>
      </c>
      <c r="CJ110" s="230">
        <v>4550</v>
      </c>
      <c r="CK110" s="230">
        <v>4025</v>
      </c>
      <c r="CL110" s="228">
        <v>525</v>
      </c>
      <c r="CM110" s="229">
        <v>0.13039999999999999</v>
      </c>
      <c r="CN110" s="230">
        <v>580300</v>
      </c>
      <c r="CO110" s="230">
        <v>605675</v>
      </c>
      <c r="CP110" s="230">
        <v>-25375</v>
      </c>
      <c r="CQ110" s="229">
        <v>-4.19E-2</v>
      </c>
      <c r="CR110" s="230">
        <v>548625</v>
      </c>
      <c r="CS110" s="230">
        <v>541100</v>
      </c>
      <c r="CT110" s="230">
        <v>7525</v>
      </c>
      <c r="CU110" s="229">
        <v>1.3899999999999999E-2</v>
      </c>
      <c r="CV110" s="230">
        <v>2997925</v>
      </c>
      <c r="CW110" s="230">
        <v>2972550</v>
      </c>
      <c r="CX110" s="230">
        <v>25375</v>
      </c>
      <c r="CY110" s="229">
        <v>8.5000000000000006E-3</v>
      </c>
      <c r="CZ110" s="228">
        <v>31.67</v>
      </c>
      <c r="DA110" s="228">
        <v>34.299999999999997</v>
      </c>
      <c r="DB110" s="228">
        <v>-2.63</v>
      </c>
      <c r="DC110" s="228">
        <v>-2.63</v>
      </c>
      <c r="DD110" s="228">
        <v>45.57</v>
      </c>
      <c r="DE110" s="228">
        <v>45.68</v>
      </c>
      <c r="DF110" s="228">
        <v>-13.9</v>
      </c>
      <c r="DG110" s="228">
        <v>-0.11</v>
      </c>
      <c r="DH110" s="228">
        <v>31.38</v>
      </c>
      <c r="DI110" s="228">
        <v>34.08</v>
      </c>
      <c r="DJ110" s="228">
        <v>-2.7</v>
      </c>
      <c r="DK110" s="228">
        <v>-2.7</v>
      </c>
      <c r="DL110" s="228">
        <v>32.380000000000003</v>
      </c>
      <c r="DM110" s="228">
        <v>35.25</v>
      </c>
      <c r="DN110" s="228">
        <v>-2.87</v>
      </c>
      <c r="DO110" s="228">
        <v>-2.87</v>
      </c>
      <c r="DP110" s="228">
        <v>0.95</v>
      </c>
      <c r="DQ110" s="228">
        <v>0.89</v>
      </c>
      <c r="DR110" s="228">
        <v>0.06</v>
      </c>
      <c r="DS110" s="229">
        <v>6.7400000000000002E-2</v>
      </c>
      <c r="DT110" s="231">
        <v>5000</v>
      </c>
      <c r="DU110" s="231">
        <v>3800</v>
      </c>
      <c r="DV110" s="228">
        <v>0.41</v>
      </c>
      <c r="DW110" s="228">
        <v>0.24</v>
      </c>
      <c r="DX110" s="228">
        <v>0.17</v>
      </c>
      <c r="DY110" s="229">
        <v>0.70830000000000004</v>
      </c>
      <c r="DZ110" s="229">
        <v>0.12790000000000001</v>
      </c>
      <c r="EA110" s="230">
        <v>225575</v>
      </c>
      <c r="EB110" s="229">
        <v>-1.21E-2</v>
      </c>
      <c r="EC110" s="229">
        <v>0.12790000000000001</v>
      </c>
      <c r="ED110" s="228">
        <v>-63.2</v>
      </c>
      <c r="EE110" s="229">
        <v>-1.3599999999999999E-2</v>
      </c>
      <c r="EF110" s="230">
        <v>94473</v>
      </c>
      <c r="EG110" s="230">
        <v>76696</v>
      </c>
      <c r="EH110" s="229">
        <v>0.23180000000000001</v>
      </c>
      <c r="EI110" s="229">
        <v>0.52949999999999997</v>
      </c>
      <c r="EJ110" s="231">
        <v>36997.46</v>
      </c>
      <c r="EK110" s="231">
        <v>14262.01</v>
      </c>
      <c r="EL110" s="231">
        <v>20621.16</v>
      </c>
      <c r="EM110" s="231">
        <v>2543</v>
      </c>
      <c r="EN110" s="231">
        <v>71880.63</v>
      </c>
      <c r="EO110" s="231">
        <v>93434.53</v>
      </c>
      <c r="EP110" s="231">
        <v>-21553.9</v>
      </c>
      <c r="EQ110" s="229">
        <v>-0.23069999999999999</v>
      </c>
      <c r="ER110" s="231">
        <v>26287</v>
      </c>
      <c r="ES110" s="231">
        <v>22329</v>
      </c>
      <c r="ET110" s="231">
        <v>86204</v>
      </c>
      <c r="EU110" s="231">
        <v>8553821</v>
      </c>
      <c r="EV110" s="231">
        <v>134820</v>
      </c>
      <c r="EW110" s="231">
        <v>133317</v>
      </c>
      <c r="EX110" s="231">
        <v>1503</v>
      </c>
      <c r="EY110" s="229">
        <v>1.1299999999999999E-2</v>
      </c>
      <c r="EZ110" s="229">
        <v>0.35049999999999998</v>
      </c>
      <c r="FA110" s="227" t="s">
        <v>555</v>
      </c>
      <c r="FB110" s="161">
        <f t="shared" si="1"/>
        <v>239050</v>
      </c>
    </row>
    <row r="111" spans="1:158" ht="17.25" hidden="1" thickBot="1" x14ac:dyDescent="0.3">
      <c r="A111" s="226">
        <v>46064</v>
      </c>
      <c r="B111" s="227" t="s">
        <v>175</v>
      </c>
      <c r="C111" s="227" t="s">
        <v>682</v>
      </c>
      <c r="D111" s="228">
        <v>500</v>
      </c>
      <c r="E111" s="231">
        <v>1019.4</v>
      </c>
      <c r="F111" s="231">
        <v>1026.0999999999999</v>
      </c>
      <c r="G111" s="228">
        <v>-6.7</v>
      </c>
      <c r="H111" s="229">
        <v>-6.4999999999999997E-3</v>
      </c>
      <c r="I111" s="231">
        <v>1022.5</v>
      </c>
      <c r="J111" s="231">
        <v>1022.4</v>
      </c>
      <c r="K111" s="228">
        <v>0.1</v>
      </c>
      <c r="L111" s="229">
        <v>1E-4</v>
      </c>
      <c r="M111" s="231">
        <v>1019.4</v>
      </c>
      <c r="N111" s="231">
        <v>1026.0999999999999</v>
      </c>
      <c r="O111" s="228">
        <v>-6.7</v>
      </c>
      <c r="P111" s="229">
        <v>-6.4999999999999997E-3</v>
      </c>
      <c r="Q111" s="228">
        <v>994</v>
      </c>
      <c r="R111" s="231">
        <v>1005.9</v>
      </c>
      <c r="S111" s="228">
        <v>-11.9</v>
      </c>
      <c r="T111" s="229">
        <v>-1.18E-2</v>
      </c>
      <c r="U111" s="228">
        <v>980.8</v>
      </c>
      <c r="V111" s="231">
        <v>1003.4</v>
      </c>
      <c r="W111" s="228">
        <v>-22.6</v>
      </c>
      <c r="X111" s="229">
        <v>-2.2499999999999999E-2</v>
      </c>
      <c r="Y111" s="228">
        <v>-3.1</v>
      </c>
      <c r="Z111" s="228">
        <v>3.7</v>
      </c>
      <c r="AA111" s="228">
        <v>-6.8</v>
      </c>
      <c r="AB111" s="229">
        <v>-3.0000000000000001E-3</v>
      </c>
      <c r="AC111" s="228">
        <v>-3.1</v>
      </c>
      <c r="AD111" s="228">
        <v>3.7</v>
      </c>
      <c r="AE111" s="228">
        <v>-6.8</v>
      </c>
      <c r="AF111" s="229">
        <v>-3.0000000000000001E-3</v>
      </c>
      <c r="AG111" s="228">
        <v>-28.5</v>
      </c>
      <c r="AH111" s="228">
        <v>-16.5</v>
      </c>
      <c r="AI111" s="228">
        <v>-12</v>
      </c>
      <c r="AJ111" s="229">
        <v>-2.7900000000000001E-2</v>
      </c>
      <c r="AK111" s="228">
        <v>-41.7</v>
      </c>
      <c r="AL111" s="228">
        <v>-19</v>
      </c>
      <c r="AM111" s="228">
        <v>-22.7</v>
      </c>
      <c r="AN111" s="229">
        <v>-4.0800000000000003E-2</v>
      </c>
      <c r="AO111" s="231">
        <v>1019.76</v>
      </c>
      <c r="AP111" s="228">
        <v>994.79</v>
      </c>
      <c r="AQ111" s="228">
        <v>0</v>
      </c>
      <c r="AR111" s="230">
        <v>1033000</v>
      </c>
      <c r="AS111" s="230">
        <v>3019000</v>
      </c>
      <c r="AT111" s="230">
        <v>-1986000</v>
      </c>
      <c r="AU111" s="229">
        <v>-0.65780000000000005</v>
      </c>
      <c r="AV111" s="230">
        <v>710500</v>
      </c>
      <c r="AW111" s="230">
        <v>2240500</v>
      </c>
      <c r="AX111" s="230">
        <v>-1530000</v>
      </c>
      <c r="AY111" s="229">
        <v>-0.68289999999999995</v>
      </c>
      <c r="AZ111" s="230">
        <v>303500</v>
      </c>
      <c r="BA111" s="230">
        <v>751000</v>
      </c>
      <c r="BB111" s="230">
        <v>-447500</v>
      </c>
      <c r="BC111" s="229">
        <v>-0.59589999999999999</v>
      </c>
      <c r="BD111" s="230">
        <v>19000</v>
      </c>
      <c r="BE111" s="230">
        <v>27500</v>
      </c>
      <c r="BF111" s="230">
        <v>-8500</v>
      </c>
      <c r="BG111" s="229">
        <v>-0.30909999999999999</v>
      </c>
      <c r="BH111" s="230">
        <v>1188000</v>
      </c>
      <c r="BI111" s="230">
        <v>9594000</v>
      </c>
      <c r="BJ111" s="230">
        <v>-8406000</v>
      </c>
      <c r="BK111" s="229">
        <v>-0.87619999999999998</v>
      </c>
      <c r="BL111" s="230">
        <v>457500</v>
      </c>
      <c r="BM111" s="230">
        <v>3329500</v>
      </c>
      <c r="BN111" s="230">
        <v>-2872000</v>
      </c>
      <c r="BO111" s="229">
        <v>-0.86260000000000003</v>
      </c>
      <c r="BP111" s="230">
        <v>2678500</v>
      </c>
      <c r="BQ111" s="230">
        <v>15942500</v>
      </c>
      <c r="BR111" s="230">
        <v>-13264000</v>
      </c>
      <c r="BS111" s="229">
        <v>-0.83199999999999996</v>
      </c>
      <c r="BT111" s="230">
        <v>494998</v>
      </c>
      <c r="BU111" s="230">
        <v>1449147</v>
      </c>
      <c r="BV111" s="230">
        <v>-954149</v>
      </c>
      <c r="BW111" s="229">
        <v>-0.65839999999999999</v>
      </c>
      <c r="BX111" s="230">
        <v>6376000</v>
      </c>
      <c r="BY111" s="230">
        <v>6094000</v>
      </c>
      <c r="BZ111" s="230">
        <v>282000</v>
      </c>
      <c r="CA111" s="229">
        <v>4.6300000000000001E-2</v>
      </c>
      <c r="CB111" s="230">
        <v>4863000</v>
      </c>
      <c r="CC111" s="230">
        <v>4708000</v>
      </c>
      <c r="CD111" s="230">
        <v>155000</v>
      </c>
      <c r="CE111" s="229">
        <v>3.2899999999999999E-2</v>
      </c>
      <c r="CF111" s="230">
        <v>1443000</v>
      </c>
      <c r="CG111" s="230">
        <v>1329500</v>
      </c>
      <c r="CH111" s="230">
        <v>113500</v>
      </c>
      <c r="CI111" s="229">
        <v>8.5400000000000004E-2</v>
      </c>
      <c r="CJ111" s="230">
        <v>70000</v>
      </c>
      <c r="CK111" s="230">
        <v>56500</v>
      </c>
      <c r="CL111" s="230">
        <v>13500</v>
      </c>
      <c r="CM111" s="229">
        <v>0.2389</v>
      </c>
      <c r="CN111" s="230">
        <v>1448500</v>
      </c>
      <c r="CO111" s="230">
        <v>1310500</v>
      </c>
      <c r="CP111" s="230">
        <v>138000</v>
      </c>
      <c r="CQ111" s="229">
        <v>0.1053</v>
      </c>
      <c r="CR111" s="230">
        <v>1099000</v>
      </c>
      <c r="CS111" s="230">
        <v>993500</v>
      </c>
      <c r="CT111" s="230">
        <v>105500</v>
      </c>
      <c r="CU111" s="229">
        <v>0.1062</v>
      </c>
      <c r="CV111" s="230">
        <v>8923500</v>
      </c>
      <c r="CW111" s="230">
        <v>8398000</v>
      </c>
      <c r="CX111" s="230">
        <v>525500</v>
      </c>
      <c r="CY111" s="229">
        <v>6.2600000000000003E-2</v>
      </c>
      <c r="CZ111" s="228">
        <v>50.26</v>
      </c>
      <c r="DA111" s="228">
        <v>48.9</v>
      </c>
      <c r="DB111" s="228">
        <v>1.36</v>
      </c>
      <c r="DC111" s="228">
        <v>1.36</v>
      </c>
      <c r="DD111" s="228">
        <v>50.43</v>
      </c>
      <c r="DE111" s="228">
        <v>50.55</v>
      </c>
      <c r="DF111" s="228">
        <v>-0.17</v>
      </c>
      <c r="DG111" s="228">
        <v>-0.12</v>
      </c>
      <c r="DH111" s="228">
        <v>50.24</v>
      </c>
      <c r="DI111" s="228">
        <v>48.84</v>
      </c>
      <c r="DJ111" s="228">
        <v>1.4</v>
      </c>
      <c r="DK111" s="228">
        <v>1.4</v>
      </c>
      <c r="DL111" s="228">
        <v>50.32</v>
      </c>
      <c r="DM111" s="228">
        <v>49.08</v>
      </c>
      <c r="DN111" s="228">
        <v>1.24</v>
      </c>
      <c r="DO111" s="228">
        <v>1.24</v>
      </c>
      <c r="DP111" s="228">
        <v>0.76</v>
      </c>
      <c r="DQ111" s="228">
        <v>0.76</v>
      </c>
      <c r="DR111" s="228">
        <v>0</v>
      </c>
      <c r="DS111" s="229">
        <v>0</v>
      </c>
      <c r="DT111" s="231">
        <v>1040</v>
      </c>
      <c r="DU111" s="228">
        <v>960</v>
      </c>
      <c r="DV111" s="228">
        <v>0.39</v>
      </c>
      <c r="DW111" s="228">
        <v>0.35</v>
      </c>
      <c r="DX111" s="228">
        <v>0.04</v>
      </c>
      <c r="DY111" s="229">
        <v>0.1143</v>
      </c>
      <c r="DZ111" s="229">
        <v>0.23730000000000001</v>
      </c>
      <c r="EA111" s="230">
        <v>1386000</v>
      </c>
      <c r="EB111" s="229">
        <v>-2.4899999999999999E-2</v>
      </c>
      <c r="EC111" s="229">
        <v>0.23730000000000001</v>
      </c>
      <c r="ED111" s="228">
        <v>-24.97</v>
      </c>
      <c r="EE111" s="229">
        <v>-2.4500000000000001E-2</v>
      </c>
      <c r="EF111" s="230">
        <v>207210</v>
      </c>
      <c r="EG111" s="230">
        <v>238892</v>
      </c>
      <c r="EH111" s="229">
        <v>-0.1326</v>
      </c>
      <c r="EI111" s="229">
        <v>0.41860000000000003</v>
      </c>
      <c r="EJ111" s="231">
        <v>13206.22</v>
      </c>
      <c r="EK111" s="231">
        <v>4646.32</v>
      </c>
      <c r="EL111" s="231">
        <v>10451.44</v>
      </c>
      <c r="EM111" s="231">
        <v>3675</v>
      </c>
      <c r="EN111" s="231">
        <v>28303.98</v>
      </c>
      <c r="EO111" s="231">
        <v>168167</v>
      </c>
      <c r="EP111" s="231">
        <v>-139863.01999999999</v>
      </c>
      <c r="EQ111" s="229">
        <v>-0.83169999999999999</v>
      </c>
      <c r="ER111" s="231">
        <v>15398</v>
      </c>
      <c r="ES111" s="231">
        <v>10899</v>
      </c>
      <c r="ET111" s="231">
        <v>64603</v>
      </c>
      <c r="EU111" s="231">
        <v>19924232</v>
      </c>
      <c r="EV111" s="231">
        <v>90900</v>
      </c>
      <c r="EW111" s="231">
        <v>85926</v>
      </c>
      <c r="EX111" s="231">
        <v>4974</v>
      </c>
      <c r="EY111" s="229">
        <v>5.79E-2</v>
      </c>
      <c r="EZ111" s="229">
        <v>0.44790000000000002</v>
      </c>
      <c r="FA111" s="227" t="s">
        <v>567</v>
      </c>
      <c r="FB111" s="161">
        <f t="shared" si="1"/>
        <v>1513000</v>
      </c>
    </row>
    <row r="112" spans="1:158" ht="17.25" hidden="1" thickBot="1" x14ac:dyDescent="0.3">
      <c r="A112" s="226">
        <v>46064</v>
      </c>
      <c r="B112" s="227" t="s">
        <v>172</v>
      </c>
      <c r="C112" s="227" t="s">
        <v>246</v>
      </c>
      <c r="D112" s="228">
        <v>2000</v>
      </c>
      <c r="E112" s="228">
        <v>429.9</v>
      </c>
      <c r="F112" s="228">
        <v>429.8</v>
      </c>
      <c r="G112" s="228">
        <v>0.1</v>
      </c>
      <c r="H112" s="229">
        <v>2.0000000000000001E-4</v>
      </c>
      <c r="I112" s="228">
        <v>429.55</v>
      </c>
      <c r="J112" s="228">
        <v>429.3</v>
      </c>
      <c r="K112" s="228">
        <v>0.25</v>
      </c>
      <c r="L112" s="229">
        <v>5.9999999999999995E-4</v>
      </c>
      <c r="M112" s="228">
        <v>429.9</v>
      </c>
      <c r="N112" s="228">
        <v>429.8</v>
      </c>
      <c r="O112" s="228">
        <v>0.1</v>
      </c>
      <c r="P112" s="229">
        <v>2.0000000000000001E-4</v>
      </c>
      <c r="Q112" s="228">
        <v>432.6</v>
      </c>
      <c r="R112" s="228">
        <v>432.35</v>
      </c>
      <c r="S112" s="228">
        <v>0.25</v>
      </c>
      <c r="T112" s="229">
        <v>5.9999999999999995E-4</v>
      </c>
      <c r="U112" s="228">
        <v>435.9</v>
      </c>
      <c r="V112" s="228">
        <v>435</v>
      </c>
      <c r="W112" s="228">
        <v>0.9</v>
      </c>
      <c r="X112" s="229">
        <v>2.0999999999999999E-3</v>
      </c>
      <c r="Y112" s="228">
        <v>0.35</v>
      </c>
      <c r="Z112" s="228">
        <v>0.5</v>
      </c>
      <c r="AA112" s="228">
        <v>-0.15</v>
      </c>
      <c r="AB112" s="229">
        <v>8.0000000000000004E-4</v>
      </c>
      <c r="AC112" s="228">
        <v>0.35</v>
      </c>
      <c r="AD112" s="228">
        <v>0.5</v>
      </c>
      <c r="AE112" s="228">
        <v>-0.15</v>
      </c>
      <c r="AF112" s="229">
        <v>8.0000000000000004E-4</v>
      </c>
      <c r="AG112" s="228">
        <v>3.05</v>
      </c>
      <c r="AH112" s="228">
        <v>3.05</v>
      </c>
      <c r="AI112" s="228">
        <v>0</v>
      </c>
      <c r="AJ112" s="229">
        <v>7.1000000000000004E-3</v>
      </c>
      <c r="AK112" s="228">
        <v>6.35</v>
      </c>
      <c r="AL112" s="228">
        <v>5.7</v>
      </c>
      <c r="AM112" s="228">
        <v>0.65</v>
      </c>
      <c r="AN112" s="229">
        <v>1.4800000000000001E-2</v>
      </c>
      <c r="AO112" s="228">
        <v>429.77</v>
      </c>
      <c r="AP112" s="228">
        <v>432.52</v>
      </c>
      <c r="AQ112" s="228">
        <v>0</v>
      </c>
      <c r="AR112" s="230">
        <v>12134000</v>
      </c>
      <c r="AS112" s="230">
        <v>13422000</v>
      </c>
      <c r="AT112" s="230">
        <v>-1288000</v>
      </c>
      <c r="AU112" s="229">
        <v>-9.6000000000000002E-2</v>
      </c>
      <c r="AV112" s="230">
        <v>11622000</v>
      </c>
      <c r="AW112" s="230">
        <v>12406000</v>
      </c>
      <c r="AX112" s="230">
        <v>-784000</v>
      </c>
      <c r="AY112" s="229">
        <v>-6.3200000000000006E-2</v>
      </c>
      <c r="AZ112" s="230">
        <v>472000</v>
      </c>
      <c r="BA112" s="230">
        <v>884000</v>
      </c>
      <c r="BB112" s="230">
        <v>-412000</v>
      </c>
      <c r="BC112" s="229">
        <v>-0.46610000000000001</v>
      </c>
      <c r="BD112" s="230">
        <v>40000</v>
      </c>
      <c r="BE112" s="230">
        <v>132000</v>
      </c>
      <c r="BF112" s="230">
        <v>-92000</v>
      </c>
      <c r="BG112" s="229">
        <v>-0.69699999999999995</v>
      </c>
      <c r="BH112" s="230">
        <v>23262000</v>
      </c>
      <c r="BI112" s="230">
        <v>37710000</v>
      </c>
      <c r="BJ112" s="230">
        <v>-14448000</v>
      </c>
      <c r="BK112" s="229">
        <v>-0.3831</v>
      </c>
      <c r="BL112" s="230">
        <v>17248000</v>
      </c>
      <c r="BM112" s="230">
        <v>26890000</v>
      </c>
      <c r="BN112" s="230">
        <v>-9642000</v>
      </c>
      <c r="BO112" s="229">
        <v>-0.35859999999999997</v>
      </c>
      <c r="BP112" s="230">
        <v>52644000</v>
      </c>
      <c r="BQ112" s="230">
        <v>78022000</v>
      </c>
      <c r="BR112" s="230">
        <v>-25378000</v>
      </c>
      <c r="BS112" s="229">
        <v>-0.32529999999999998</v>
      </c>
      <c r="BT112" s="230">
        <v>13182259</v>
      </c>
      <c r="BU112" s="230">
        <v>21204089</v>
      </c>
      <c r="BV112" s="230">
        <v>-8021830</v>
      </c>
      <c r="BW112" s="229">
        <v>-0.37830000000000003</v>
      </c>
      <c r="BX112" s="230">
        <v>201884000</v>
      </c>
      <c r="BY112" s="230">
        <v>204940000</v>
      </c>
      <c r="BZ112" s="230">
        <v>-3056000</v>
      </c>
      <c r="CA112" s="229">
        <v>-1.49E-2</v>
      </c>
      <c r="CB112" s="230">
        <v>186174000</v>
      </c>
      <c r="CC112" s="230">
        <v>189312000</v>
      </c>
      <c r="CD112" s="230">
        <v>-3138000</v>
      </c>
      <c r="CE112" s="229">
        <v>-1.66E-2</v>
      </c>
      <c r="CF112" s="230">
        <v>15154000</v>
      </c>
      <c r="CG112" s="230">
        <v>15092000</v>
      </c>
      <c r="CH112" s="230">
        <v>62000</v>
      </c>
      <c r="CI112" s="229">
        <v>4.1000000000000003E-3</v>
      </c>
      <c r="CJ112" s="230">
        <v>556000</v>
      </c>
      <c r="CK112" s="230">
        <v>536000</v>
      </c>
      <c r="CL112" s="230">
        <v>20000</v>
      </c>
      <c r="CM112" s="229">
        <v>3.73E-2</v>
      </c>
      <c r="CN112" s="230">
        <v>37068000</v>
      </c>
      <c r="CO112" s="230">
        <v>37332000</v>
      </c>
      <c r="CP112" s="230">
        <v>-264000</v>
      </c>
      <c r="CQ112" s="229">
        <v>-7.1000000000000004E-3</v>
      </c>
      <c r="CR112" s="230">
        <v>35904000</v>
      </c>
      <c r="CS112" s="230">
        <v>36770000</v>
      </c>
      <c r="CT112" s="230">
        <v>-866000</v>
      </c>
      <c r="CU112" s="229">
        <v>-2.3599999999999999E-2</v>
      </c>
      <c r="CV112" s="230">
        <v>274856000</v>
      </c>
      <c r="CW112" s="230">
        <v>279042000</v>
      </c>
      <c r="CX112" s="230">
        <v>-4186000</v>
      </c>
      <c r="CY112" s="229">
        <v>-1.4999999999999999E-2</v>
      </c>
      <c r="CZ112" s="228">
        <v>19.89</v>
      </c>
      <c r="DA112" s="228">
        <v>20.260000000000002</v>
      </c>
      <c r="DB112" s="228">
        <v>-0.37</v>
      </c>
      <c r="DC112" s="228">
        <v>-0.37</v>
      </c>
      <c r="DD112" s="228">
        <v>25.31</v>
      </c>
      <c r="DE112" s="228">
        <v>25.37</v>
      </c>
      <c r="DF112" s="228">
        <v>-5.42</v>
      </c>
      <c r="DG112" s="228">
        <v>-0.06</v>
      </c>
      <c r="DH112" s="228">
        <v>19.079999999999998</v>
      </c>
      <c r="DI112" s="228">
        <v>19.93</v>
      </c>
      <c r="DJ112" s="228">
        <v>-0.85</v>
      </c>
      <c r="DK112" s="228">
        <v>-0.85</v>
      </c>
      <c r="DL112" s="228">
        <v>20.99</v>
      </c>
      <c r="DM112" s="228">
        <v>20.71</v>
      </c>
      <c r="DN112" s="228">
        <v>0.28000000000000003</v>
      </c>
      <c r="DO112" s="228">
        <v>0.28000000000000003</v>
      </c>
      <c r="DP112" s="228">
        <v>0.97</v>
      </c>
      <c r="DQ112" s="228">
        <v>0.98</v>
      </c>
      <c r="DR112" s="228">
        <v>-0.01</v>
      </c>
      <c r="DS112" s="229">
        <v>-1.0200000000000001E-2</v>
      </c>
      <c r="DT112" s="228">
        <v>430</v>
      </c>
      <c r="DU112" s="228">
        <v>410</v>
      </c>
      <c r="DV112" s="228">
        <v>0.74</v>
      </c>
      <c r="DW112" s="228">
        <v>0.71</v>
      </c>
      <c r="DX112" s="228">
        <v>0.03</v>
      </c>
      <c r="DY112" s="229">
        <v>4.2299999999999997E-2</v>
      </c>
      <c r="DZ112" s="229">
        <v>7.7799999999999994E-2</v>
      </c>
      <c r="EA112" s="230">
        <v>15628000</v>
      </c>
      <c r="EB112" s="229">
        <v>6.3E-3</v>
      </c>
      <c r="EC112" s="229">
        <v>7.7799999999999994E-2</v>
      </c>
      <c r="ED112" s="228">
        <v>2.75</v>
      </c>
      <c r="EE112" s="229">
        <v>6.4000000000000003E-3</v>
      </c>
      <c r="EF112" s="230">
        <v>10146807</v>
      </c>
      <c r="EG112" s="230">
        <v>16844466</v>
      </c>
      <c r="EH112" s="229">
        <v>-0.39760000000000001</v>
      </c>
      <c r="EI112" s="229">
        <v>0.76970000000000005</v>
      </c>
      <c r="EJ112" s="231">
        <v>102380.42</v>
      </c>
      <c r="EK112" s="231">
        <v>73177.63</v>
      </c>
      <c r="EL112" s="231">
        <v>52163.09</v>
      </c>
      <c r="EM112" s="231">
        <v>13215</v>
      </c>
      <c r="EN112" s="231">
        <v>227721.14</v>
      </c>
      <c r="EO112" s="231">
        <v>338835.97</v>
      </c>
      <c r="EP112" s="231">
        <v>-111114.83</v>
      </c>
      <c r="EQ112" s="229">
        <v>-0.32790000000000002</v>
      </c>
      <c r="ER112" s="231">
        <v>160894</v>
      </c>
      <c r="ES112" s="231">
        <v>145446</v>
      </c>
      <c r="ET112" s="231">
        <v>868342</v>
      </c>
      <c r="EU112" s="231">
        <v>781025350</v>
      </c>
      <c r="EV112" s="231">
        <v>1174682</v>
      </c>
      <c r="EW112" s="231">
        <v>1192213</v>
      </c>
      <c r="EX112" s="231">
        <v>-17531</v>
      </c>
      <c r="EY112" s="229">
        <v>-1.47E-2</v>
      </c>
      <c r="EZ112" s="229">
        <v>0.35189999999999999</v>
      </c>
      <c r="FA112" s="227" t="s">
        <v>556</v>
      </c>
      <c r="FB112" s="161">
        <f t="shared" si="1"/>
        <v>15710000</v>
      </c>
    </row>
    <row r="113" spans="1:158" ht="17.25" hidden="1" thickBot="1" x14ac:dyDescent="0.3">
      <c r="A113" s="226">
        <v>46064</v>
      </c>
      <c r="B113" s="227" t="s">
        <v>221</v>
      </c>
      <c r="C113" s="227" t="s">
        <v>577</v>
      </c>
      <c r="D113" s="228">
        <v>425</v>
      </c>
      <c r="E113" s="228">
        <v>962</v>
      </c>
      <c r="F113" s="228">
        <v>977</v>
      </c>
      <c r="G113" s="228">
        <v>-15</v>
      </c>
      <c r="H113" s="229">
        <v>-1.54E-2</v>
      </c>
      <c r="I113" s="228">
        <v>959.4</v>
      </c>
      <c r="J113" s="228">
        <v>973.6</v>
      </c>
      <c r="K113" s="228">
        <v>-14.2</v>
      </c>
      <c r="L113" s="229">
        <v>-1.46E-2</v>
      </c>
      <c r="M113" s="228">
        <v>962</v>
      </c>
      <c r="N113" s="228">
        <v>977</v>
      </c>
      <c r="O113" s="228">
        <v>-15</v>
      </c>
      <c r="P113" s="229">
        <v>-1.54E-2</v>
      </c>
      <c r="Q113" s="228">
        <v>960.9</v>
      </c>
      <c r="R113" s="228">
        <v>975.4</v>
      </c>
      <c r="S113" s="228">
        <v>-14.5</v>
      </c>
      <c r="T113" s="229">
        <v>-1.49E-2</v>
      </c>
      <c r="U113" s="228">
        <v>962.6</v>
      </c>
      <c r="V113" s="228">
        <v>979</v>
      </c>
      <c r="W113" s="228">
        <v>-16.399999999999999</v>
      </c>
      <c r="X113" s="229">
        <v>-1.6799999999999999E-2</v>
      </c>
      <c r="Y113" s="228">
        <v>2.6</v>
      </c>
      <c r="Z113" s="228">
        <v>3.4</v>
      </c>
      <c r="AA113" s="228">
        <v>-0.8</v>
      </c>
      <c r="AB113" s="229">
        <v>2.7000000000000001E-3</v>
      </c>
      <c r="AC113" s="228">
        <v>2.6</v>
      </c>
      <c r="AD113" s="228">
        <v>3.4</v>
      </c>
      <c r="AE113" s="228">
        <v>-0.8</v>
      </c>
      <c r="AF113" s="229">
        <v>2.7000000000000001E-3</v>
      </c>
      <c r="AG113" s="228">
        <v>1.5</v>
      </c>
      <c r="AH113" s="228">
        <v>1.8</v>
      </c>
      <c r="AI113" s="228">
        <v>-0.3</v>
      </c>
      <c r="AJ113" s="229">
        <v>1.6000000000000001E-3</v>
      </c>
      <c r="AK113" s="228">
        <v>3.2</v>
      </c>
      <c r="AL113" s="228">
        <v>5.4</v>
      </c>
      <c r="AM113" s="228">
        <v>-2.2000000000000002</v>
      </c>
      <c r="AN113" s="229">
        <v>3.3E-3</v>
      </c>
      <c r="AO113" s="228">
        <v>967.38</v>
      </c>
      <c r="AP113" s="228">
        <v>964.01</v>
      </c>
      <c r="AQ113" s="228">
        <v>0</v>
      </c>
      <c r="AR113" s="230">
        <v>805800</v>
      </c>
      <c r="AS113" s="230">
        <v>1130075</v>
      </c>
      <c r="AT113" s="230">
        <v>-324275</v>
      </c>
      <c r="AU113" s="229">
        <v>-0.28689999999999999</v>
      </c>
      <c r="AV113" s="230">
        <v>699125</v>
      </c>
      <c r="AW113" s="230">
        <v>991950</v>
      </c>
      <c r="AX113" s="230">
        <v>-292825</v>
      </c>
      <c r="AY113" s="229">
        <v>-0.29520000000000002</v>
      </c>
      <c r="AZ113" s="230">
        <v>92225</v>
      </c>
      <c r="BA113" s="230">
        <v>123250</v>
      </c>
      <c r="BB113" s="230">
        <v>-31025</v>
      </c>
      <c r="BC113" s="229">
        <v>-0.25169999999999998</v>
      </c>
      <c r="BD113" s="230">
        <v>14450</v>
      </c>
      <c r="BE113" s="230">
        <v>14875</v>
      </c>
      <c r="BF113" s="228">
        <v>-425</v>
      </c>
      <c r="BG113" s="229">
        <v>-2.86E-2</v>
      </c>
      <c r="BH113" s="230">
        <v>2432700</v>
      </c>
      <c r="BI113" s="230">
        <v>6688225</v>
      </c>
      <c r="BJ113" s="230">
        <v>-4255525</v>
      </c>
      <c r="BK113" s="229">
        <v>-0.63629999999999998</v>
      </c>
      <c r="BL113" s="230">
        <v>641325</v>
      </c>
      <c r="BM113" s="230">
        <v>1148775</v>
      </c>
      <c r="BN113" s="230">
        <v>-507450</v>
      </c>
      <c r="BO113" s="229">
        <v>-0.44169999999999998</v>
      </c>
      <c r="BP113" s="230">
        <v>3879825</v>
      </c>
      <c r="BQ113" s="230">
        <v>8967075</v>
      </c>
      <c r="BR113" s="230">
        <v>-5087250</v>
      </c>
      <c r="BS113" s="229">
        <v>-0.56730000000000003</v>
      </c>
      <c r="BT113" s="230">
        <v>668465</v>
      </c>
      <c r="BU113" s="230">
        <v>1115287</v>
      </c>
      <c r="BV113" s="230">
        <v>-446822</v>
      </c>
      <c r="BW113" s="229">
        <v>-0.40060000000000001</v>
      </c>
      <c r="BX113" s="230">
        <v>4723875</v>
      </c>
      <c r="BY113" s="230">
        <v>4584900</v>
      </c>
      <c r="BZ113" s="230">
        <v>138975</v>
      </c>
      <c r="CA113" s="229">
        <v>3.0300000000000001E-2</v>
      </c>
      <c r="CB113" s="230">
        <v>4046425</v>
      </c>
      <c r="CC113" s="230">
        <v>3955475</v>
      </c>
      <c r="CD113" s="230">
        <v>90950</v>
      </c>
      <c r="CE113" s="229">
        <v>2.3E-2</v>
      </c>
      <c r="CF113" s="230">
        <v>562275</v>
      </c>
      <c r="CG113" s="230">
        <v>522325</v>
      </c>
      <c r="CH113" s="230">
        <v>39950</v>
      </c>
      <c r="CI113" s="229">
        <v>7.6499999999999999E-2</v>
      </c>
      <c r="CJ113" s="230">
        <v>115175</v>
      </c>
      <c r="CK113" s="230">
        <v>107100</v>
      </c>
      <c r="CL113" s="230">
        <v>8075</v>
      </c>
      <c r="CM113" s="229">
        <v>7.5399999999999995E-2</v>
      </c>
      <c r="CN113" s="230">
        <v>5842900</v>
      </c>
      <c r="CO113" s="230">
        <v>5746000</v>
      </c>
      <c r="CP113" s="230">
        <v>96900</v>
      </c>
      <c r="CQ113" s="229">
        <v>1.6899999999999998E-2</v>
      </c>
      <c r="CR113" s="230">
        <v>2395725</v>
      </c>
      <c r="CS113" s="230">
        <v>2258875</v>
      </c>
      <c r="CT113" s="230">
        <v>136850</v>
      </c>
      <c r="CU113" s="229">
        <v>6.0600000000000001E-2</v>
      </c>
      <c r="CV113" s="230">
        <v>12962500</v>
      </c>
      <c r="CW113" s="230">
        <v>12589775</v>
      </c>
      <c r="CX113" s="230">
        <v>372725</v>
      </c>
      <c r="CY113" s="229">
        <v>2.9600000000000001E-2</v>
      </c>
      <c r="CZ113" s="228">
        <v>41.81</v>
      </c>
      <c r="DA113" s="228">
        <v>39.590000000000003</v>
      </c>
      <c r="DB113" s="228">
        <v>2.2200000000000002</v>
      </c>
      <c r="DC113" s="228">
        <v>2.2200000000000002</v>
      </c>
      <c r="DD113" s="228">
        <v>42.52</v>
      </c>
      <c r="DE113" s="228">
        <v>42.58</v>
      </c>
      <c r="DF113" s="228">
        <v>-0.71</v>
      </c>
      <c r="DG113" s="228">
        <v>-0.06</v>
      </c>
      <c r="DH113" s="228">
        <v>42.45</v>
      </c>
      <c r="DI113" s="228">
        <v>39.78</v>
      </c>
      <c r="DJ113" s="228">
        <v>2.67</v>
      </c>
      <c r="DK113" s="228">
        <v>2.67</v>
      </c>
      <c r="DL113" s="228">
        <v>39.369999999999997</v>
      </c>
      <c r="DM113" s="228">
        <v>38.49</v>
      </c>
      <c r="DN113" s="228">
        <v>0.88</v>
      </c>
      <c r="DO113" s="228">
        <v>0.88</v>
      </c>
      <c r="DP113" s="228">
        <v>0.41</v>
      </c>
      <c r="DQ113" s="228">
        <v>0.39</v>
      </c>
      <c r="DR113" s="228">
        <v>0.02</v>
      </c>
      <c r="DS113" s="229">
        <v>5.1299999999999998E-2</v>
      </c>
      <c r="DT113" s="231">
        <v>1100</v>
      </c>
      <c r="DU113" s="231">
        <v>1000</v>
      </c>
      <c r="DV113" s="228">
        <v>0.26</v>
      </c>
      <c r="DW113" s="228">
        <v>0.17</v>
      </c>
      <c r="DX113" s="228">
        <v>0.09</v>
      </c>
      <c r="DY113" s="229">
        <v>0.52939999999999998</v>
      </c>
      <c r="DZ113" s="229">
        <v>0.1434</v>
      </c>
      <c r="EA113" s="230">
        <v>629425</v>
      </c>
      <c r="EB113" s="229">
        <v>-1.1000000000000001E-3</v>
      </c>
      <c r="EC113" s="229">
        <v>0.1434</v>
      </c>
      <c r="ED113" s="228">
        <v>-3.37</v>
      </c>
      <c r="EE113" s="229">
        <v>-3.5000000000000001E-3</v>
      </c>
      <c r="EF113" s="230">
        <v>334228</v>
      </c>
      <c r="EG113" s="230">
        <v>390673</v>
      </c>
      <c r="EH113" s="229">
        <v>-0.14449999999999999</v>
      </c>
      <c r="EI113" s="229">
        <v>0.5</v>
      </c>
      <c r="EJ113" s="231">
        <v>25603.33</v>
      </c>
      <c r="EK113" s="231">
        <v>6161.98</v>
      </c>
      <c r="EL113" s="231">
        <v>7791.99</v>
      </c>
      <c r="EM113" s="231">
        <v>2934</v>
      </c>
      <c r="EN113" s="231">
        <v>39557.300000000003</v>
      </c>
      <c r="EO113" s="231">
        <v>92491.1</v>
      </c>
      <c r="EP113" s="231">
        <v>-52933.8</v>
      </c>
      <c r="EQ113" s="229">
        <v>-0.57230000000000003</v>
      </c>
      <c r="ER113" s="231">
        <v>62880</v>
      </c>
      <c r="ES113" s="231">
        <v>24227</v>
      </c>
      <c r="ET113" s="231">
        <v>45438</v>
      </c>
      <c r="EU113" s="231">
        <v>24589408</v>
      </c>
      <c r="EV113" s="231">
        <v>132544</v>
      </c>
      <c r="EW113" s="231">
        <v>129693</v>
      </c>
      <c r="EX113" s="231">
        <v>2851</v>
      </c>
      <c r="EY113" s="229">
        <v>2.1999999999999999E-2</v>
      </c>
      <c r="EZ113" s="229">
        <v>0.5272</v>
      </c>
      <c r="FA113" s="227" t="s">
        <v>567</v>
      </c>
      <c r="FB113" s="161">
        <f t="shared" si="1"/>
        <v>677450</v>
      </c>
    </row>
    <row r="114" spans="1:158" ht="17.25" hidden="1" thickBot="1" x14ac:dyDescent="0.3">
      <c r="A114" s="226">
        <v>46064</v>
      </c>
      <c r="B114" s="227" t="s">
        <v>170</v>
      </c>
      <c r="C114" s="227" t="s">
        <v>535</v>
      </c>
      <c r="D114" s="228">
        <v>850</v>
      </c>
      <c r="E114" s="231">
        <v>1015.6</v>
      </c>
      <c r="F114" s="228">
        <v>969.65</v>
      </c>
      <c r="G114" s="228">
        <v>45.95</v>
      </c>
      <c r="H114" s="229">
        <v>4.7399999999999998E-2</v>
      </c>
      <c r="I114" s="231">
        <v>1013.65</v>
      </c>
      <c r="J114" s="228">
        <v>966.35</v>
      </c>
      <c r="K114" s="228">
        <v>47.3</v>
      </c>
      <c r="L114" s="229">
        <v>4.8899999999999999E-2</v>
      </c>
      <c r="M114" s="231">
        <v>1015.6</v>
      </c>
      <c r="N114" s="228">
        <v>969.65</v>
      </c>
      <c r="O114" s="228">
        <v>45.95</v>
      </c>
      <c r="P114" s="229">
        <v>4.7399999999999998E-2</v>
      </c>
      <c r="Q114" s="231">
        <v>1022.25</v>
      </c>
      <c r="R114" s="228">
        <v>975.6</v>
      </c>
      <c r="S114" s="228">
        <v>46.65</v>
      </c>
      <c r="T114" s="229">
        <v>4.7800000000000002E-2</v>
      </c>
      <c r="U114" s="231">
        <v>1027.95</v>
      </c>
      <c r="V114" s="228">
        <v>981.55</v>
      </c>
      <c r="W114" s="228">
        <v>46.4</v>
      </c>
      <c r="X114" s="229">
        <v>4.7300000000000002E-2</v>
      </c>
      <c r="Y114" s="228">
        <v>1.95</v>
      </c>
      <c r="Z114" s="228">
        <v>3.3</v>
      </c>
      <c r="AA114" s="228">
        <v>-1.35</v>
      </c>
      <c r="AB114" s="229">
        <v>1.9E-3</v>
      </c>
      <c r="AC114" s="228">
        <v>1.95</v>
      </c>
      <c r="AD114" s="228">
        <v>3.3</v>
      </c>
      <c r="AE114" s="228">
        <v>-1.35</v>
      </c>
      <c r="AF114" s="229">
        <v>1.9E-3</v>
      </c>
      <c r="AG114" s="228">
        <v>8.6</v>
      </c>
      <c r="AH114" s="228">
        <v>9.25</v>
      </c>
      <c r="AI114" s="228">
        <v>-0.65</v>
      </c>
      <c r="AJ114" s="229">
        <v>8.5000000000000006E-3</v>
      </c>
      <c r="AK114" s="228">
        <v>14.3</v>
      </c>
      <c r="AL114" s="228">
        <v>15.2</v>
      </c>
      <c r="AM114" s="228">
        <v>-0.9</v>
      </c>
      <c r="AN114" s="229">
        <v>1.41E-2</v>
      </c>
      <c r="AO114" s="228">
        <v>999.05</v>
      </c>
      <c r="AP114" s="231">
        <v>1004.96</v>
      </c>
      <c r="AQ114" s="228">
        <v>0</v>
      </c>
      <c r="AR114" s="230">
        <v>5365200</v>
      </c>
      <c r="AS114" s="230">
        <v>1983900</v>
      </c>
      <c r="AT114" s="230">
        <v>3381300</v>
      </c>
      <c r="AU114" s="229">
        <v>1.7043999999999999</v>
      </c>
      <c r="AV114" s="230">
        <v>4567050</v>
      </c>
      <c r="AW114" s="230">
        <v>1689800</v>
      </c>
      <c r="AX114" s="230">
        <v>2877250</v>
      </c>
      <c r="AY114" s="229">
        <v>1.7027000000000001</v>
      </c>
      <c r="AZ114" s="230">
        <v>727600</v>
      </c>
      <c r="BA114" s="230">
        <v>273700</v>
      </c>
      <c r="BB114" s="230">
        <v>453900</v>
      </c>
      <c r="BC114" s="229">
        <v>1.6584000000000001</v>
      </c>
      <c r="BD114" s="230">
        <v>70550</v>
      </c>
      <c r="BE114" s="230">
        <v>20400</v>
      </c>
      <c r="BF114" s="230">
        <v>50150</v>
      </c>
      <c r="BG114" s="229">
        <v>2.4582999999999999</v>
      </c>
      <c r="BH114" s="230">
        <v>28369600</v>
      </c>
      <c r="BI114" s="230">
        <v>5499500</v>
      </c>
      <c r="BJ114" s="230">
        <v>22870100</v>
      </c>
      <c r="BK114" s="229">
        <v>4.1585999999999999</v>
      </c>
      <c r="BL114" s="230">
        <v>8124300</v>
      </c>
      <c r="BM114" s="230">
        <v>2944400</v>
      </c>
      <c r="BN114" s="230">
        <v>5179900</v>
      </c>
      <c r="BO114" s="229">
        <v>1.7592000000000001</v>
      </c>
      <c r="BP114" s="230">
        <v>41859100</v>
      </c>
      <c r="BQ114" s="230">
        <v>10427800</v>
      </c>
      <c r="BR114" s="230">
        <v>31431300</v>
      </c>
      <c r="BS114" s="229">
        <v>3.0142000000000002</v>
      </c>
      <c r="BT114" s="230">
        <v>2335481</v>
      </c>
      <c r="BU114" s="230">
        <v>1222354</v>
      </c>
      <c r="BV114" s="230">
        <v>1113127</v>
      </c>
      <c r="BW114" s="229">
        <v>0.91059999999999997</v>
      </c>
      <c r="BX114" s="230">
        <v>20366000</v>
      </c>
      <c r="BY114" s="230">
        <v>19983500</v>
      </c>
      <c r="BZ114" s="230">
        <v>382500</v>
      </c>
      <c r="CA114" s="229">
        <v>1.9099999999999999E-2</v>
      </c>
      <c r="CB114" s="230">
        <v>19421650</v>
      </c>
      <c r="CC114" s="230">
        <v>19236350</v>
      </c>
      <c r="CD114" s="230">
        <v>185300</v>
      </c>
      <c r="CE114" s="229">
        <v>9.5999999999999992E-3</v>
      </c>
      <c r="CF114" s="230">
        <v>850000</v>
      </c>
      <c r="CG114" s="230">
        <v>671500</v>
      </c>
      <c r="CH114" s="230">
        <v>178500</v>
      </c>
      <c r="CI114" s="229">
        <v>0.26579999999999998</v>
      </c>
      <c r="CJ114" s="230">
        <v>94350</v>
      </c>
      <c r="CK114" s="230">
        <v>75650</v>
      </c>
      <c r="CL114" s="230">
        <v>18700</v>
      </c>
      <c r="CM114" s="229">
        <v>0.2472</v>
      </c>
      <c r="CN114" s="230">
        <v>12003700</v>
      </c>
      <c r="CO114" s="230">
        <v>11856650</v>
      </c>
      <c r="CP114" s="230">
        <v>147050</v>
      </c>
      <c r="CQ114" s="229">
        <v>1.24E-2</v>
      </c>
      <c r="CR114" s="230">
        <v>6081750</v>
      </c>
      <c r="CS114" s="230">
        <v>5754500</v>
      </c>
      <c r="CT114" s="230">
        <v>327250</v>
      </c>
      <c r="CU114" s="229">
        <v>5.6899999999999999E-2</v>
      </c>
      <c r="CV114" s="230">
        <v>38451450</v>
      </c>
      <c r="CW114" s="230">
        <v>37594650</v>
      </c>
      <c r="CX114" s="230">
        <v>856800</v>
      </c>
      <c r="CY114" s="229">
        <v>2.2800000000000001E-2</v>
      </c>
      <c r="CZ114" s="228">
        <v>34.43</v>
      </c>
      <c r="DA114" s="228">
        <v>33.74</v>
      </c>
      <c r="DB114" s="228">
        <v>0.69</v>
      </c>
      <c r="DC114" s="228">
        <v>0.69</v>
      </c>
      <c r="DD114" s="228">
        <v>38.82</v>
      </c>
      <c r="DE114" s="228">
        <v>38.380000000000003</v>
      </c>
      <c r="DF114" s="228">
        <v>-4.3899999999999997</v>
      </c>
      <c r="DG114" s="228">
        <v>0.44</v>
      </c>
      <c r="DH114" s="228">
        <v>34.42</v>
      </c>
      <c r="DI114" s="228">
        <v>34.5</v>
      </c>
      <c r="DJ114" s="228">
        <v>-0.08</v>
      </c>
      <c r="DK114" s="228">
        <v>-0.08</v>
      </c>
      <c r="DL114" s="228">
        <v>34.47</v>
      </c>
      <c r="DM114" s="228">
        <v>32.32</v>
      </c>
      <c r="DN114" s="228">
        <v>2.15</v>
      </c>
      <c r="DO114" s="228">
        <v>2.15</v>
      </c>
      <c r="DP114" s="228">
        <v>0.51</v>
      </c>
      <c r="DQ114" s="228">
        <v>0.49</v>
      </c>
      <c r="DR114" s="228">
        <v>0.02</v>
      </c>
      <c r="DS114" s="229">
        <v>4.0800000000000003E-2</v>
      </c>
      <c r="DT114" s="231">
        <v>1100</v>
      </c>
      <c r="DU114" s="228">
        <v>900</v>
      </c>
      <c r="DV114" s="228">
        <v>0.28999999999999998</v>
      </c>
      <c r="DW114" s="228">
        <v>0.54</v>
      </c>
      <c r="DX114" s="228">
        <v>-0.25</v>
      </c>
      <c r="DY114" s="229">
        <v>-0.46300000000000002</v>
      </c>
      <c r="DZ114" s="229">
        <v>4.6399999999999997E-2</v>
      </c>
      <c r="EA114" s="230">
        <v>747150</v>
      </c>
      <c r="EB114" s="229">
        <v>6.4999999999999997E-3</v>
      </c>
      <c r="EC114" s="229">
        <v>4.6399999999999997E-2</v>
      </c>
      <c r="ED114" s="228">
        <v>5.91</v>
      </c>
      <c r="EE114" s="229">
        <v>5.8999999999999999E-3</v>
      </c>
      <c r="EF114" s="230">
        <v>950690</v>
      </c>
      <c r="EG114" s="230">
        <v>689536</v>
      </c>
      <c r="EH114" s="229">
        <v>0.37869999999999998</v>
      </c>
      <c r="EI114" s="229">
        <v>0.40710000000000002</v>
      </c>
      <c r="EJ114" s="231">
        <v>299496.34999999998</v>
      </c>
      <c r="EK114" s="231">
        <v>78843.64</v>
      </c>
      <c r="EL114" s="231">
        <v>53653.24</v>
      </c>
      <c r="EM114" s="231">
        <v>2850</v>
      </c>
      <c r="EN114" s="231">
        <v>431993.23</v>
      </c>
      <c r="EO114" s="231">
        <v>105242.02</v>
      </c>
      <c r="EP114" s="231">
        <v>326751.21000000002</v>
      </c>
      <c r="EQ114" s="229">
        <v>3.1048</v>
      </c>
      <c r="ER114" s="231">
        <v>127709</v>
      </c>
      <c r="ES114" s="231">
        <v>58652</v>
      </c>
      <c r="ET114" s="231">
        <v>206905</v>
      </c>
      <c r="EU114" s="231">
        <v>58629477</v>
      </c>
      <c r="EV114" s="231">
        <v>393266</v>
      </c>
      <c r="EW114" s="231">
        <v>374679</v>
      </c>
      <c r="EX114" s="231">
        <v>18587</v>
      </c>
      <c r="EY114" s="229">
        <v>4.9599999999999998E-2</v>
      </c>
      <c r="EZ114" s="229">
        <v>0.65580000000000005</v>
      </c>
      <c r="FA114" s="227" t="s">
        <v>555</v>
      </c>
      <c r="FB114" s="161">
        <f t="shared" si="1"/>
        <v>944350</v>
      </c>
    </row>
    <row r="115" spans="1:158" ht="17.25" hidden="1" thickBot="1" x14ac:dyDescent="0.3">
      <c r="A115" s="226">
        <v>46064</v>
      </c>
      <c r="B115" s="227" t="s">
        <v>175</v>
      </c>
      <c r="C115" s="227" t="s">
        <v>248</v>
      </c>
      <c r="D115" s="228">
        <v>1000</v>
      </c>
      <c r="E115" s="228">
        <v>526</v>
      </c>
      <c r="F115" s="228">
        <v>523.95000000000005</v>
      </c>
      <c r="G115" s="228">
        <v>2.0499999999999998</v>
      </c>
      <c r="H115" s="229">
        <v>3.8999999999999998E-3</v>
      </c>
      <c r="I115" s="228">
        <v>525.54999999999995</v>
      </c>
      <c r="J115" s="228">
        <v>522.54999999999995</v>
      </c>
      <c r="K115" s="228">
        <v>3</v>
      </c>
      <c r="L115" s="229">
        <v>5.7000000000000002E-3</v>
      </c>
      <c r="M115" s="228">
        <v>526</v>
      </c>
      <c r="N115" s="228">
        <v>523.95000000000005</v>
      </c>
      <c r="O115" s="228">
        <v>2.0499999999999998</v>
      </c>
      <c r="P115" s="229">
        <v>3.8999999999999998E-3</v>
      </c>
      <c r="Q115" s="228">
        <v>529.20000000000005</v>
      </c>
      <c r="R115" s="228">
        <v>526.95000000000005</v>
      </c>
      <c r="S115" s="228">
        <v>2.25</v>
      </c>
      <c r="T115" s="229">
        <v>4.3E-3</v>
      </c>
      <c r="U115" s="228">
        <v>532.25</v>
      </c>
      <c r="V115" s="228">
        <v>530.9</v>
      </c>
      <c r="W115" s="228">
        <v>1.35</v>
      </c>
      <c r="X115" s="229">
        <v>2.5000000000000001E-3</v>
      </c>
      <c r="Y115" s="228">
        <v>0.45</v>
      </c>
      <c r="Z115" s="228">
        <v>1.4</v>
      </c>
      <c r="AA115" s="228">
        <v>-0.95</v>
      </c>
      <c r="AB115" s="229">
        <v>8.9999999999999998E-4</v>
      </c>
      <c r="AC115" s="228">
        <v>0.45</v>
      </c>
      <c r="AD115" s="228">
        <v>1.4</v>
      </c>
      <c r="AE115" s="228">
        <v>-0.95</v>
      </c>
      <c r="AF115" s="229">
        <v>8.9999999999999998E-4</v>
      </c>
      <c r="AG115" s="228">
        <v>3.65</v>
      </c>
      <c r="AH115" s="228">
        <v>4.4000000000000004</v>
      </c>
      <c r="AI115" s="228">
        <v>-0.75</v>
      </c>
      <c r="AJ115" s="229">
        <v>6.8999999999999999E-3</v>
      </c>
      <c r="AK115" s="228">
        <v>6.7</v>
      </c>
      <c r="AL115" s="228">
        <v>8.35</v>
      </c>
      <c r="AM115" s="228">
        <v>-1.65</v>
      </c>
      <c r="AN115" s="229">
        <v>1.2699999999999999E-2</v>
      </c>
      <c r="AO115" s="228">
        <v>523.05999999999995</v>
      </c>
      <c r="AP115" s="228">
        <v>525.77</v>
      </c>
      <c r="AQ115" s="228">
        <v>0</v>
      </c>
      <c r="AR115" s="230">
        <v>3334000</v>
      </c>
      <c r="AS115" s="230">
        <v>2295000</v>
      </c>
      <c r="AT115" s="230">
        <v>1039000</v>
      </c>
      <c r="AU115" s="229">
        <v>0.45269999999999999</v>
      </c>
      <c r="AV115" s="230">
        <v>2709000</v>
      </c>
      <c r="AW115" s="230">
        <v>2087000</v>
      </c>
      <c r="AX115" s="230">
        <v>622000</v>
      </c>
      <c r="AY115" s="229">
        <v>0.29799999999999999</v>
      </c>
      <c r="AZ115" s="230">
        <v>612000</v>
      </c>
      <c r="BA115" s="230">
        <v>201000</v>
      </c>
      <c r="BB115" s="230">
        <v>411000</v>
      </c>
      <c r="BC115" s="229">
        <v>2.0448</v>
      </c>
      <c r="BD115" s="230">
        <v>13000</v>
      </c>
      <c r="BE115" s="230">
        <v>7000</v>
      </c>
      <c r="BF115" s="230">
        <v>6000</v>
      </c>
      <c r="BG115" s="229">
        <v>0.85709999999999997</v>
      </c>
      <c r="BH115" s="230">
        <v>6557000</v>
      </c>
      <c r="BI115" s="230">
        <v>3699000</v>
      </c>
      <c r="BJ115" s="230">
        <v>2858000</v>
      </c>
      <c r="BK115" s="229">
        <v>0.77259999999999995</v>
      </c>
      <c r="BL115" s="230">
        <v>2531000</v>
      </c>
      <c r="BM115" s="230">
        <v>1317000</v>
      </c>
      <c r="BN115" s="230">
        <v>1214000</v>
      </c>
      <c r="BO115" s="229">
        <v>0.92179999999999995</v>
      </c>
      <c r="BP115" s="230">
        <v>12422000</v>
      </c>
      <c r="BQ115" s="230">
        <v>7311000</v>
      </c>
      <c r="BR115" s="230">
        <v>5111000</v>
      </c>
      <c r="BS115" s="229">
        <v>0.69910000000000005</v>
      </c>
      <c r="BT115" s="230">
        <v>1104704</v>
      </c>
      <c r="BU115" s="230">
        <v>969854</v>
      </c>
      <c r="BV115" s="230">
        <v>134850</v>
      </c>
      <c r="BW115" s="229">
        <v>0.13900000000000001</v>
      </c>
      <c r="BX115" s="230">
        <v>33840000</v>
      </c>
      <c r="BY115" s="230">
        <v>33967000</v>
      </c>
      <c r="BZ115" s="230">
        <v>-127000</v>
      </c>
      <c r="CA115" s="229">
        <v>-3.7000000000000002E-3</v>
      </c>
      <c r="CB115" s="230">
        <v>31929000</v>
      </c>
      <c r="CC115" s="230">
        <v>32364000</v>
      </c>
      <c r="CD115" s="230">
        <v>-435000</v>
      </c>
      <c r="CE115" s="229">
        <v>-1.34E-2</v>
      </c>
      <c r="CF115" s="230">
        <v>1827000</v>
      </c>
      <c r="CG115" s="230">
        <v>1519000</v>
      </c>
      <c r="CH115" s="230">
        <v>308000</v>
      </c>
      <c r="CI115" s="229">
        <v>0.20280000000000001</v>
      </c>
      <c r="CJ115" s="230">
        <v>84000</v>
      </c>
      <c r="CK115" s="230">
        <v>84000</v>
      </c>
      <c r="CL115" s="228">
        <v>0</v>
      </c>
      <c r="CM115" s="229">
        <v>0</v>
      </c>
      <c r="CN115" s="230">
        <v>10660000</v>
      </c>
      <c r="CO115" s="230">
        <v>10260000</v>
      </c>
      <c r="CP115" s="230">
        <v>400000</v>
      </c>
      <c r="CQ115" s="229">
        <v>3.9E-2</v>
      </c>
      <c r="CR115" s="230">
        <v>8303000</v>
      </c>
      <c r="CS115" s="230">
        <v>8149000</v>
      </c>
      <c r="CT115" s="230">
        <v>154000</v>
      </c>
      <c r="CU115" s="229">
        <v>1.89E-2</v>
      </c>
      <c r="CV115" s="230">
        <v>52803000</v>
      </c>
      <c r="CW115" s="230">
        <v>52376000</v>
      </c>
      <c r="CX115" s="230">
        <v>427000</v>
      </c>
      <c r="CY115" s="229">
        <v>8.2000000000000007E-3</v>
      </c>
      <c r="CZ115" s="228">
        <v>26.47</v>
      </c>
      <c r="DA115" s="228">
        <v>25.24</v>
      </c>
      <c r="DB115" s="228">
        <v>1.23</v>
      </c>
      <c r="DC115" s="228">
        <v>1.23</v>
      </c>
      <c r="DD115" s="228">
        <v>31.91</v>
      </c>
      <c r="DE115" s="228">
        <v>31.98</v>
      </c>
      <c r="DF115" s="228">
        <v>-5.44</v>
      </c>
      <c r="DG115" s="228">
        <v>-7.0000000000000007E-2</v>
      </c>
      <c r="DH115" s="228">
        <v>25.86</v>
      </c>
      <c r="DI115" s="228">
        <v>25.25</v>
      </c>
      <c r="DJ115" s="228">
        <v>0.61</v>
      </c>
      <c r="DK115" s="228">
        <v>0.61</v>
      </c>
      <c r="DL115" s="228">
        <v>28.02</v>
      </c>
      <c r="DM115" s="228">
        <v>25.23</v>
      </c>
      <c r="DN115" s="228">
        <v>2.79</v>
      </c>
      <c r="DO115" s="228">
        <v>2.79</v>
      </c>
      <c r="DP115" s="228">
        <v>0.78</v>
      </c>
      <c r="DQ115" s="228">
        <v>0.79</v>
      </c>
      <c r="DR115" s="228">
        <v>-0.01</v>
      </c>
      <c r="DS115" s="229">
        <v>-1.2699999999999999E-2</v>
      </c>
      <c r="DT115" s="228">
        <v>520</v>
      </c>
      <c r="DU115" s="228">
        <v>520</v>
      </c>
      <c r="DV115" s="228">
        <v>0.39</v>
      </c>
      <c r="DW115" s="228">
        <v>0.36</v>
      </c>
      <c r="DX115" s="228">
        <v>0.03</v>
      </c>
      <c r="DY115" s="229">
        <v>8.3299999999999999E-2</v>
      </c>
      <c r="DZ115" s="229">
        <v>5.6500000000000002E-2</v>
      </c>
      <c r="EA115" s="230">
        <v>1603000</v>
      </c>
      <c r="EB115" s="229">
        <v>6.1000000000000004E-3</v>
      </c>
      <c r="EC115" s="229">
        <v>5.6500000000000002E-2</v>
      </c>
      <c r="ED115" s="228">
        <v>2.71</v>
      </c>
      <c r="EE115" s="229">
        <v>5.1999999999999998E-3</v>
      </c>
      <c r="EF115" s="230">
        <v>642225</v>
      </c>
      <c r="EG115" s="230">
        <v>576788</v>
      </c>
      <c r="EH115" s="229">
        <v>0.1135</v>
      </c>
      <c r="EI115" s="229">
        <v>0.58140000000000003</v>
      </c>
      <c r="EJ115" s="231">
        <v>35388.43</v>
      </c>
      <c r="EK115" s="231">
        <v>12950.7</v>
      </c>
      <c r="EL115" s="231">
        <v>17456.38</v>
      </c>
      <c r="EM115" s="231">
        <v>3673</v>
      </c>
      <c r="EN115" s="231">
        <v>65795.509999999995</v>
      </c>
      <c r="EO115" s="231">
        <v>38978.949999999997</v>
      </c>
      <c r="EP115" s="231">
        <v>26816.560000000001</v>
      </c>
      <c r="EQ115" s="229">
        <v>0.68799999999999994</v>
      </c>
      <c r="ER115" s="231">
        <v>57166</v>
      </c>
      <c r="ES115" s="231">
        <v>43223</v>
      </c>
      <c r="ET115" s="231">
        <v>178062</v>
      </c>
      <c r="EU115" s="231">
        <v>45183075</v>
      </c>
      <c r="EV115" s="231">
        <v>278451</v>
      </c>
      <c r="EW115" s="231">
        <v>275475</v>
      </c>
      <c r="EX115" s="231">
        <v>2976</v>
      </c>
      <c r="EY115" s="229">
        <v>1.0800000000000001E-2</v>
      </c>
      <c r="EZ115" s="229">
        <v>1.1686000000000001</v>
      </c>
      <c r="FA115" s="227" t="s">
        <v>556</v>
      </c>
      <c r="FB115" s="161">
        <f t="shared" si="1"/>
        <v>1911000</v>
      </c>
    </row>
    <row r="116" spans="1:158" ht="17.25" hidden="1" thickBot="1" x14ac:dyDescent="0.3">
      <c r="A116" s="226">
        <v>46064</v>
      </c>
      <c r="B116" s="227" t="s">
        <v>175</v>
      </c>
      <c r="C116" s="227" t="s">
        <v>607</v>
      </c>
      <c r="D116" s="228">
        <v>700</v>
      </c>
      <c r="E116" s="228">
        <v>875.55</v>
      </c>
      <c r="F116" s="228">
        <v>892.45</v>
      </c>
      <c r="G116" s="228">
        <v>-16.899999999999999</v>
      </c>
      <c r="H116" s="229">
        <v>-1.89E-2</v>
      </c>
      <c r="I116" s="228">
        <v>875.3</v>
      </c>
      <c r="J116" s="228">
        <v>891.7</v>
      </c>
      <c r="K116" s="228">
        <v>-16.399999999999999</v>
      </c>
      <c r="L116" s="229">
        <v>-1.84E-2</v>
      </c>
      <c r="M116" s="228">
        <v>875.55</v>
      </c>
      <c r="N116" s="228">
        <v>892.45</v>
      </c>
      <c r="O116" s="228">
        <v>-16.899999999999999</v>
      </c>
      <c r="P116" s="229">
        <v>-1.89E-2</v>
      </c>
      <c r="Q116" s="228">
        <v>881.3</v>
      </c>
      <c r="R116" s="228">
        <v>897.75</v>
      </c>
      <c r="S116" s="228">
        <v>-16.45</v>
      </c>
      <c r="T116" s="229">
        <v>-1.83E-2</v>
      </c>
      <c r="U116" s="228">
        <v>886.05</v>
      </c>
      <c r="V116" s="228">
        <v>903.55</v>
      </c>
      <c r="W116" s="228">
        <v>-17.5</v>
      </c>
      <c r="X116" s="229">
        <v>-1.9400000000000001E-2</v>
      </c>
      <c r="Y116" s="228">
        <v>0.25</v>
      </c>
      <c r="Z116" s="228">
        <v>0.75</v>
      </c>
      <c r="AA116" s="228">
        <v>-0.5</v>
      </c>
      <c r="AB116" s="229">
        <v>2.9999999999999997E-4</v>
      </c>
      <c r="AC116" s="228">
        <v>0.25</v>
      </c>
      <c r="AD116" s="228">
        <v>0.75</v>
      </c>
      <c r="AE116" s="228">
        <v>-0.5</v>
      </c>
      <c r="AF116" s="229">
        <v>2.9999999999999997E-4</v>
      </c>
      <c r="AG116" s="228">
        <v>6</v>
      </c>
      <c r="AH116" s="228">
        <v>6.05</v>
      </c>
      <c r="AI116" s="228">
        <v>-0.05</v>
      </c>
      <c r="AJ116" s="229">
        <v>6.8999999999999999E-3</v>
      </c>
      <c r="AK116" s="228">
        <v>10.75</v>
      </c>
      <c r="AL116" s="228">
        <v>11.85</v>
      </c>
      <c r="AM116" s="228">
        <v>-1.1000000000000001</v>
      </c>
      <c r="AN116" s="229">
        <v>1.23E-2</v>
      </c>
      <c r="AO116" s="228">
        <v>874.32</v>
      </c>
      <c r="AP116" s="228">
        <v>878.8</v>
      </c>
      <c r="AQ116" s="228">
        <v>0</v>
      </c>
      <c r="AR116" s="230">
        <v>3962000</v>
      </c>
      <c r="AS116" s="230">
        <v>2124500</v>
      </c>
      <c r="AT116" s="230">
        <v>1837500</v>
      </c>
      <c r="AU116" s="229">
        <v>0.8649</v>
      </c>
      <c r="AV116" s="230">
        <v>3192700</v>
      </c>
      <c r="AW116" s="230">
        <v>1901200</v>
      </c>
      <c r="AX116" s="230">
        <v>1291500</v>
      </c>
      <c r="AY116" s="229">
        <v>0.67930000000000001</v>
      </c>
      <c r="AZ116" s="230">
        <v>648200</v>
      </c>
      <c r="BA116" s="230">
        <v>184800</v>
      </c>
      <c r="BB116" s="230">
        <v>463400</v>
      </c>
      <c r="BC116" s="229">
        <v>2.5076000000000001</v>
      </c>
      <c r="BD116" s="230">
        <v>121100</v>
      </c>
      <c r="BE116" s="230">
        <v>38500</v>
      </c>
      <c r="BF116" s="230">
        <v>82600</v>
      </c>
      <c r="BG116" s="229">
        <v>2.1455000000000002</v>
      </c>
      <c r="BH116" s="230">
        <v>16963100</v>
      </c>
      <c r="BI116" s="230">
        <v>9318400</v>
      </c>
      <c r="BJ116" s="230">
        <v>7644700</v>
      </c>
      <c r="BK116" s="229">
        <v>0.82040000000000002</v>
      </c>
      <c r="BL116" s="230">
        <v>10353000</v>
      </c>
      <c r="BM116" s="230">
        <v>5154100</v>
      </c>
      <c r="BN116" s="230">
        <v>5198900</v>
      </c>
      <c r="BO116" s="229">
        <v>1.0086999999999999</v>
      </c>
      <c r="BP116" s="230">
        <v>31278100</v>
      </c>
      <c r="BQ116" s="230">
        <v>16597000</v>
      </c>
      <c r="BR116" s="230">
        <v>14681100</v>
      </c>
      <c r="BS116" s="229">
        <v>0.88460000000000005</v>
      </c>
      <c r="BT116" s="230">
        <v>2175453</v>
      </c>
      <c r="BU116" s="230">
        <v>1143614</v>
      </c>
      <c r="BV116" s="230">
        <v>1031839</v>
      </c>
      <c r="BW116" s="229">
        <v>0.90229999999999999</v>
      </c>
      <c r="BX116" s="230">
        <v>12450900</v>
      </c>
      <c r="BY116" s="230">
        <v>11809000</v>
      </c>
      <c r="BZ116" s="230">
        <v>641900</v>
      </c>
      <c r="CA116" s="229">
        <v>5.4399999999999997E-2</v>
      </c>
      <c r="CB116" s="230">
        <v>11522700</v>
      </c>
      <c r="CC116" s="230">
        <v>11046000</v>
      </c>
      <c r="CD116" s="230">
        <v>476700</v>
      </c>
      <c r="CE116" s="229">
        <v>4.3200000000000002E-2</v>
      </c>
      <c r="CF116" s="230">
        <v>766500</v>
      </c>
      <c r="CG116" s="230">
        <v>618800</v>
      </c>
      <c r="CH116" s="230">
        <v>147700</v>
      </c>
      <c r="CI116" s="229">
        <v>0.2387</v>
      </c>
      <c r="CJ116" s="230">
        <v>161700</v>
      </c>
      <c r="CK116" s="230">
        <v>144200</v>
      </c>
      <c r="CL116" s="230">
        <v>17500</v>
      </c>
      <c r="CM116" s="229">
        <v>0.12139999999999999</v>
      </c>
      <c r="CN116" s="230">
        <v>12051900</v>
      </c>
      <c r="CO116" s="230">
        <v>11552800</v>
      </c>
      <c r="CP116" s="230">
        <v>499100</v>
      </c>
      <c r="CQ116" s="229">
        <v>4.3200000000000002E-2</v>
      </c>
      <c r="CR116" s="230">
        <v>5715500</v>
      </c>
      <c r="CS116" s="230">
        <v>6248900</v>
      </c>
      <c r="CT116" s="230">
        <v>-533400</v>
      </c>
      <c r="CU116" s="229">
        <v>-8.5400000000000004E-2</v>
      </c>
      <c r="CV116" s="230">
        <v>30218300</v>
      </c>
      <c r="CW116" s="230">
        <v>29610700</v>
      </c>
      <c r="CX116" s="230">
        <v>607600</v>
      </c>
      <c r="CY116" s="229">
        <v>2.0500000000000001E-2</v>
      </c>
      <c r="CZ116" s="228">
        <v>26.67</v>
      </c>
      <c r="DA116" s="228">
        <v>26.09</v>
      </c>
      <c r="DB116" s="228">
        <v>0.57999999999999996</v>
      </c>
      <c r="DC116" s="228">
        <v>0.57999999999999996</v>
      </c>
      <c r="DD116" s="228">
        <v>30.92</v>
      </c>
      <c r="DE116" s="228">
        <v>30.89</v>
      </c>
      <c r="DF116" s="228">
        <v>-4.25</v>
      </c>
      <c r="DG116" s="228">
        <v>0.03</v>
      </c>
      <c r="DH116" s="228">
        <v>27.64</v>
      </c>
      <c r="DI116" s="228">
        <v>26.39</v>
      </c>
      <c r="DJ116" s="228">
        <v>1.25</v>
      </c>
      <c r="DK116" s="228">
        <v>1.25</v>
      </c>
      <c r="DL116" s="228">
        <v>25.08</v>
      </c>
      <c r="DM116" s="228">
        <v>25.54</v>
      </c>
      <c r="DN116" s="228">
        <v>-0.46</v>
      </c>
      <c r="DO116" s="228">
        <v>-0.46</v>
      </c>
      <c r="DP116" s="228">
        <v>0.47</v>
      </c>
      <c r="DQ116" s="228">
        <v>0.54</v>
      </c>
      <c r="DR116" s="228">
        <v>-7.0000000000000007E-2</v>
      </c>
      <c r="DS116" s="229">
        <v>-0.12959999999999999</v>
      </c>
      <c r="DT116" s="231">
        <v>1000</v>
      </c>
      <c r="DU116" s="228">
        <v>850</v>
      </c>
      <c r="DV116" s="228">
        <v>0.61</v>
      </c>
      <c r="DW116" s="228">
        <v>0.55000000000000004</v>
      </c>
      <c r="DX116" s="228">
        <v>0.06</v>
      </c>
      <c r="DY116" s="229">
        <v>0.1091</v>
      </c>
      <c r="DZ116" s="229">
        <v>7.4499999999999997E-2</v>
      </c>
      <c r="EA116" s="230">
        <v>763000</v>
      </c>
      <c r="EB116" s="229">
        <v>6.6E-3</v>
      </c>
      <c r="EC116" s="229">
        <v>7.4499999999999997E-2</v>
      </c>
      <c r="ED116" s="228">
        <v>4.4800000000000004</v>
      </c>
      <c r="EE116" s="229">
        <v>5.1000000000000004E-3</v>
      </c>
      <c r="EF116" s="230">
        <v>761493</v>
      </c>
      <c r="EG116" s="230">
        <v>503418</v>
      </c>
      <c r="EH116" s="229">
        <v>0.51259999999999994</v>
      </c>
      <c r="EI116" s="229">
        <v>0.35</v>
      </c>
      <c r="EJ116" s="231">
        <v>155474.74</v>
      </c>
      <c r="EK116" s="231">
        <v>90898.73</v>
      </c>
      <c r="EL116" s="231">
        <v>34680.99</v>
      </c>
      <c r="EM116" s="231">
        <v>6026</v>
      </c>
      <c r="EN116" s="231">
        <v>281054.46000000002</v>
      </c>
      <c r="EO116" s="231">
        <v>151128.57</v>
      </c>
      <c r="EP116" s="231">
        <v>129925.89</v>
      </c>
      <c r="EQ116" s="229">
        <v>0.85970000000000002</v>
      </c>
      <c r="ER116" s="231">
        <v>111959</v>
      </c>
      <c r="ES116" s="231">
        <v>48030</v>
      </c>
      <c r="ET116" s="231">
        <v>109075</v>
      </c>
      <c r="EU116" s="231">
        <v>33206238</v>
      </c>
      <c r="EV116" s="231">
        <v>269065</v>
      </c>
      <c r="EW116" s="231">
        <v>265400</v>
      </c>
      <c r="EX116" s="231">
        <v>3665</v>
      </c>
      <c r="EY116" s="229">
        <v>1.38E-2</v>
      </c>
      <c r="EZ116" s="229">
        <v>0.91</v>
      </c>
      <c r="FA116" s="227" t="s">
        <v>567</v>
      </c>
      <c r="FB116" s="161">
        <f t="shared" si="1"/>
        <v>928200</v>
      </c>
    </row>
    <row r="117" spans="1:158" ht="17.25" hidden="1" thickBot="1" x14ac:dyDescent="0.3">
      <c r="A117" s="226">
        <v>46064</v>
      </c>
      <c r="B117" s="227" t="s">
        <v>206</v>
      </c>
      <c r="C117" s="227" t="s">
        <v>588</v>
      </c>
      <c r="D117" s="228">
        <v>450</v>
      </c>
      <c r="E117" s="231">
        <v>1095.5</v>
      </c>
      <c r="F117" s="231">
        <v>1095.4000000000001</v>
      </c>
      <c r="G117" s="228">
        <v>0.1</v>
      </c>
      <c r="H117" s="229">
        <v>1E-4</v>
      </c>
      <c r="I117" s="231">
        <v>1094.9000000000001</v>
      </c>
      <c r="J117" s="231">
        <v>1095.05</v>
      </c>
      <c r="K117" s="228">
        <v>-0.15</v>
      </c>
      <c r="L117" s="229">
        <v>-1E-4</v>
      </c>
      <c r="M117" s="231">
        <v>1095.5</v>
      </c>
      <c r="N117" s="231">
        <v>1095.4000000000001</v>
      </c>
      <c r="O117" s="228">
        <v>0.1</v>
      </c>
      <c r="P117" s="229">
        <v>1E-4</v>
      </c>
      <c r="Q117" s="231">
        <v>1099.8</v>
      </c>
      <c r="R117" s="231">
        <v>1100.45</v>
      </c>
      <c r="S117" s="228">
        <v>-0.65</v>
      </c>
      <c r="T117" s="229">
        <v>-5.9999999999999995E-4</v>
      </c>
      <c r="U117" s="231">
        <v>1106.8</v>
      </c>
      <c r="V117" s="231">
        <v>1106</v>
      </c>
      <c r="W117" s="228">
        <v>0.8</v>
      </c>
      <c r="X117" s="229">
        <v>6.9999999999999999E-4</v>
      </c>
      <c r="Y117" s="228">
        <v>0.6</v>
      </c>
      <c r="Z117" s="228">
        <v>0.35</v>
      </c>
      <c r="AA117" s="228">
        <v>0.25</v>
      </c>
      <c r="AB117" s="229">
        <v>5.0000000000000001E-4</v>
      </c>
      <c r="AC117" s="228">
        <v>0.6</v>
      </c>
      <c r="AD117" s="228">
        <v>0.35</v>
      </c>
      <c r="AE117" s="228">
        <v>0.25</v>
      </c>
      <c r="AF117" s="229">
        <v>5.0000000000000001E-4</v>
      </c>
      <c r="AG117" s="228">
        <v>4.9000000000000004</v>
      </c>
      <c r="AH117" s="228">
        <v>5.4</v>
      </c>
      <c r="AI117" s="228">
        <v>-0.5</v>
      </c>
      <c r="AJ117" s="229">
        <v>4.4999999999999997E-3</v>
      </c>
      <c r="AK117" s="228">
        <v>11.9</v>
      </c>
      <c r="AL117" s="228">
        <v>10.95</v>
      </c>
      <c r="AM117" s="228">
        <v>0.95</v>
      </c>
      <c r="AN117" s="229">
        <v>1.09E-2</v>
      </c>
      <c r="AO117" s="231">
        <v>1090.8699999999999</v>
      </c>
      <c r="AP117" s="231">
        <v>1095.51</v>
      </c>
      <c r="AQ117" s="228">
        <v>0</v>
      </c>
      <c r="AR117" s="230">
        <v>976500</v>
      </c>
      <c r="AS117" s="230">
        <v>1560150</v>
      </c>
      <c r="AT117" s="230">
        <v>-583650</v>
      </c>
      <c r="AU117" s="229">
        <v>-0.37409999999999999</v>
      </c>
      <c r="AV117" s="230">
        <v>905400</v>
      </c>
      <c r="AW117" s="230">
        <v>1313100</v>
      </c>
      <c r="AX117" s="230">
        <v>-407700</v>
      </c>
      <c r="AY117" s="229">
        <v>-0.3105</v>
      </c>
      <c r="AZ117" s="230">
        <v>63450</v>
      </c>
      <c r="BA117" s="230">
        <v>235350</v>
      </c>
      <c r="BB117" s="230">
        <v>-171900</v>
      </c>
      <c r="BC117" s="229">
        <v>-0.73040000000000005</v>
      </c>
      <c r="BD117" s="230">
        <v>7650</v>
      </c>
      <c r="BE117" s="230">
        <v>11700</v>
      </c>
      <c r="BF117" s="230">
        <v>-4050</v>
      </c>
      <c r="BG117" s="229">
        <v>-0.34620000000000001</v>
      </c>
      <c r="BH117" s="230">
        <v>1678050</v>
      </c>
      <c r="BI117" s="230">
        <v>4021650</v>
      </c>
      <c r="BJ117" s="230">
        <v>-2343600</v>
      </c>
      <c r="BK117" s="229">
        <v>-0.5827</v>
      </c>
      <c r="BL117" s="230">
        <v>1302750</v>
      </c>
      <c r="BM117" s="230">
        <v>2327850</v>
      </c>
      <c r="BN117" s="230">
        <v>-1025100</v>
      </c>
      <c r="BO117" s="229">
        <v>-0.44040000000000001</v>
      </c>
      <c r="BP117" s="230">
        <v>3957300</v>
      </c>
      <c r="BQ117" s="230">
        <v>7909650</v>
      </c>
      <c r="BR117" s="230">
        <v>-3952350</v>
      </c>
      <c r="BS117" s="229">
        <v>-0.49969999999999998</v>
      </c>
      <c r="BT117" s="230">
        <v>524088</v>
      </c>
      <c r="BU117" s="230">
        <v>1065599</v>
      </c>
      <c r="BV117" s="230">
        <v>-541511</v>
      </c>
      <c r="BW117" s="229">
        <v>-0.50819999999999999</v>
      </c>
      <c r="BX117" s="230">
        <v>8891550</v>
      </c>
      <c r="BY117" s="230">
        <v>8941500</v>
      </c>
      <c r="BZ117" s="230">
        <v>-49950</v>
      </c>
      <c r="CA117" s="229">
        <v>-5.5999999999999999E-3</v>
      </c>
      <c r="CB117" s="230">
        <v>8559000</v>
      </c>
      <c r="CC117" s="230">
        <v>8627400</v>
      </c>
      <c r="CD117" s="230">
        <v>-68400</v>
      </c>
      <c r="CE117" s="229">
        <v>-7.9000000000000008E-3</v>
      </c>
      <c r="CF117" s="230">
        <v>307350</v>
      </c>
      <c r="CG117" s="230">
        <v>288000</v>
      </c>
      <c r="CH117" s="230">
        <v>19350</v>
      </c>
      <c r="CI117" s="229">
        <v>6.7199999999999996E-2</v>
      </c>
      <c r="CJ117" s="230">
        <v>25200</v>
      </c>
      <c r="CK117" s="230">
        <v>26100</v>
      </c>
      <c r="CL117" s="228">
        <v>-900</v>
      </c>
      <c r="CM117" s="229">
        <v>-3.4500000000000003E-2</v>
      </c>
      <c r="CN117" s="230">
        <v>2962800</v>
      </c>
      <c r="CO117" s="230">
        <v>2874600</v>
      </c>
      <c r="CP117" s="230">
        <v>88200</v>
      </c>
      <c r="CQ117" s="229">
        <v>3.0700000000000002E-2</v>
      </c>
      <c r="CR117" s="230">
        <v>3069900</v>
      </c>
      <c r="CS117" s="230">
        <v>3139200</v>
      </c>
      <c r="CT117" s="230">
        <v>-69300</v>
      </c>
      <c r="CU117" s="229">
        <v>-2.2100000000000002E-2</v>
      </c>
      <c r="CV117" s="230">
        <v>14924250</v>
      </c>
      <c r="CW117" s="230">
        <v>14955300</v>
      </c>
      <c r="CX117" s="230">
        <v>-31050</v>
      </c>
      <c r="CY117" s="229">
        <v>-2.0999999999999999E-3</v>
      </c>
      <c r="CZ117" s="228">
        <v>32.43</v>
      </c>
      <c r="DA117" s="228">
        <v>32.020000000000003</v>
      </c>
      <c r="DB117" s="228">
        <v>0.41</v>
      </c>
      <c r="DC117" s="228">
        <v>0.41</v>
      </c>
      <c r="DD117" s="228">
        <v>45.24</v>
      </c>
      <c r="DE117" s="228">
        <v>45.35</v>
      </c>
      <c r="DF117" s="228">
        <v>-12.81</v>
      </c>
      <c r="DG117" s="228">
        <v>-0.11</v>
      </c>
      <c r="DH117" s="228">
        <v>30.03</v>
      </c>
      <c r="DI117" s="228">
        <v>30.7</v>
      </c>
      <c r="DJ117" s="228">
        <v>-0.67</v>
      </c>
      <c r="DK117" s="228">
        <v>-0.67</v>
      </c>
      <c r="DL117" s="228">
        <v>35.51</v>
      </c>
      <c r="DM117" s="228">
        <v>34.299999999999997</v>
      </c>
      <c r="DN117" s="228">
        <v>1.21</v>
      </c>
      <c r="DO117" s="228">
        <v>1.21</v>
      </c>
      <c r="DP117" s="228">
        <v>1.04</v>
      </c>
      <c r="DQ117" s="228">
        <v>1.0900000000000001</v>
      </c>
      <c r="DR117" s="228">
        <v>-0.05</v>
      </c>
      <c r="DS117" s="229">
        <v>-4.5900000000000003E-2</v>
      </c>
      <c r="DT117" s="231">
        <v>1140</v>
      </c>
      <c r="DU117" s="231">
        <v>1020</v>
      </c>
      <c r="DV117" s="228">
        <v>0.78</v>
      </c>
      <c r="DW117" s="228">
        <v>0.57999999999999996</v>
      </c>
      <c r="DX117" s="228">
        <v>0.2</v>
      </c>
      <c r="DY117" s="229">
        <v>0.3448</v>
      </c>
      <c r="DZ117" s="229">
        <v>3.7400000000000003E-2</v>
      </c>
      <c r="EA117" s="230">
        <v>314100</v>
      </c>
      <c r="EB117" s="229">
        <v>3.8999999999999998E-3</v>
      </c>
      <c r="EC117" s="229">
        <v>3.7400000000000003E-2</v>
      </c>
      <c r="ED117" s="228">
        <v>4.6399999999999997</v>
      </c>
      <c r="EE117" s="229">
        <v>4.3E-3</v>
      </c>
      <c r="EF117" s="230">
        <v>244418</v>
      </c>
      <c r="EG117" s="230">
        <v>458724</v>
      </c>
      <c r="EH117" s="229">
        <v>-0.4672</v>
      </c>
      <c r="EI117" s="229">
        <v>0.46639999999999998</v>
      </c>
      <c r="EJ117" s="231">
        <v>19000.46</v>
      </c>
      <c r="EK117" s="231">
        <v>13495.67</v>
      </c>
      <c r="EL117" s="231">
        <v>10655.88</v>
      </c>
      <c r="EM117" s="231">
        <v>3652</v>
      </c>
      <c r="EN117" s="231">
        <v>43152.01</v>
      </c>
      <c r="EO117" s="231">
        <v>87111.08</v>
      </c>
      <c r="EP117" s="231">
        <v>-43959.07</v>
      </c>
      <c r="EQ117" s="229">
        <v>-0.50460000000000005</v>
      </c>
      <c r="ER117" s="231">
        <v>31516</v>
      </c>
      <c r="ES117" s="231">
        <v>29957</v>
      </c>
      <c r="ET117" s="231">
        <v>97423</v>
      </c>
      <c r="EU117" s="231">
        <v>42126960</v>
      </c>
      <c r="EV117" s="231">
        <v>158896</v>
      </c>
      <c r="EW117" s="231">
        <v>159019</v>
      </c>
      <c r="EX117" s="228">
        <v>-123</v>
      </c>
      <c r="EY117" s="229">
        <v>-8.0000000000000004E-4</v>
      </c>
      <c r="EZ117" s="229">
        <v>0.3543</v>
      </c>
      <c r="FA117" s="227" t="s">
        <v>556</v>
      </c>
      <c r="FB117" s="161">
        <f t="shared" si="1"/>
        <v>332550</v>
      </c>
    </row>
    <row r="118" spans="1:158" ht="17.25" hidden="1" thickBot="1" x14ac:dyDescent="0.3">
      <c r="A118" s="226">
        <v>46064</v>
      </c>
      <c r="B118" s="227" t="s">
        <v>184</v>
      </c>
      <c r="C118" s="227" t="s">
        <v>249</v>
      </c>
      <c r="D118" s="228">
        <v>175</v>
      </c>
      <c r="E118" s="231">
        <v>4170.8999999999996</v>
      </c>
      <c r="F118" s="231">
        <v>4169.8999999999996</v>
      </c>
      <c r="G118" s="228">
        <v>1</v>
      </c>
      <c r="H118" s="229">
        <v>2.0000000000000001E-4</v>
      </c>
      <c r="I118" s="231">
        <v>4170.3999999999996</v>
      </c>
      <c r="J118" s="231">
        <v>4169</v>
      </c>
      <c r="K118" s="228">
        <v>1.4</v>
      </c>
      <c r="L118" s="229">
        <v>2.9999999999999997E-4</v>
      </c>
      <c r="M118" s="231">
        <v>4170.8999999999996</v>
      </c>
      <c r="N118" s="231">
        <v>4169.8999999999996</v>
      </c>
      <c r="O118" s="228">
        <v>1</v>
      </c>
      <c r="P118" s="229">
        <v>2.0000000000000001E-4</v>
      </c>
      <c r="Q118" s="231">
        <v>4197.2</v>
      </c>
      <c r="R118" s="231">
        <v>4195</v>
      </c>
      <c r="S118" s="228">
        <v>2.2000000000000002</v>
      </c>
      <c r="T118" s="229">
        <v>5.0000000000000001E-4</v>
      </c>
      <c r="U118" s="231">
        <v>4223.8</v>
      </c>
      <c r="V118" s="231">
        <v>4224</v>
      </c>
      <c r="W118" s="228">
        <v>-0.2</v>
      </c>
      <c r="X118" s="229">
        <v>0</v>
      </c>
      <c r="Y118" s="228">
        <v>0.5</v>
      </c>
      <c r="Z118" s="228">
        <v>0.9</v>
      </c>
      <c r="AA118" s="228">
        <v>-0.4</v>
      </c>
      <c r="AB118" s="229">
        <v>1E-4</v>
      </c>
      <c r="AC118" s="228">
        <v>0.5</v>
      </c>
      <c r="AD118" s="228">
        <v>0.9</v>
      </c>
      <c r="AE118" s="228">
        <v>-0.4</v>
      </c>
      <c r="AF118" s="229">
        <v>1E-4</v>
      </c>
      <c r="AG118" s="228">
        <v>26.8</v>
      </c>
      <c r="AH118" s="228">
        <v>26</v>
      </c>
      <c r="AI118" s="228">
        <v>0.8</v>
      </c>
      <c r="AJ118" s="229">
        <v>6.4000000000000003E-3</v>
      </c>
      <c r="AK118" s="228">
        <v>53.4</v>
      </c>
      <c r="AL118" s="228">
        <v>55</v>
      </c>
      <c r="AM118" s="228">
        <v>-1.6</v>
      </c>
      <c r="AN118" s="229">
        <v>1.2800000000000001E-2</v>
      </c>
      <c r="AO118" s="231">
        <v>4167.1000000000004</v>
      </c>
      <c r="AP118" s="231">
        <v>4192.3599999999997</v>
      </c>
      <c r="AQ118" s="228">
        <v>0</v>
      </c>
      <c r="AR118" s="230">
        <v>1329475</v>
      </c>
      <c r="AS118" s="230">
        <v>1499400</v>
      </c>
      <c r="AT118" s="230">
        <v>-169925</v>
      </c>
      <c r="AU118" s="229">
        <v>-0.1133</v>
      </c>
      <c r="AV118" s="230">
        <v>1238125</v>
      </c>
      <c r="AW118" s="230">
        <v>1372000</v>
      </c>
      <c r="AX118" s="230">
        <v>-133875</v>
      </c>
      <c r="AY118" s="229">
        <v>-9.7600000000000006E-2</v>
      </c>
      <c r="AZ118" s="230">
        <v>75250</v>
      </c>
      <c r="BA118" s="230">
        <v>102025</v>
      </c>
      <c r="BB118" s="230">
        <v>-26775</v>
      </c>
      <c r="BC118" s="229">
        <v>-0.26240000000000002</v>
      </c>
      <c r="BD118" s="230">
        <v>16100</v>
      </c>
      <c r="BE118" s="230">
        <v>25375</v>
      </c>
      <c r="BF118" s="230">
        <v>-9275</v>
      </c>
      <c r="BG118" s="229">
        <v>-0.36549999999999999</v>
      </c>
      <c r="BH118" s="230">
        <v>6109950</v>
      </c>
      <c r="BI118" s="230">
        <v>8727950</v>
      </c>
      <c r="BJ118" s="230">
        <v>-2618000</v>
      </c>
      <c r="BK118" s="229">
        <v>-0.3</v>
      </c>
      <c r="BL118" s="230">
        <v>7899500</v>
      </c>
      <c r="BM118" s="230">
        <v>5775875</v>
      </c>
      <c r="BN118" s="230">
        <v>2123625</v>
      </c>
      <c r="BO118" s="229">
        <v>0.36770000000000003</v>
      </c>
      <c r="BP118" s="230">
        <v>15338925</v>
      </c>
      <c r="BQ118" s="230">
        <v>16003225</v>
      </c>
      <c r="BR118" s="230">
        <v>-664300</v>
      </c>
      <c r="BS118" s="229">
        <v>-4.1500000000000002E-2</v>
      </c>
      <c r="BT118" s="230">
        <v>2512915</v>
      </c>
      <c r="BU118" s="230">
        <v>2010143</v>
      </c>
      <c r="BV118" s="230">
        <v>502772</v>
      </c>
      <c r="BW118" s="229">
        <v>0.25009999999999999</v>
      </c>
      <c r="BX118" s="230">
        <v>15129275</v>
      </c>
      <c r="BY118" s="230">
        <v>15031800</v>
      </c>
      <c r="BZ118" s="230">
        <v>97475</v>
      </c>
      <c r="CA118" s="229">
        <v>6.4999999999999997E-3</v>
      </c>
      <c r="CB118" s="230">
        <v>13720525</v>
      </c>
      <c r="CC118" s="230">
        <v>13642125</v>
      </c>
      <c r="CD118" s="230">
        <v>78400</v>
      </c>
      <c r="CE118" s="229">
        <v>5.7000000000000002E-3</v>
      </c>
      <c r="CF118" s="230">
        <v>1338925</v>
      </c>
      <c r="CG118" s="230">
        <v>1321600</v>
      </c>
      <c r="CH118" s="230">
        <v>17325</v>
      </c>
      <c r="CI118" s="229">
        <v>1.3100000000000001E-2</v>
      </c>
      <c r="CJ118" s="230">
        <v>69825</v>
      </c>
      <c r="CK118" s="230">
        <v>68075</v>
      </c>
      <c r="CL118" s="230">
        <v>1750</v>
      </c>
      <c r="CM118" s="229">
        <v>2.5700000000000001E-2</v>
      </c>
      <c r="CN118" s="230">
        <v>8380050</v>
      </c>
      <c r="CO118" s="230">
        <v>8082025</v>
      </c>
      <c r="CP118" s="230">
        <v>298025</v>
      </c>
      <c r="CQ118" s="229">
        <v>3.6900000000000002E-2</v>
      </c>
      <c r="CR118" s="230">
        <v>6931050</v>
      </c>
      <c r="CS118" s="230">
        <v>6860350</v>
      </c>
      <c r="CT118" s="230">
        <v>70700</v>
      </c>
      <c r="CU118" s="229">
        <v>1.03E-2</v>
      </c>
      <c r="CV118" s="230">
        <v>30440375</v>
      </c>
      <c r="CW118" s="230">
        <v>29974175</v>
      </c>
      <c r="CX118" s="230">
        <v>466200</v>
      </c>
      <c r="CY118" s="229">
        <v>1.5599999999999999E-2</v>
      </c>
      <c r="CZ118" s="228">
        <v>16.739999999999998</v>
      </c>
      <c r="DA118" s="228">
        <v>16.55</v>
      </c>
      <c r="DB118" s="228">
        <v>0.19</v>
      </c>
      <c r="DC118" s="228">
        <v>0.19</v>
      </c>
      <c r="DD118" s="228">
        <v>26.36</v>
      </c>
      <c r="DE118" s="228">
        <v>26.42</v>
      </c>
      <c r="DF118" s="228">
        <v>-9.6199999999999992</v>
      </c>
      <c r="DG118" s="228">
        <v>-0.06</v>
      </c>
      <c r="DH118" s="228">
        <v>15.98</v>
      </c>
      <c r="DI118" s="228">
        <v>15.39</v>
      </c>
      <c r="DJ118" s="228">
        <v>0.59</v>
      </c>
      <c r="DK118" s="228">
        <v>0.59</v>
      </c>
      <c r="DL118" s="228">
        <v>17.34</v>
      </c>
      <c r="DM118" s="228">
        <v>18.3</v>
      </c>
      <c r="DN118" s="228">
        <v>-0.96</v>
      </c>
      <c r="DO118" s="228">
        <v>-0.96</v>
      </c>
      <c r="DP118" s="228">
        <v>0.83</v>
      </c>
      <c r="DQ118" s="228">
        <v>0.85</v>
      </c>
      <c r="DR118" s="228">
        <v>-0.02</v>
      </c>
      <c r="DS118" s="229">
        <v>-2.35E-2</v>
      </c>
      <c r="DT118" s="231">
        <v>4100</v>
      </c>
      <c r="DU118" s="231">
        <v>4100</v>
      </c>
      <c r="DV118" s="228">
        <v>1.29</v>
      </c>
      <c r="DW118" s="228">
        <v>0.66</v>
      </c>
      <c r="DX118" s="228">
        <v>0.63</v>
      </c>
      <c r="DY118" s="229">
        <v>0.95450000000000002</v>
      </c>
      <c r="DZ118" s="229">
        <v>9.3100000000000002E-2</v>
      </c>
      <c r="EA118" s="230">
        <v>1389675</v>
      </c>
      <c r="EB118" s="229">
        <v>6.3E-3</v>
      </c>
      <c r="EC118" s="229">
        <v>9.3100000000000002E-2</v>
      </c>
      <c r="ED118" s="228">
        <v>25.26</v>
      </c>
      <c r="EE118" s="229">
        <v>6.1000000000000004E-3</v>
      </c>
      <c r="EF118" s="230">
        <v>2044060</v>
      </c>
      <c r="EG118" s="230">
        <v>1145311</v>
      </c>
      <c r="EH118" s="229">
        <v>0.78469999999999995</v>
      </c>
      <c r="EI118" s="229">
        <v>0.81340000000000001</v>
      </c>
      <c r="EJ118" s="231">
        <v>259401.11</v>
      </c>
      <c r="EK118" s="231">
        <v>323660.06</v>
      </c>
      <c r="EL118" s="231">
        <v>55427.48</v>
      </c>
      <c r="EM118" s="231">
        <v>8350</v>
      </c>
      <c r="EN118" s="231">
        <v>638488.65</v>
      </c>
      <c r="EO118" s="231">
        <v>666505.39</v>
      </c>
      <c r="EP118" s="231">
        <v>-28016.74</v>
      </c>
      <c r="EQ118" s="229">
        <v>-4.2000000000000003E-2</v>
      </c>
      <c r="ER118" s="231">
        <v>344063</v>
      </c>
      <c r="ES118" s="231">
        <v>273091</v>
      </c>
      <c r="ET118" s="231">
        <v>631416</v>
      </c>
      <c r="EU118" s="231">
        <v>136109374</v>
      </c>
      <c r="EV118" s="231">
        <v>1248570</v>
      </c>
      <c r="EW118" s="231">
        <v>1228224</v>
      </c>
      <c r="EX118" s="231">
        <v>20346</v>
      </c>
      <c r="EY118" s="229">
        <v>1.66E-2</v>
      </c>
      <c r="EZ118" s="229">
        <v>0.22359999999999999</v>
      </c>
      <c r="FA118" s="227" t="s">
        <v>555</v>
      </c>
      <c r="FB118" s="161">
        <f t="shared" si="1"/>
        <v>1408750</v>
      </c>
    </row>
    <row r="119" spans="1:158" ht="17.25" hidden="1" thickBot="1" x14ac:dyDescent="0.3">
      <c r="A119" s="226">
        <v>46064</v>
      </c>
      <c r="B119" s="227" t="s">
        <v>175</v>
      </c>
      <c r="C119" s="227" t="s">
        <v>565</v>
      </c>
      <c r="D119" s="228">
        <v>2250</v>
      </c>
      <c r="E119" s="228">
        <v>288.05</v>
      </c>
      <c r="F119" s="228">
        <v>293.95</v>
      </c>
      <c r="G119" s="228">
        <v>-5.9</v>
      </c>
      <c r="H119" s="229">
        <v>-2.01E-2</v>
      </c>
      <c r="I119" s="228">
        <v>288.3</v>
      </c>
      <c r="J119" s="228">
        <v>294</v>
      </c>
      <c r="K119" s="228">
        <v>-5.7</v>
      </c>
      <c r="L119" s="229">
        <v>-1.9400000000000001E-2</v>
      </c>
      <c r="M119" s="228">
        <v>288.05</v>
      </c>
      <c r="N119" s="228">
        <v>293.95</v>
      </c>
      <c r="O119" s="228">
        <v>-5.9</v>
      </c>
      <c r="P119" s="229">
        <v>-2.01E-2</v>
      </c>
      <c r="Q119" s="228">
        <v>287.14999999999998</v>
      </c>
      <c r="R119" s="228">
        <v>293.05</v>
      </c>
      <c r="S119" s="228">
        <v>-5.9</v>
      </c>
      <c r="T119" s="229">
        <v>-2.01E-2</v>
      </c>
      <c r="U119" s="228">
        <v>287.25</v>
      </c>
      <c r="V119" s="228">
        <v>293.10000000000002</v>
      </c>
      <c r="W119" s="228">
        <v>-5.85</v>
      </c>
      <c r="X119" s="229">
        <v>-0.02</v>
      </c>
      <c r="Y119" s="228">
        <v>-0.25</v>
      </c>
      <c r="Z119" s="228">
        <v>-0.05</v>
      </c>
      <c r="AA119" s="228">
        <v>-0.2</v>
      </c>
      <c r="AB119" s="229">
        <v>-8.9999999999999998E-4</v>
      </c>
      <c r="AC119" s="228">
        <v>-0.25</v>
      </c>
      <c r="AD119" s="228">
        <v>-0.05</v>
      </c>
      <c r="AE119" s="228">
        <v>-0.2</v>
      </c>
      <c r="AF119" s="229">
        <v>-8.9999999999999998E-4</v>
      </c>
      <c r="AG119" s="228">
        <v>-1.1499999999999999</v>
      </c>
      <c r="AH119" s="228">
        <v>-0.95</v>
      </c>
      <c r="AI119" s="228">
        <v>-0.2</v>
      </c>
      <c r="AJ119" s="229">
        <v>-4.0000000000000001E-3</v>
      </c>
      <c r="AK119" s="228">
        <v>-1.05</v>
      </c>
      <c r="AL119" s="228">
        <v>-0.9</v>
      </c>
      <c r="AM119" s="228">
        <v>-0.15</v>
      </c>
      <c r="AN119" s="229">
        <v>-3.5999999999999999E-3</v>
      </c>
      <c r="AO119" s="228">
        <v>288.7</v>
      </c>
      <c r="AP119" s="228">
        <v>287.75</v>
      </c>
      <c r="AQ119" s="228">
        <v>0</v>
      </c>
      <c r="AR119" s="230">
        <v>16782750</v>
      </c>
      <c r="AS119" s="230">
        <v>10903500</v>
      </c>
      <c r="AT119" s="230">
        <v>5879250</v>
      </c>
      <c r="AU119" s="229">
        <v>0.53920000000000001</v>
      </c>
      <c r="AV119" s="230">
        <v>14793750</v>
      </c>
      <c r="AW119" s="230">
        <v>9828000</v>
      </c>
      <c r="AX119" s="230">
        <v>4965750</v>
      </c>
      <c r="AY119" s="229">
        <v>0.50529999999999997</v>
      </c>
      <c r="AZ119" s="230">
        <v>1847250</v>
      </c>
      <c r="BA119" s="230">
        <v>888750</v>
      </c>
      <c r="BB119" s="230">
        <v>958500</v>
      </c>
      <c r="BC119" s="229">
        <v>1.0785</v>
      </c>
      <c r="BD119" s="230">
        <v>141750</v>
      </c>
      <c r="BE119" s="230">
        <v>186750</v>
      </c>
      <c r="BF119" s="230">
        <v>-45000</v>
      </c>
      <c r="BG119" s="229">
        <v>-0.24099999999999999</v>
      </c>
      <c r="BH119" s="230">
        <v>41593500</v>
      </c>
      <c r="BI119" s="230">
        <v>28143000</v>
      </c>
      <c r="BJ119" s="230">
        <v>13450500</v>
      </c>
      <c r="BK119" s="229">
        <v>0.47789999999999999</v>
      </c>
      <c r="BL119" s="230">
        <v>17928000</v>
      </c>
      <c r="BM119" s="230">
        <v>11873250</v>
      </c>
      <c r="BN119" s="230">
        <v>6054750</v>
      </c>
      <c r="BO119" s="229">
        <v>0.50990000000000002</v>
      </c>
      <c r="BP119" s="230">
        <v>76304250</v>
      </c>
      <c r="BQ119" s="230">
        <v>50919750</v>
      </c>
      <c r="BR119" s="230">
        <v>25384500</v>
      </c>
      <c r="BS119" s="229">
        <v>0.4985</v>
      </c>
      <c r="BT119" s="230">
        <v>7177075</v>
      </c>
      <c r="BU119" s="230">
        <v>3838889</v>
      </c>
      <c r="BV119" s="230">
        <v>3338186</v>
      </c>
      <c r="BW119" s="229">
        <v>0.86960000000000004</v>
      </c>
      <c r="BX119" s="230">
        <v>56475000</v>
      </c>
      <c r="BY119" s="230">
        <v>52026750</v>
      </c>
      <c r="BZ119" s="230">
        <v>4448250</v>
      </c>
      <c r="CA119" s="229">
        <v>8.5500000000000007E-2</v>
      </c>
      <c r="CB119" s="230">
        <v>53320500</v>
      </c>
      <c r="CC119" s="230">
        <v>49299750</v>
      </c>
      <c r="CD119" s="230">
        <v>4020750</v>
      </c>
      <c r="CE119" s="229">
        <v>8.1600000000000006E-2</v>
      </c>
      <c r="CF119" s="230">
        <v>2837250</v>
      </c>
      <c r="CG119" s="230">
        <v>2479500</v>
      </c>
      <c r="CH119" s="230">
        <v>357750</v>
      </c>
      <c r="CI119" s="229">
        <v>0.14430000000000001</v>
      </c>
      <c r="CJ119" s="230">
        <v>317250</v>
      </c>
      <c r="CK119" s="230">
        <v>247500</v>
      </c>
      <c r="CL119" s="230">
        <v>69750</v>
      </c>
      <c r="CM119" s="229">
        <v>0.28179999999999999</v>
      </c>
      <c r="CN119" s="230">
        <v>34906500</v>
      </c>
      <c r="CO119" s="230">
        <v>28185750</v>
      </c>
      <c r="CP119" s="230">
        <v>6720750</v>
      </c>
      <c r="CQ119" s="229">
        <v>0.2384</v>
      </c>
      <c r="CR119" s="230">
        <v>20832750</v>
      </c>
      <c r="CS119" s="230">
        <v>19014750</v>
      </c>
      <c r="CT119" s="230">
        <v>1818000</v>
      </c>
      <c r="CU119" s="229">
        <v>9.5600000000000004E-2</v>
      </c>
      <c r="CV119" s="230">
        <v>112214250</v>
      </c>
      <c r="CW119" s="230">
        <v>99227250</v>
      </c>
      <c r="CX119" s="230">
        <v>12987000</v>
      </c>
      <c r="CY119" s="229">
        <v>0.13089999999999999</v>
      </c>
      <c r="CZ119" s="228">
        <v>39.86</v>
      </c>
      <c r="DA119" s="228">
        <v>37.51</v>
      </c>
      <c r="DB119" s="228">
        <v>2.35</v>
      </c>
      <c r="DC119" s="228">
        <v>2.35</v>
      </c>
      <c r="DD119" s="228">
        <v>37.979999999999997</v>
      </c>
      <c r="DE119" s="228">
        <v>37.97</v>
      </c>
      <c r="DF119" s="228">
        <v>1.88</v>
      </c>
      <c r="DG119" s="228">
        <v>0.01</v>
      </c>
      <c r="DH119" s="228">
        <v>40.57</v>
      </c>
      <c r="DI119" s="228">
        <v>38.22</v>
      </c>
      <c r="DJ119" s="228">
        <v>2.35</v>
      </c>
      <c r="DK119" s="228">
        <v>2.35</v>
      </c>
      <c r="DL119" s="228">
        <v>38.21</v>
      </c>
      <c r="DM119" s="228">
        <v>35.83</v>
      </c>
      <c r="DN119" s="228">
        <v>2.38</v>
      </c>
      <c r="DO119" s="228">
        <v>2.38</v>
      </c>
      <c r="DP119" s="228">
        <v>0.6</v>
      </c>
      <c r="DQ119" s="228">
        <v>0.67</v>
      </c>
      <c r="DR119" s="228">
        <v>-7.0000000000000007E-2</v>
      </c>
      <c r="DS119" s="229">
        <v>-0.1045</v>
      </c>
      <c r="DT119" s="228">
        <v>300</v>
      </c>
      <c r="DU119" s="228">
        <v>300</v>
      </c>
      <c r="DV119" s="228">
        <v>0.43</v>
      </c>
      <c r="DW119" s="228">
        <v>0.42</v>
      </c>
      <c r="DX119" s="228">
        <v>0.01</v>
      </c>
      <c r="DY119" s="229">
        <v>2.3800000000000002E-2</v>
      </c>
      <c r="DZ119" s="229">
        <v>5.5899999999999998E-2</v>
      </c>
      <c r="EA119" s="230">
        <v>2727000</v>
      </c>
      <c r="EB119" s="229">
        <v>-3.0999999999999999E-3</v>
      </c>
      <c r="EC119" s="229">
        <v>5.5899999999999998E-2</v>
      </c>
      <c r="ED119" s="228">
        <v>-0.95</v>
      </c>
      <c r="EE119" s="229">
        <v>-3.3E-3</v>
      </c>
      <c r="EF119" s="230">
        <v>2903651</v>
      </c>
      <c r="EG119" s="230">
        <v>1919834</v>
      </c>
      <c r="EH119" s="229">
        <v>0.51239999999999997</v>
      </c>
      <c r="EI119" s="229">
        <v>0.40460000000000002</v>
      </c>
      <c r="EJ119" s="231">
        <v>128546.15</v>
      </c>
      <c r="EK119" s="231">
        <v>51259.49</v>
      </c>
      <c r="EL119" s="231">
        <v>48432.54</v>
      </c>
      <c r="EM119" s="231">
        <v>5620</v>
      </c>
      <c r="EN119" s="231">
        <v>228238.18</v>
      </c>
      <c r="EO119" s="231">
        <v>155174.35999999999</v>
      </c>
      <c r="EP119" s="231">
        <v>73063.820000000007</v>
      </c>
      <c r="EQ119" s="229">
        <v>0.4708</v>
      </c>
      <c r="ER119" s="231">
        <v>106804</v>
      </c>
      <c r="ES119" s="231">
        <v>58716</v>
      </c>
      <c r="ET119" s="231">
        <v>162648</v>
      </c>
      <c r="EU119" s="231">
        <v>127100972</v>
      </c>
      <c r="EV119" s="231">
        <v>328168</v>
      </c>
      <c r="EW119" s="231">
        <v>292825</v>
      </c>
      <c r="EX119" s="231">
        <v>35343</v>
      </c>
      <c r="EY119" s="229">
        <v>0.1207</v>
      </c>
      <c r="EZ119" s="229">
        <v>0.88290000000000002</v>
      </c>
      <c r="FA119" s="227" t="s">
        <v>567</v>
      </c>
      <c r="FB119" s="161">
        <f t="shared" si="1"/>
        <v>3154500</v>
      </c>
    </row>
    <row r="120" spans="1:158" ht="17.25" hidden="1" thickBot="1" x14ac:dyDescent="0.3">
      <c r="A120" s="226">
        <v>46064</v>
      </c>
      <c r="B120" s="227" t="s">
        <v>221</v>
      </c>
      <c r="C120" s="227" t="s">
        <v>561</v>
      </c>
      <c r="D120" s="228">
        <v>150</v>
      </c>
      <c r="E120" s="231">
        <v>5532</v>
      </c>
      <c r="F120" s="231">
        <v>5659.5</v>
      </c>
      <c r="G120" s="228">
        <v>-127.5</v>
      </c>
      <c r="H120" s="229">
        <v>-2.2499999999999999E-2</v>
      </c>
      <c r="I120" s="231">
        <v>5515.5</v>
      </c>
      <c r="J120" s="231">
        <v>5662</v>
      </c>
      <c r="K120" s="228">
        <v>-146.5</v>
      </c>
      <c r="L120" s="229">
        <v>-2.5899999999999999E-2</v>
      </c>
      <c r="M120" s="231">
        <v>5532</v>
      </c>
      <c r="N120" s="231">
        <v>5659.5</v>
      </c>
      <c r="O120" s="228">
        <v>-127.5</v>
      </c>
      <c r="P120" s="229">
        <v>-2.2499999999999999E-2</v>
      </c>
      <c r="Q120" s="231">
        <v>5540.5</v>
      </c>
      <c r="R120" s="231">
        <v>5670.5</v>
      </c>
      <c r="S120" s="228">
        <v>-130</v>
      </c>
      <c r="T120" s="229">
        <v>-2.29E-2</v>
      </c>
      <c r="U120" s="231">
        <v>5553</v>
      </c>
      <c r="V120" s="231">
        <v>5697.5</v>
      </c>
      <c r="W120" s="228">
        <v>-144.5</v>
      </c>
      <c r="X120" s="229">
        <v>-2.5399999999999999E-2</v>
      </c>
      <c r="Y120" s="228">
        <v>16.5</v>
      </c>
      <c r="Z120" s="228">
        <v>-2.5</v>
      </c>
      <c r="AA120" s="228">
        <v>19</v>
      </c>
      <c r="AB120" s="229">
        <v>3.0000000000000001E-3</v>
      </c>
      <c r="AC120" s="228">
        <v>16.5</v>
      </c>
      <c r="AD120" s="228">
        <v>-2.5</v>
      </c>
      <c r="AE120" s="228">
        <v>19</v>
      </c>
      <c r="AF120" s="229">
        <v>3.0000000000000001E-3</v>
      </c>
      <c r="AG120" s="228">
        <v>25</v>
      </c>
      <c r="AH120" s="228">
        <v>8.5</v>
      </c>
      <c r="AI120" s="228">
        <v>16.5</v>
      </c>
      <c r="AJ120" s="229">
        <v>4.4999999999999997E-3</v>
      </c>
      <c r="AK120" s="228">
        <v>37.5</v>
      </c>
      <c r="AL120" s="228">
        <v>35.5</v>
      </c>
      <c r="AM120" s="228">
        <v>2</v>
      </c>
      <c r="AN120" s="229">
        <v>6.7999999999999996E-3</v>
      </c>
      <c r="AO120" s="231">
        <v>5574.18</v>
      </c>
      <c r="AP120" s="231">
        <v>5596.32</v>
      </c>
      <c r="AQ120" s="228">
        <v>0</v>
      </c>
      <c r="AR120" s="230">
        <v>665400</v>
      </c>
      <c r="AS120" s="230">
        <v>472050</v>
      </c>
      <c r="AT120" s="230">
        <v>193350</v>
      </c>
      <c r="AU120" s="229">
        <v>0.40960000000000002</v>
      </c>
      <c r="AV120" s="230">
        <v>574800</v>
      </c>
      <c r="AW120" s="230">
        <v>450150</v>
      </c>
      <c r="AX120" s="230">
        <v>124650</v>
      </c>
      <c r="AY120" s="229">
        <v>0.27689999999999998</v>
      </c>
      <c r="AZ120" s="230">
        <v>78900</v>
      </c>
      <c r="BA120" s="230">
        <v>19950</v>
      </c>
      <c r="BB120" s="230">
        <v>58950</v>
      </c>
      <c r="BC120" s="229">
        <v>2.9548999999999999</v>
      </c>
      <c r="BD120" s="230">
        <v>11700</v>
      </c>
      <c r="BE120" s="230">
        <v>1950</v>
      </c>
      <c r="BF120" s="230">
        <v>9750</v>
      </c>
      <c r="BG120" s="229">
        <v>5</v>
      </c>
      <c r="BH120" s="230">
        <v>1576800</v>
      </c>
      <c r="BI120" s="230">
        <v>1322400</v>
      </c>
      <c r="BJ120" s="230">
        <v>254400</v>
      </c>
      <c r="BK120" s="229">
        <v>0.19239999999999999</v>
      </c>
      <c r="BL120" s="230">
        <v>1035750</v>
      </c>
      <c r="BM120" s="230">
        <v>762450</v>
      </c>
      <c r="BN120" s="230">
        <v>273300</v>
      </c>
      <c r="BO120" s="229">
        <v>0.3584</v>
      </c>
      <c r="BP120" s="230">
        <v>3277950</v>
      </c>
      <c r="BQ120" s="230">
        <v>2556900</v>
      </c>
      <c r="BR120" s="230">
        <v>721050</v>
      </c>
      <c r="BS120" s="229">
        <v>0.28199999999999997</v>
      </c>
      <c r="BT120" s="230">
        <v>278295</v>
      </c>
      <c r="BU120" s="230">
        <v>314409</v>
      </c>
      <c r="BV120" s="230">
        <v>-36114</v>
      </c>
      <c r="BW120" s="229">
        <v>-0.1149</v>
      </c>
      <c r="BX120" s="230">
        <v>2148000</v>
      </c>
      <c r="BY120" s="230">
        <v>2044050</v>
      </c>
      <c r="BZ120" s="230">
        <v>103950</v>
      </c>
      <c r="CA120" s="229">
        <v>5.0900000000000001E-2</v>
      </c>
      <c r="CB120" s="230">
        <v>2053200</v>
      </c>
      <c r="CC120" s="230">
        <v>1983750</v>
      </c>
      <c r="CD120" s="230">
        <v>69450</v>
      </c>
      <c r="CE120" s="229">
        <v>3.5000000000000003E-2</v>
      </c>
      <c r="CF120" s="230">
        <v>83850</v>
      </c>
      <c r="CG120" s="230">
        <v>53700</v>
      </c>
      <c r="CH120" s="230">
        <v>30150</v>
      </c>
      <c r="CI120" s="229">
        <v>0.5615</v>
      </c>
      <c r="CJ120" s="230">
        <v>10950</v>
      </c>
      <c r="CK120" s="230">
        <v>6600</v>
      </c>
      <c r="CL120" s="230">
        <v>4350</v>
      </c>
      <c r="CM120" s="229">
        <v>0.65910000000000002</v>
      </c>
      <c r="CN120" s="230">
        <v>1438500</v>
      </c>
      <c r="CO120" s="230">
        <v>1251300</v>
      </c>
      <c r="CP120" s="230">
        <v>187200</v>
      </c>
      <c r="CQ120" s="229">
        <v>0.14960000000000001</v>
      </c>
      <c r="CR120" s="230">
        <v>1005150</v>
      </c>
      <c r="CS120" s="230">
        <v>908850</v>
      </c>
      <c r="CT120" s="230">
        <v>96300</v>
      </c>
      <c r="CU120" s="229">
        <v>0.106</v>
      </c>
      <c r="CV120" s="230">
        <v>4591650</v>
      </c>
      <c r="CW120" s="230">
        <v>4204200</v>
      </c>
      <c r="CX120" s="230">
        <v>387450</v>
      </c>
      <c r="CY120" s="229">
        <v>9.2200000000000004E-2</v>
      </c>
      <c r="CZ120" s="228">
        <v>33.72</v>
      </c>
      <c r="DA120" s="228">
        <v>30.84</v>
      </c>
      <c r="DB120" s="228">
        <v>2.88</v>
      </c>
      <c r="DC120" s="228">
        <v>2.88</v>
      </c>
      <c r="DD120" s="228">
        <v>33.32</v>
      </c>
      <c r="DE120" s="228">
        <v>33.26</v>
      </c>
      <c r="DF120" s="228">
        <v>0.4</v>
      </c>
      <c r="DG120" s="228">
        <v>0.06</v>
      </c>
      <c r="DH120" s="228">
        <v>33.409999999999997</v>
      </c>
      <c r="DI120" s="228">
        <v>30.57</v>
      </c>
      <c r="DJ120" s="228">
        <v>2.84</v>
      </c>
      <c r="DK120" s="228">
        <v>2.84</v>
      </c>
      <c r="DL120" s="228">
        <v>34.19</v>
      </c>
      <c r="DM120" s="228">
        <v>31.32</v>
      </c>
      <c r="DN120" s="228">
        <v>2.87</v>
      </c>
      <c r="DO120" s="228">
        <v>2.87</v>
      </c>
      <c r="DP120" s="228">
        <v>0.7</v>
      </c>
      <c r="DQ120" s="228">
        <v>0.73</v>
      </c>
      <c r="DR120" s="228">
        <v>-0.03</v>
      </c>
      <c r="DS120" s="229">
        <v>-4.1099999999999998E-2</v>
      </c>
      <c r="DT120" s="231">
        <v>6000</v>
      </c>
      <c r="DU120" s="231">
        <v>5000</v>
      </c>
      <c r="DV120" s="228">
        <v>0.66</v>
      </c>
      <c r="DW120" s="228">
        <v>0.57999999999999996</v>
      </c>
      <c r="DX120" s="228">
        <v>0.08</v>
      </c>
      <c r="DY120" s="229">
        <v>0.13789999999999999</v>
      </c>
      <c r="DZ120" s="229">
        <v>4.41E-2</v>
      </c>
      <c r="EA120" s="230">
        <v>60300</v>
      </c>
      <c r="EB120" s="229">
        <v>1.5E-3</v>
      </c>
      <c r="EC120" s="229">
        <v>4.41E-2</v>
      </c>
      <c r="ED120" s="228">
        <v>22.14</v>
      </c>
      <c r="EE120" s="229">
        <v>4.0000000000000001E-3</v>
      </c>
      <c r="EF120" s="230">
        <v>144157</v>
      </c>
      <c r="EG120" s="230">
        <v>184409</v>
      </c>
      <c r="EH120" s="229">
        <v>-0.21829999999999999</v>
      </c>
      <c r="EI120" s="229">
        <v>0.51800000000000002</v>
      </c>
      <c r="EJ120" s="231">
        <v>92649.69</v>
      </c>
      <c r="EK120" s="231">
        <v>56948.95</v>
      </c>
      <c r="EL120" s="231">
        <v>37112.36</v>
      </c>
      <c r="EM120" s="231">
        <v>4189</v>
      </c>
      <c r="EN120" s="231">
        <v>186711</v>
      </c>
      <c r="EO120" s="231">
        <v>146835.01999999999</v>
      </c>
      <c r="EP120" s="231">
        <v>39875.980000000003</v>
      </c>
      <c r="EQ120" s="229">
        <v>0.27160000000000001</v>
      </c>
      <c r="ER120" s="231">
        <v>86440</v>
      </c>
      <c r="ES120" s="231">
        <v>55032</v>
      </c>
      <c r="ET120" s="231">
        <v>118837</v>
      </c>
      <c r="EU120" s="231">
        <v>9672091</v>
      </c>
      <c r="EV120" s="231">
        <v>260309</v>
      </c>
      <c r="EW120" s="231">
        <v>241398</v>
      </c>
      <c r="EX120" s="231">
        <v>18911</v>
      </c>
      <c r="EY120" s="229">
        <v>7.8299999999999995E-2</v>
      </c>
      <c r="EZ120" s="229">
        <v>0.47470000000000001</v>
      </c>
      <c r="FA120" s="227" t="s">
        <v>567</v>
      </c>
      <c r="FB120" s="161">
        <f t="shared" si="1"/>
        <v>94800</v>
      </c>
    </row>
    <row r="121" spans="1:158" ht="17.25" hidden="1" thickBot="1" x14ac:dyDescent="0.3">
      <c r="A121" s="226">
        <v>46064</v>
      </c>
      <c r="B121" s="227" t="s">
        <v>170</v>
      </c>
      <c r="C121" s="227" t="s">
        <v>250</v>
      </c>
      <c r="D121" s="228">
        <v>425</v>
      </c>
      <c r="E121" s="231">
        <v>2214.4</v>
      </c>
      <c r="F121" s="231">
        <v>2211.6999999999998</v>
      </c>
      <c r="G121" s="228">
        <v>2.7</v>
      </c>
      <c r="H121" s="229">
        <v>1.1999999999999999E-3</v>
      </c>
      <c r="I121" s="231">
        <v>2209.1</v>
      </c>
      <c r="J121" s="231">
        <v>2204.1</v>
      </c>
      <c r="K121" s="228">
        <v>5</v>
      </c>
      <c r="L121" s="229">
        <v>2.3E-3</v>
      </c>
      <c r="M121" s="231">
        <v>2214.4</v>
      </c>
      <c r="N121" s="231">
        <v>2211.6999999999998</v>
      </c>
      <c r="O121" s="228">
        <v>2.7</v>
      </c>
      <c r="P121" s="229">
        <v>1.1999999999999999E-3</v>
      </c>
      <c r="Q121" s="231">
        <v>2228.4</v>
      </c>
      <c r="R121" s="231">
        <v>2225</v>
      </c>
      <c r="S121" s="228">
        <v>3.4</v>
      </c>
      <c r="T121" s="229">
        <v>1.5E-3</v>
      </c>
      <c r="U121" s="231">
        <v>2241.6999999999998</v>
      </c>
      <c r="V121" s="231">
        <v>2239.3000000000002</v>
      </c>
      <c r="W121" s="228">
        <v>2.4</v>
      </c>
      <c r="X121" s="229">
        <v>1.1000000000000001E-3</v>
      </c>
      <c r="Y121" s="228">
        <v>5.3</v>
      </c>
      <c r="Z121" s="228">
        <v>7.6</v>
      </c>
      <c r="AA121" s="228">
        <v>-2.2999999999999998</v>
      </c>
      <c r="AB121" s="229">
        <v>2.3999999999999998E-3</v>
      </c>
      <c r="AC121" s="228">
        <v>5.3</v>
      </c>
      <c r="AD121" s="228">
        <v>7.6</v>
      </c>
      <c r="AE121" s="228">
        <v>-2.2999999999999998</v>
      </c>
      <c r="AF121" s="229">
        <v>2.3999999999999998E-3</v>
      </c>
      <c r="AG121" s="228">
        <v>19.3</v>
      </c>
      <c r="AH121" s="228">
        <v>20.9</v>
      </c>
      <c r="AI121" s="228">
        <v>-1.6</v>
      </c>
      <c r="AJ121" s="229">
        <v>8.6999999999999994E-3</v>
      </c>
      <c r="AK121" s="228">
        <v>32.6</v>
      </c>
      <c r="AL121" s="228">
        <v>35.200000000000003</v>
      </c>
      <c r="AM121" s="228">
        <v>-2.6</v>
      </c>
      <c r="AN121" s="229">
        <v>1.4800000000000001E-2</v>
      </c>
      <c r="AO121" s="231">
        <v>2222.91</v>
      </c>
      <c r="AP121" s="231">
        <v>2238.08</v>
      </c>
      <c r="AQ121" s="228">
        <v>0</v>
      </c>
      <c r="AR121" s="230">
        <v>1989425</v>
      </c>
      <c r="AS121" s="230">
        <v>2668150</v>
      </c>
      <c r="AT121" s="230">
        <v>-678725</v>
      </c>
      <c r="AU121" s="229">
        <v>-0.25440000000000002</v>
      </c>
      <c r="AV121" s="230">
        <v>1886575</v>
      </c>
      <c r="AW121" s="230">
        <v>2527900</v>
      </c>
      <c r="AX121" s="230">
        <v>-641325</v>
      </c>
      <c r="AY121" s="229">
        <v>-0.25369999999999998</v>
      </c>
      <c r="AZ121" s="230">
        <v>96475</v>
      </c>
      <c r="BA121" s="230">
        <v>122400</v>
      </c>
      <c r="BB121" s="230">
        <v>-25925</v>
      </c>
      <c r="BC121" s="229">
        <v>-0.21179999999999999</v>
      </c>
      <c r="BD121" s="230">
        <v>6375</v>
      </c>
      <c r="BE121" s="230">
        <v>17850</v>
      </c>
      <c r="BF121" s="230">
        <v>-11475</v>
      </c>
      <c r="BG121" s="229">
        <v>-0.64290000000000003</v>
      </c>
      <c r="BH121" s="230">
        <v>7139150</v>
      </c>
      <c r="BI121" s="230">
        <v>6658050</v>
      </c>
      <c r="BJ121" s="230">
        <v>481100</v>
      </c>
      <c r="BK121" s="229">
        <v>7.2300000000000003E-2</v>
      </c>
      <c r="BL121" s="230">
        <v>2339625</v>
      </c>
      <c r="BM121" s="230">
        <v>2593350</v>
      </c>
      <c r="BN121" s="230">
        <v>-253725</v>
      </c>
      <c r="BO121" s="229">
        <v>-9.7799999999999998E-2</v>
      </c>
      <c r="BP121" s="230">
        <v>11468200</v>
      </c>
      <c r="BQ121" s="230">
        <v>11919550</v>
      </c>
      <c r="BR121" s="230">
        <v>-451350</v>
      </c>
      <c r="BS121" s="229">
        <v>-3.7900000000000003E-2</v>
      </c>
      <c r="BT121" s="230">
        <v>576528</v>
      </c>
      <c r="BU121" s="230">
        <v>720094</v>
      </c>
      <c r="BV121" s="230">
        <v>-143566</v>
      </c>
      <c r="BW121" s="229">
        <v>-0.19939999999999999</v>
      </c>
      <c r="BX121" s="230">
        <v>8279850</v>
      </c>
      <c r="BY121" s="230">
        <v>7778775</v>
      </c>
      <c r="BZ121" s="230">
        <v>501075</v>
      </c>
      <c r="CA121" s="229">
        <v>6.4399999999999999E-2</v>
      </c>
      <c r="CB121" s="230">
        <v>8083075</v>
      </c>
      <c r="CC121" s="230">
        <v>7596875</v>
      </c>
      <c r="CD121" s="230">
        <v>486200</v>
      </c>
      <c r="CE121" s="229">
        <v>6.4000000000000001E-2</v>
      </c>
      <c r="CF121" s="230">
        <v>169575</v>
      </c>
      <c r="CG121" s="230">
        <v>153425</v>
      </c>
      <c r="CH121" s="230">
        <v>16150</v>
      </c>
      <c r="CI121" s="229">
        <v>0.1053</v>
      </c>
      <c r="CJ121" s="230">
        <v>27200</v>
      </c>
      <c r="CK121" s="230">
        <v>28475</v>
      </c>
      <c r="CL121" s="230">
        <v>-1275</v>
      </c>
      <c r="CM121" s="229">
        <v>-4.48E-2</v>
      </c>
      <c r="CN121" s="230">
        <v>4159475</v>
      </c>
      <c r="CO121" s="230">
        <v>3617175</v>
      </c>
      <c r="CP121" s="230">
        <v>542300</v>
      </c>
      <c r="CQ121" s="229">
        <v>0.14990000000000001</v>
      </c>
      <c r="CR121" s="230">
        <v>2254200</v>
      </c>
      <c r="CS121" s="230">
        <v>1995375</v>
      </c>
      <c r="CT121" s="230">
        <v>258825</v>
      </c>
      <c r="CU121" s="229">
        <v>0.12970000000000001</v>
      </c>
      <c r="CV121" s="230">
        <v>14693525</v>
      </c>
      <c r="CW121" s="230">
        <v>13391325</v>
      </c>
      <c r="CX121" s="230">
        <v>1302200</v>
      </c>
      <c r="CY121" s="229">
        <v>9.7199999999999995E-2</v>
      </c>
      <c r="CZ121" s="228">
        <v>38.46</v>
      </c>
      <c r="DA121" s="228">
        <v>36.11</v>
      </c>
      <c r="DB121" s="228">
        <v>2.35</v>
      </c>
      <c r="DC121" s="228">
        <v>2.35</v>
      </c>
      <c r="DD121" s="228">
        <v>29.13</v>
      </c>
      <c r="DE121" s="228">
        <v>29.21</v>
      </c>
      <c r="DF121" s="228">
        <v>9.33</v>
      </c>
      <c r="DG121" s="228">
        <v>-0.08</v>
      </c>
      <c r="DH121" s="228">
        <v>38.47</v>
      </c>
      <c r="DI121" s="228">
        <v>36.14</v>
      </c>
      <c r="DJ121" s="228">
        <v>2.33</v>
      </c>
      <c r="DK121" s="228">
        <v>2.33</v>
      </c>
      <c r="DL121" s="228">
        <v>38.409999999999997</v>
      </c>
      <c r="DM121" s="228">
        <v>36.03</v>
      </c>
      <c r="DN121" s="228">
        <v>2.38</v>
      </c>
      <c r="DO121" s="228">
        <v>2.38</v>
      </c>
      <c r="DP121" s="228">
        <v>0.54</v>
      </c>
      <c r="DQ121" s="228">
        <v>0.55000000000000004</v>
      </c>
      <c r="DR121" s="228">
        <v>-0.01</v>
      </c>
      <c r="DS121" s="229">
        <v>-1.8200000000000001E-2</v>
      </c>
      <c r="DT121" s="231">
        <v>2300</v>
      </c>
      <c r="DU121" s="231">
        <v>2200</v>
      </c>
      <c r="DV121" s="228">
        <v>0.33</v>
      </c>
      <c r="DW121" s="228">
        <v>0.39</v>
      </c>
      <c r="DX121" s="228">
        <v>-0.06</v>
      </c>
      <c r="DY121" s="229">
        <v>-0.15379999999999999</v>
      </c>
      <c r="DZ121" s="229">
        <v>2.3800000000000002E-2</v>
      </c>
      <c r="EA121" s="230">
        <v>181900</v>
      </c>
      <c r="EB121" s="229">
        <v>6.3E-3</v>
      </c>
      <c r="EC121" s="229">
        <v>2.3800000000000002E-2</v>
      </c>
      <c r="ED121" s="228">
        <v>15.17</v>
      </c>
      <c r="EE121" s="229">
        <v>6.7999999999999996E-3</v>
      </c>
      <c r="EF121" s="230">
        <v>301339</v>
      </c>
      <c r="EG121" s="230">
        <v>320365</v>
      </c>
      <c r="EH121" s="229">
        <v>-5.9400000000000001E-2</v>
      </c>
      <c r="EI121" s="229">
        <v>0.52270000000000005</v>
      </c>
      <c r="EJ121" s="231">
        <v>166131.29</v>
      </c>
      <c r="EK121" s="231">
        <v>51313.56</v>
      </c>
      <c r="EL121" s="231">
        <v>44239.360000000001</v>
      </c>
      <c r="EM121" s="231">
        <v>4455</v>
      </c>
      <c r="EN121" s="231">
        <v>261684.21</v>
      </c>
      <c r="EO121" s="231">
        <v>270884.58</v>
      </c>
      <c r="EP121" s="231">
        <v>-9200.3700000000008</v>
      </c>
      <c r="EQ121" s="229">
        <v>-3.4000000000000002E-2</v>
      </c>
      <c r="ER121" s="231">
        <v>95404</v>
      </c>
      <c r="ES121" s="231">
        <v>47834</v>
      </c>
      <c r="ET121" s="231">
        <v>183380</v>
      </c>
      <c r="EU121" s="231">
        <v>36381777</v>
      </c>
      <c r="EV121" s="231">
        <v>326618</v>
      </c>
      <c r="EW121" s="231">
        <v>297078</v>
      </c>
      <c r="EX121" s="231">
        <v>29540</v>
      </c>
      <c r="EY121" s="229">
        <v>9.9400000000000002E-2</v>
      </c>
      <c r="EZ121" s="229">
        <v>0.40389999999999998</v>
      </c>
      <c r="FA121" s="227" t="s">
        <v>555</v>
      </c>
      <c r="FB121" s="161">
        <f t="shared" si="1"/>
        <v>196775</v>
      </c>
    </row>
    <row r="122" spans="1:158" ht="17.25" hidden="1" thickBot="1" x14ac:dyDescent="0.3">
      <c r="A122" s="226">
        <v>46064</v>
      </c>
      <c r="B122" s="227" t="s">
        <v>162</v>
      </c>
      <c r="C122" s="227" t="s">
        <v>251</v>
      </c>
      <c r="D122" s="228">
        <v>200</v>
      </c>
      <c r="E122" s="231">
        <v>3680.7</v>
      </c>
      <c r="F122" s="231">
        <v>3680.6</v>
      </c>
      <c r="G122" s="228">
        <v>0.1</v>
      </c>
      <c r="H122" s="229">
        <v>0</v>
      </c>
      <c r="I122" s="231">
        <v>3674.9</v>
      </c>
      <c r="J122" s="231">
        <v>3675.8</v>
      </c>
      <c r="K122" s="228">
        <v>-0.9</v>
      </c>
      <c r="L122" s="229">
        <v>-2.0000000000000001E-4</v>
      </c>
      <c r="M122" s="231">
        <v>3680.7</v>
      </c>
      <c r="N122" s="231">
        <v>3680.6</v>
      </c>
      <c r="O122" s="228">
        <v>0.1</v>
      </c>
      <c r="P122" s="229">
        <v>0</v>
      </c>
      <c r="Q122" s="231">
        <v>3705.3</v>
      </c>
      <c r="R122" s="231">
        <v>3704.1</v>
      </c>
      <c r="S122" s="228">
        <v>1.2</v>
      </c>
      <c r="T122" s="229">
        <v>2.9999999999999997E-4</v>
      </c>
      <c r="U122" s="231">
        <v>3728.2</v>
      </c>
      <c r="V122" s="231">
        <v>3726.9</v>
      </c>
      <c r="W122" s="228">
        <v>1.3</v>
      </c>
      <c r="X122" s="229">
        <v>2.9999999999999997E-4</v>
      </c>
      <c r="Y122" s="228">
        <v>5.8</v>
      </c>
      <c r="Z122" s="228">
        <v>4.8</v>
      </c>
      <c r="AA122" s="228">
        <v>1</v>
      </c>
      <c r="AB122" s="229">
        <v>1.6000000000000001E-3</v>
      </c>
      <c r="AC122" s="228">
        <v>5.8</v>
      </c>
      <c r="AD122" s="228">
        <v>4.8</v>
      </c>
      <c r="AE122" s="228">
        <v>1</v>
      </c>
      <c r="AF122" s="229">
        <v>1.6000000000000001E-3</v>
      </c>
      <c r="AG122" s="228">
        <v>30.4</v>
      </c>
      <c r="AH122" s="228">
        <v>28.3</v>
      </c>
      <c r="AI122" s="228">
        <v>2.1</v>
      </c>
      <c r="AJ122" s="229">
        <v>8.3000000000000001E-3</v>
      </c>
      <c r="AK122" s="228">
        <v>53.3</v>
      </c>
      <c r="AL122" s="228">
        <v>51.1</v>
      </c>
      <c r="AM122" s="228">
        <v>2.2000000000000002</v>
      </c>
      <c r="AN122" s="229">
        <v>1.4500000000000001E-2</v>
      </c>
      <c r="AO122" s="231">
        <v>3722.22</v>
      </c>
      <c r="AP122" s="231">
        <v>3745.53</v>
      </c>
      <c r="AQ122" s="228">
        <v>0</v>
      </c>
      <c r="AR122" s="230">
        <v>6833000</v>
      </c>
      <c r="AS122" s="230">
        <v>2012400</v>
      </c>
      <c r="AT122" s="230">
        <v>4820600</v>
      </c>
      <c r="AU122" s="229">
        <v>2.3954</v>
      </c>
      <c r="AV122" s="230">
        <v>6365000</v>
      </c>
      <c r="AW122" s="230">
        <v>1874400</v>
      </c>
      <c r="AX122" s="230">
        <v>4490600</v>
      </c>
      <c r="AY122" s="229">
        <v>2.3957999999999999</v>
      </c>
      <c r="AZ122" s="230">
        <v>397400</v>
      </c>
      <c r="BA122" s="230">
        <v>111400</v>
      </c>
      <c r="BB122" s="230">
        <v>286000</v>
      </c>
      <c r="BC122" s="229">
        <v>2.5672999999999999</v>
      </c>
      <c r="BD122" s="230">
        <v>70600</v>
      </c>
      <c r="BE122" s="230">
        <v>26600</v>
      </c>
      <c r="BF122" s="230">
        <v>44000</v>
      </c>
      <c r="BG122" s="229">
        <v>1.6540999999999999</v>
      </c>
      <c r="BH122" s="230">
        <v>67313800</v>
      </c>
      <c r="BI122" s="230">
        <v>14207800</v>
      </c>
      <c r="BJ122" s="230">
        <v>53106000</v>
      </c>
      <c r="BK122" s="229">
        <v>3.7378</v>
      </c>
      <c r="BL122" s="230">
        <v>27244200</v>
      </c>
      <c r="BM122" s="230">
        <v>4970600</v>
      </c>
      <c r="BN122" s="230">
        <v>22273600</v>
      </c>
      <c r="BO122" s="229">
        <v>4.4810999999999996</v>
      </c>
      <c r="BP122" s="230">
        <v>101391000</v>
      </c>
      <c r="BQ122" s="230">
        <v>21190800</v>
      </c>
      <c r="BR122" s="230">
        <v>80200200</v>
      </c>
      <c r="BS122" s="229">
        <v>3.7847</v>
      </c>
      <c r="BT122" s="230">
        <v>4993646</v>
      </c>
      <c r="BU122" s="230">
        <v>2022498</v>
      </c>
      <c r="BV122" s="230">
        <v>2971148</v>
      </c>
      <c r="BW122" s="229">
        <v>1.4690000000000001</v>
      </c>
      <c r="BX122" s="230">
        <v>19366600</v>
      </c>
      <c r="BY122" s="230">
        <v>19558600</v>
      </c>
      <c r="BZ122" s="230">
        <v>-192000</v>
      </c>
      <c r="CA122" s="229">
        <v>-9.7999999999999997E-3</v>
      </c>
      <c r="CB122" s="230">
        <v>17448600</v>
      </c>
      <c r="CC122" s="230">
        <v>17743800</v>
      </c>
      <c r="CD122" s="230">
        <v>-295200</v>
      </c>
      <c r="CE122" s="229">
        <v>-1.66E-2</v>
      </c>
      <c r="CF122" s="230">
        <v>1824400</v>
      </c>
      <c r="CG122" s="230">
        <v>1749200</v>
      </c>
      <c r="CH122" s="230">
        <v>75200</v>
      </c>
      <c r="CI122" s="229">
        <v>4.2999999999999997E-2</v>
      </c>
      <c r="CJ122" s="230">
        <v>93600</v>
      </c>
      <c r="CK122" s="230">
        <v>65600</v>
      </c>
      <c r="CL122" s="230">
        <v>28000</v>
      </c>
      <c r="CM122" s="229">
        <v>0.42680000000000001</v>
      </c>
      <c r="CN122" s="230">
        <v>9578800</v>
      </c>
      <c r="CO122" s="230">
        <v>5183600</v>
      </c>
      <c r="CP122" s="230">
        <v>4395200</v>
      </c>
      <c r="CQ122" s="229">
        <v>0.84789999999999999</v>
      </c>
      <c r="CR122" s="230">
        <v>4494200</v>
      </c>
      <c r="CS122" s="230">
        <v>3438600</v>
      </c>
      <c r="CT122" s="230">
        <v>1055600</v>
      </c>
      <c r="CU122" s="229">
        <v>0.307</v>
      </c>
      <c r="CV122" s="230">
        <v>33439600</v>
      </c>
      <c r="CW122" s="230">
        <v>28180800</v>
      </c>
      <c r="CX122" s="230">
        <v>5258800</v>
      </c>
      <c r="CY122" s="229">
        <v>0.18659999999999999</v>
      </c>
      <c r="CZ122" s="228">
        <v>32.15</v>
      </c>
      <c r="DA122" s="228">
        <v>30.38</v>
      </c>
      <c r="DB122" s="228">
        <v>1.77</v>
      </c>
      <c r="DC122" s="228">
        <v>1.77</v>
      </c>
      <c r="DD122" s="228">
        <v>31.26</v>
      </c>
      <c r="DE122" s="228">
        <v>31.34</v>
      </c>
      <c r="DF122" s="228">
        <v>0.89</v>
      </c>
      <c r="DG122" s="228">
        <v>-0.08</v>
      </c>
      <c r="DH122" s="228">
        <v>32.549999999999997</v>
      </c>
      <c r="DI122" s="228">
        <v>30</v>
      </c>
      <c r="DJ122" s="228">
        <v>2.5499999999999998</v>
      </c>
      <c r="DK122" s="228">
        <v>2.5499999999999998</v>
      </c>
      <c r="DL122" s="228">
        <v>31.16</v>
      </c>
      <c r="DM122" s="228">
        <v>31.49</v>
      </c>
      <c r="DN122" s="228">
        <v>-0.33</v>
      </c>
      <c r="DO122" s="228">
        <v>-0.33</v>
      </c>
      <c r="DP122" s="228">
        <v>0.47</v>
      </c>
      <c r="DQ122" s="228">
        <v>0.66</v>
      </c>
      <c r="DR122" s="228">
        <v>-0.19</v>
      </c>
      <c r="DS122" s="229">
        <v>-0.28789999999999999</v>
      </c>
      <c r="DT122" s="231">
        <v>3800</v>
      </c>
      <c r="DU122" s="231">
        <v>3500</v>
      </c>
      <c r="DV122" s="228">
        <v>0.4</v>
      </c>
      <c r="DW122" s="228">
        <v>0.35</v>
      </c>
      <c r="DX122" s="228">
        <v>0.05</v>
      </c>
      <c r="DY122" s="229">
        <v>0.1429</v>
      </c>
      <c r="DZ122" s="229">
        <v>9.9000000000000005E-2</v>
      </c>
      <c r="EA122" s="230">
        <v>1814800</v>
      </c>
      <c r="EB122" s="229">
        <v>6.7000000000000002E-3</v>
      </c>
      <c r="EC122" s="229">
        <v>9.9000000000000005E-2</v>
      </c>
      <c r="ED122" s="228">
        <v>23.31</v>
      </c>
      <c r="EE122" s="229">
        <v>6.3E-3</v>
      </c>
      <c r="EF122" s="230">
        <v>1623084</v>
      </c>
      <c r="EG122" s="230">
        <v>1110493</v>
      </c>
      <c r="EH122" s="229">
        <v>0.46160000000000001</v>
      </c>
      <c r="EI122" s="229">
        <v>0.32500000000000001</v>
      </c>
      <c r="EJ122" s="231">
        <v>2634534.12</v>
      </c>
      <c r="EK122" s="231">
        <v>993275.71</v>
      </c>
      <c r="EL122" s="231">
        <v>254469.19</v>
      </c>
      <c r="EM122" s="231">
        <v>9531</v>
      </c>
      <c r="EN122" s="231">
        <v>3882279.02</v>
      </c>
      <c r="EO122" s="231">
        <v>793974.65</v>
      </c>
      <c r="EP122" s="231">
        <v>3088304.37</v>
      </c>
      <c r="EQ122" s="229">
        <v>3.8896999999999999</v>
      </c>
      <c r="ER122" s="231">
        <v>366905</v>
      </c>
      <c r="ES122" s="231">
        <v>155467</v>
      </c>
      <c r="ET122" s="231">
        <v>713320</v>
      </c>
      <c r="EU122" s="231">
        <v>95452027</v>
      </c>
      <c r="EV122" s="231">
        <v>1235692</v>
      </c>
      <c r="EW122" s="231">
        <v>1030710</v>
      </c>
      <c r="EX122" s="231">
        <v>204982</v>
      </c>
      <c r="EY122" s="229">
        <v>0.19889999999999999</v>
      </c>
      <c r="EZ122" s="229">
        <v>0.3503</v>
      </c>
      <c r="FA122" s="227" t="s">
        <v>237</v>
      </c>
      <c r="FB122" s="161">
        <f t="shared" si="1"/>
        <v>1918000</v>
      </c>
    </row>
    <row r="123" spans="1:158" ht="17.25" hidden="1" thickBot="1" x14ac:dyDescent="0.3">
      <c r="A123" s="226">
        <v>46064</v>
      </c>
      <c r="B123" s="227" t="s">
        <v>175</v>
      </c>
      <c r="C123" s="227" t="s">
        <v>253</v>
      </c>
      <c r="D123" s="228">
        <v>3000</v>
      </c>
      <c r="E123" s="228">
        <v>302.95</v>
      </c>
      <c r="F123" s="228">
        <v>309.2</v>
      </c>
      <c r="G123" s="228">
        <v>-6.25</v>
      </c>
      <c r="H123" s="229">
        <v>-2.0199999999999999E-2</v>
      </c>
      <c r="I123" s="228">
        <v>302.55</v>
      </c>
      <c r="J123" s="228">
        <v>308.95</v>
      </c>
      <c r="K123" s="228">
        <v>-6.4</v>
      </c>
      <c r="L123" s="229">
        <v>-2.07E-2</v>
      </c>
      <c r="M123" s="228">
        <v>302.95</v>
      </c>
      <c r="N123" s="228">
        <v>309.2</v>
      </c>
      <c r="O123" s="228">
        <v>-6.25</v>
      </c>
      <c r="P123" s="229">
        <v>-2.0199999999999999E-2</v>
      </c>
      <c r="Q123" s="228">
        <v>304.85000000000002</v>
      </c>
      <c r="R123" s="228">
        <v>310.55</v>
      </c>
      <c r="S123" s="228">
        <v>-5.7</v>
      </c>
      <c r="T123" s="229">
        <v>-1.84E-2</v>
      </c>
      <c r="U123" s="228">
        <v>305.55</v>
      </c>
      <c r="V123" s="228">
        <v>313.14999999999998</v>
      </c>
      <c r="W123" s="228">
        <v>-7.6</v>
      </c>
      <c r="X123" s="229">
        <v>-2.4299999999999999E-2</v>
      </c>
      <c r="Y123" s="228">
        <v>0.4</v>
      </c>
      <c r="Z123" s="228">
        <v>0.25</v>
      </c>
      <c r="AA123" s="228">
        <v>0.15</v>
      </c>
      <c r="AB123" s="229">
        <v>1.2999999999999999E-3</v>
      </c>
      <c r="AC123" s="228">
        <v>0.4</v>
      </c>
      <c r="AD123" s="228">
        <v>0.25</v>
      </c>
      <c r="AE123" s="228">
        <v>0.15</v>
      </c>
      <c r="AF123" s="229">
        <v>1.2999999999999999E-3</v>
      </c>
      <c r="AG123" s="228">
        <v>2.2999999999999998</v>
      </c>
      <c r="AH123" s="228">
        <v>1.6</v>
      </c>
      <c r="AI123" s="228">
        <v>0.7</v>
      </c>
      <c r="AJ123" s="229">
        <v>7.6E-3</v>
      </c>
      <c r="AK123" s="228">
        <v>3</v>
      </c>
      <c r="AL123" s="228">
        <v>4.2</v>
      </c>
      <c r="AM123" s="228">
        <v>-1.2</v>
      </c>
      <c r="AN123" s="229">
        <v>9.9000000000000008E-3</v>
      </c>
      <c r="AO123" s="228">
        <v>307.41000000000003</v>
      </c>
      <c r="AP123" s="228">
        <v>310.64</v>
      </c>
      <c r="AQ123" s="228">
        <v>0</v>
      </c>
      <c r="AR123" s="230">
        <v>22449000</v>
      </c>
      <c r="AS123" s="230">
        <v>16995000</v>
      </c>
      <c r="AT123" s="230">
        <v>5454000</v>
      </c>
      <c r="AU123" s="229">
        <v>0.32090000000000002</v>
      </c>
      <c r="AV123" s="230">
        <v>20808000</v>
      </c>
      <c r="AW123" s="230">
        <v>16182000</v>
      </c>
      <c r="AX123" s="230">
        <v>4626000</v>
      </c>
      <c r="AY123" s="229">
        <v>0.28589999999999999</v>
      </c>
      <c r="AZ123" s="230">
        <v>1575000</v>
      </c>
      <c r="BA123" s="230">
        <v>732000</v>
      </c>
      <c r="BB123" s="230">
        <v>843000</v>
      </c>
      <c r="BC123" s="229">
        <v>1.1516</v>
      </c>
      <c r="BD123" s="230">
        <v>66000</v>
      </c>
      <c r="BE123" s="230">
        <v>81000</v>
      </c>
      <c r="BF123" s="230">
        <v>-15000</v>
      </c>
      <c r="BG123" s="229">
        <v>-0.1852</v>
      </c>
      <c r="BH123" s="230">
        <v>35346000</v>
      </c>
      <c r="BI123" s="230">
        <v>32367000</v>
      </c>
      <c r="BJ123" s="230">
        <v>2979000</v>
      </c>
      <c r="BK123" s="229">
        <v>9.1999999999999998E-2</v>
      </c>
      <c r="BL123" s="230">
        <v>27459000</v>
      </c>
      <c r="BM123" s="230">
        <v>17205000</v>
      </c>
      <c r="BN123" s="230">
        <v>10254000</v>
      </c>
      <c r="BO123" s="229">
        <v>0.59599999999999997</v>
      </c>
      <c r="BP123" s="230">
        <v>85254000</v>
      </c>
      <c r="BQ123" s="230">
        <v>66567000</v>
      </c>
      <c r="BR123" s="230">
        <v>18687000</v>
      </c>
      <c r="BS123" s="229">
        <v>0.28070000000000001</v>
      </c>
      <c r="BT123" s="230">
        <v>6531644</v>
      </c>
      <c r="BU123" s="230">
        <v>5012420</v>
      </c>
      <c r="BV123" s="230">
        <v>1519224</v>
      </c>
      <c r="BW123" s="229">
        <v>0.30309999999999998</v>
      </c>
      <c r="BX123" s="230">
        <v>49098000</v>
      </c>
      <c r="BY123" s="230">
        <v>49494000</v>
      </c>
      <c r="BZ123" s="230">
        <v>-396000</v>
      </c>
      <c r="CA123" s="229">
        <v>-8.0000000000000002E-3</v>
      </c>
      <c r="CB123" s="230">
        <v>48009000</v>
      </c>
      <c r="CC123" s="230">
        <v>48462000</v>
      </c>
      <c r="CD123" s="230">
        <v>-453000</v>
      </c>
      <c r="CE123" s="229">
        <v>-9.2999999999999992E-3</v>
      </c>
      <c r="CF123" s="230">
        <v>921000</v>
      </c>
      <c r="CG123" s="230">
        <v>906000</v>
      </c>
      <c r="CH123" s="230">
        <v>15000</v>
      </c>
      <c r="CI123" s="229">
        <v>1.66E-2</v>
      </c>
      <c r="CJ123" s="230">
        <v>168000</v>
      </c>
      <c r="CK123" s="230">
        <v>126000</v>
      </c>
      <c r="CL123" s="230">
        <v>42000</v>
      </c>
      <c r="CM123" s="229">
        <v>0.33329999999999999</v>
      </c>
      <c r="CN123" s="230">
        <v>22245000</v>
      </c>
      <c r="CO123" s="230">
        <v>22830000</v>
      </c>
      <c r="CP123" s="230">
        <v>-585000</v>
      </c>
      <c r="CQ123" s="229">
        <v>-2.5600000000000001E-2</v>
      </c>
      <c r="CR123" s="230">
        <v>21354000</v>
      </c>
      <c r="CS123" s="230">
        <v>18096000</v>
      </c>
      <c r="CT123" s="230">
        <v>3258000</v>
      </c>
      <c r="CU123" s="229">
        <v>0.18</v>
      </c>
      <c r="CV123" s="230">
        <v>92697000</v>
      </c>
      <c r="CW123" s="230">
        <v>90420000</v>
      </c>
      <c r="CX123" s="230">
        <v>2277000</v>
      </c>
      <c r="CY123" s="229">
        <v>2.52E-2</v>
      </c>
      <c r="CZ123" s="228">
        <v>45.8</v>
      </c>
      <c r="DA123" s="228">
        <v>44.47</v>
      </c>
      <c r="DB123" s="228">
        <v>1.33</v>
      </c>
      <c r="DC123" s="228">
        <v>1.33</v>
      </c>
      <c r="DD123" s="228">
        <v>42.97</v>
      </c>
      <c r="DE123" s="228">
        <v>42.99</v>
      </c>
      <c r="DF123" s="228">
        <v>2.83</v>
      </c>
      <c r="DG123" s="228">
        <v>-0.02</v>
      </c>
      <c r="DH123" s="228">
        <v>45.13</v>
      </c>
      <c r="DI123" s="228">
        <v>43.73</v>
      </c>
      <c r="DJ123" s="228">
        <v>1.4</v>
      </c>
      <c r="DK123" s="228">
        <v>1.4</v>
      </c>
      <c r="DL123" s="228">
        <v>46.67</v>
      </c>
      <c r="DM123" s="228">
        <v>45.86</v>
      </c>
      <c r="DN123" s="228">
        <v>0.81</v>
      </c>
      <c r="DO123" s="228">
        <v>0.81</v>
      </c>
      <c r="DP123" s="228">
        <v>0.96</v>
      </c>
      <c r="DQ123" s="228">
        <v>0.79</v>
      </c>
      <c r="DR123" s="228">
        <v>0.17</v>
      </c>
      <c r="DS123" s="229">
        <v>0.2152</v>
      </c>
      <c r="DT123" s="228">
        <v>300</v>
      </c>
      <c r="DU123" s="228">
        <v>300</v>
      </c>
      <c r="DV123" s="228">
        <v>0.78</v>
      </c>
      <c r="DW123" s="228">
        <v>0.53</v>
      </c>
      <c r="DX123" s="228">
        <v>0.25</v>
      </c>
      <c r="DY123" s="229">
        <v>0.47170000000000001</v>
      </c>
      <c r="DZ123" s="229">
        <v>2.2200000000000001E-2</v>
      </c>
      <c r="EA123" s="230">
        <v>1032000</v>
      </c>
      <c r="EB123" s="229">
        <v>6.3E-3</v>
      </c>
      <c r="EC123" s="229">
        <v>2.2200000000000001E-2</v>
      </c>
      <c r="ED123" s="228">
        <v>3.23</v>
      </c>
      <c r="EE123" s="229">
        <v>1.0500000000000001E-2</v>
      </c>
      <c r="EF123" s="230">
        <v>2249926</v>
      </c>
      <c r="EG123" s="230">
        <v>1632490</v>
      </c>
      <c r="EH123" s="229">
        <v>0.37819999999999998</v>
      </c>
      <c r="EI123" s="229">
        <v>0.34449999999999997</v>
      </c>
      <c r="EJ123" s="231">
        <v>113793.76</v>
      </c>
      <c r="EK123" s="231">
        <v>84093.11</v>
      </c>
      <c r="EL123" s="231">
        <v>69062.98</v>
      </c>
      <c r="EM123" s="231">
        <v>5373</v>
      </c>
      <c r="EN123" s="231">
        <v>266949.84999999998</v>
      </c>
      <c r="EO123" s="231">
        <v>208786.25</v>
      </c>
      <c r="EP123" s="231">
        <v>58163.6</v>
      </c>
      <c r="EQ123" s="229">
        <v>0.27860000000000001</v>
      </c>
      <c r="ER123" s="231">
        <v>68215</v>
      </c>
      <c r="ES123" s="231">
        <v>60503</v>
      </c>
      <c r="ET123" s="231">
        <v>148764</v>
      </c>
      <c r="EU123" s="231">
        <v>82205057</v>
      </c>
      <c r="EV123" s="231">
        <v>277483</v>
      </c>
      <c r="EW123" s="231">
        <v>273460</v>
      </c>
      <c r="EX123" s="231">
        <v>4023</v>
      </c>
      <c r="EY123" s="229">
        <v>1.47E-2</v>
      </c>
      <c r="EZ123" s="229">
        <v>1.1275999999999999</v>
      </c>
      <c r="FA123" s="227" t="s">
        <v>568</v>
      </c>
      <c r="FB123" s="161">
        <f t="shared" si="1"/>
        <v>1089000</v>
      </c>
    </row>
    <row r="124" spans="1:158" ht="17.25" hidden="1" thickBot="1" x14ac:dyDescent="0.3">
      <c r="A124" s="226">
        <v>46064</v>
      </c>
      <c r="B124" s="227" t="s">
        <v>170</v>
      </c>
      <c r="C124" s="227" t="s">
        <v>671</v>
      </c>
      <c r="D124" s="228">
        <v>225</v>
      </c>
      <c r="E124" s="231">
        <v>2085.8000000000002</v>
      </c>
      <c r="F124" s="231">
        <v>2074.5</v>
      </c>
      <c r="G124" s="228">
        <v>11.3</v>
      </c>
      <c r="H124" s="229">
        <v>5.4000000000000003E-3</v>
      </c>
      <c r="I124" s="231">
        <v>2087</v>
      </c>
      <c r="J124" s="231">
        <v>2073.1</v>
      </c>
      <c r="K124" s="228">
        <v>13.9</v>
      </c>
      <c r="L124" s="229">
        <v>6.7000000000000002E-3</v>
      </c>
      <c r="M124" s="231">
        <v>2085.8000000000002</v>
      </c>
      <c r="N124" s="231">
        <v>2074.5</v>
      </c>
      <c r="O124" s="228">
        <v>11.3</v>
      </c>
      <c r="P124" s="229">
        <v>5.4000000000000003E-3</v>
      </c>
      <c r="Q124" s="231">
        <v>2086.4</v>
      </c>
      <c r="R124" s="231">
        <v>2076.1999999999998</v>
      </c>
      <c r="S124" s="228">
        <v>10.199999999999999</v>
      </c>
      <c r="T124" s="229">
        <v>4.8999999999999998E-3</v>
      </c>
      <c r="U124" s="231">
        <v>2095.6</v>
      </c>
      <c r="V124" s="231">
        <v>2086</v>
      </c>
      <c r="W124" s="228">
        <v>9.6</v>
      </c>
      <c r="X124" s="229">
        <v>4.5999999999999999E-3</v>
      </c>
      <c r="Y124" s="228">
        <v>-1.2</v>
      </c>
      <c r="Z124" s="228">
        <v>1.4</v>
      </c>
      <c r="AA124" s="228">
        <v>-2.6</v>
      </c>
      <c r="AB124" s="229">
        <v>-5.9999999999999995E-4</v>
      </c>
      <c r="AC124" s="228">
        <v>-1.2</v>
      </c>
      <c r="AD124" s="228">
        <v>1.4</v>
      </c>
      <c r="AE124" s="228">
        <v>-2.6</v>
      </c>
      <c r="AF124" s="229">
        <v>-5.9999999999999995E-4</v>
      </c>
      <c r="AG124" s="228">
        <v>-0.6</v>
      </c>
      <c r="AH124" s="228">
        <v>3.1</v>
      </c>
      <c r="AI124" s="228">
        <v>-3.7</v>
      </c>
      <c r="AJ124" s="229">
        <v>-2.9999999999999997E-4</v>
      </c>
      <c r="AK124" s="228">
        <v>8.6</v>
      </c>
      <c r="AL124" s="228">
        <v>12.9</v>
      </c>
      <c r="AM124" s="228">
        <v>-4.3</v>
      </c>
      <c r="AN124" s="229">
        <v>4.1000000000000003E-3</v>
      </c>
      <c r="AO124" s="231">
        <v>2082.5500000000002</v>
      </c>
      <c r="AP124" s="231">
        <v>2083.0100000000002</v>
      </c>
      <c r="AQ124" s="228">
        <v>0</v>
      </c>
      <c r="AR124" s="230">
        <v>263700</v>
      </c>
      <c r="AS124" s="230">
        <v>324225</v>
      </c>
      <c r="AT124" s="230">
        <v>-60525</v>
      </c>
      <c r="AU124" s="229">
        <v>-0.1867</v>
      </c>
      <c r="AV124" s="230">
        <v>227250</v>
      </c>
      <c r="AW124" s="230">
        <v>261900</v>
      </c>
      <c r="AX124" s="230">
        <v>-34650</v>
      </c>
      <c r="AY124" s="229">
        <v>-0.1323</v>
      </c>
      <c r="AZ124" s="230">
        <v>32175</v>
      </c>
      <c r="BA124" s="230">
        <v>48600</v>
      </c>
      <c r="BB124" s="230">
        <v>-16425</v>
      </c>
      <c r="BC124" s="229">
        <v>-0.33800000000000002</v>
      </c>
      <c r="BD124" s="230">
        <v>4275</v>
      </c>
      <c r="BE124" s="230">
        <v>13725</v>
      </c>
      <c r="BF124" s="230">
        <v>-9450</v>
      </c>
      <c r="BG124" s="229">
        <v>-0.6885</v>
      </c>
      <c r="BH124" s="230">
        <v>918900</v>
      </c>
      <c r="BI124" s="230">
        <v>668025</v>
      </c>
      <c r="BJ124" s="230">
        <v>250875</v>
      </c>
      <c r="BK124" s="229">
        <v>0.3755</v>
      </c>
      <c r="BL124" s="230">
        <v>179550</v>
      </c>
      <c r="BM124" s="230">
        <v>162900</v>
      </c>
      <c r="BN124" s="230">
        <v>16650</v>
      </c>
      <c r="BO124" s="229">
        <v>0.1022</v>
      </c>
      <c r="BP124" s="230">
        <v>1362150</v>
      </c>
      <c r="BQ124" s="230">
        <v>1155150</v>
      </c>
      <c r="BR124" s="230">
        <v>207000</v>
      </c>
      <c r="BS124" s="229">
        <v>0.1792</v>
      </c>
      <c r="BT124" s="230">
        <v>194760</v>
      </c>
      <c r="BU124" s="230">
        <v>276668</v>
      </c>
      <c r="BV124" s="230">
        <v>-81908</v>
      </c>
      <c r="BW124" s="229">
        <v>-0.29609999999999997</v>
      </c>
      <c r="BX124" s="230">
        <v>2744325</v>
      </c>
      <c r="BY124" s="230">
        <v>2725650</v>
      </c>
      <c r="BZ124" s="230">
        <v>18675</v>
      </c>
      <c r="CA124" s="229">
        <v>6.8999999999999999E-3</v>
      </c>
      <c r="CB124" s="230">
        <v>2529225</v>
      </c>
      <c r="CC124" s="230">
        <v>2519100</v>
      </c>
      <c r="CD124" s="230">
        <v>10125</v>
      </c>
      <c r="CE124" s="229">
        <v>4.0000000000000001E-3</v>
      </c>
      <c r="CF124" s="230">
        <v>145125</v>
      </c>
      <c r="CG124" s="230">
        <v>138375</v>
      </c>
      <c r="CH124" s="230">
        <v>6750</v>
      </c>
      <c r="CI124" s="229">
        <v>4.8800000000000003E-2</v>
      </c>
      <c r="CJ124" s="230">
        <v>69975</v>
      </c>
      <c r="CK124" s="230">
        <v>68175</v>
      </c>
      <c r="CL124" s="230">
        <v>1800</v>
      </c>
      <c r="CM124" s="229">
        <v>2.64E-2</v>
      </c>
      <c r="CN124" s="230">
        <v>1732725</v>
      </c>
      <c r="CO124" s="230">
        <v>1767375</v>
      </c>
      <c r="CP124" s="230">
        <v>-34650</v>
      </c>
      <c r="CQ124" s="229">
        <v>-1.9599999999999999E-2</v>
      </c>
      <c r="CR124" s="230">
        <v>657450</v>
      </c>
      <c r="CS124" s="230">
        <v>661050</v>
      </c>
      <c r="CT124" s="230">
        <v>-3600</v>
      </c>
      <c r="CU124" s="229">
        <v>-5.4000000000000003E-3</v>
      </c>
      <c r="CV124" s="230">
        <v>5134500</v>
      </c>
      <c r="CW124" s="230">
        <v>5154075</v>
      </c>
      <c r="CX124" s="230">
        <v>-19575</v>
      </c>
      <c r="CY124" s="229">
        <v>-3.8E-3</v>
      </c>
      <c r="CZ124" s="228">
        <v>27.9</v>
      </c>
      <c r="DA124" s="228">
        <v>29.15</v>
      </c>
      <c r="DB124" s="228">
        <v>-1.25</v>
      </c>
      <c r="DC124" s="228">
        <v>-1.25</v>
      </c>
      <c r="DD124" s="228">
        <v>32.65</v>
      </c>
      <c r="DE124" s="228">
        <v>32.72</v>
      </c>
      <c r="DF124" s="228">
        <v>-4.75</v>
      </c>
      <c r="DG124" s="228">
        <v>-7.0000000000000007E-2</v>
      </c>
      <c r="DH124" s="228">
        <v>28.15</v>
      </c>
      <c r="DI124" s="228">
        <v>29.61</v>
      </c>
      <c r="DJ124" s="228">
        <v>-1.46</v>
      </c>
      <c r="DK124" s="228">
        <v>-1.46</v>
      </c>
      <c r="DL124" s="228">
        <v>26.63</v>
      </c>
      <c r="DM124" s="228">
        <v>27.26</v>
      </c>
      <c r="DN124" s="228">
        <v>-0.63</v>
      </c>
      <c r="DO124" s="228">
        <v>-0.63</v>
      </c>
      <c r="DP124" s="228">
        <v>0.38</v>
      </c>
      <c r="DQ124" s="228">
        <v>0.37</v>
      </c>
      <c r="DR124" s="228">
        <v>0.01</v>
      </c>
      <c r="DS124" s="229">
        <v>2.7E-2</v>
      </c>
      <c r="DT124" s="231">
        <v>2200</v>
      </c>
      <c r="DU124" s="231">
        <v>2100</v>
      </c>
      <c r="DV124" s="228">
        <v>0.2</v>
      </c>
      <c r="DW124" s="228">
        <v>0.24</v>
      </c>
      <c r="DX124" s="228">
        <v>-0.04</v>
      </c>
      <c r="DY124" s="229">
        <v>-0.16669999999999999</v>
      </c>
      <c r="DZ124" s="229">
        <v>7.8399999999999997E-2</v>
      </c>
      <c r="EA124" s="230">
        <v>206550</v>
      </c>
      <c r="EB124" s="229">
        <v>2.9999999999999997E-4</v>
      </c>
      <c r="EC124" s="229">
        <v>7.8399999999999997E-2</v>
      </c>
      <c r="ED124" s="228">
        <v>0.46</v>
      </c>
      <c r="EE124" s="229">
        <v>2.0000000000000001E-4</v>
      </c>
      <c r="EF124" s="230">
        <v>112207</v>
      </c>
      <c r="EG124" s="230">
        <v>159338</v>
      </c>
      <c r="EH124" s="229">
        <v>-0.29580000000000001</v>
      </c>
      <c r="EI124" s="229">
        <v>0.57609999999999995</v>
      </c>
      <c r="EJ124" s="231">
        <v>20245.73</v>
      </c>
      <c r="EK124" s="231">
        <v>3618.58</v>
      </c>
      <c r="EL124" s="231">
        <v>5492.23</v>
      </c>
      <c r="EM124" s="231">
        <v>2554</v>
      </c>
      <c r="EN124" s="231">
        <v>29356.54</v>
      </c>
      <c r="EO124" s="231">
        <v>24862.06</v>
      </c>
      <c r="EP124" s="231">
        <v>4494.4799999999996</v>
      </c>
      <c r="EQ124" s="229">
        <v>0.18079999999999999</v>
      </c>
      <c r="ER124" s="231">
        <v>38410</v>
      </c>
      <c r="ES124" s="231">
        <v>13453</v>
      </c>
      <c r="ET124" s="231">
        <v>57249</v>
      </c>
      <c r="EU124" s="231">
        <v>16919681</v>
      </c>
      <c r="EV124" s="231">
        <v>109111</v>
      </c>
      <c r="EW124" s="231">
        <v>109300</v>
      </c>
      <c r="EX124" s="228">
        <v>-189</v>
      </c>
      <c r="EY124" s="229">
        <v>-1.6999999999999999E-3</v>
      </c>
      <c r="EZ124" s="229">
        <v>0.30349999999999999</v>
      </c>
      <c r="FA124" s="227" t="s">
        <v>555</v>
      </c>
      <c r="FB124" s="161">
        <f t="shared" si="1"/>
        <v>215100</v>
      </c>
    </row>
    <row r="125" spans="1:158" ht="17.25" hidden="1" thickBot="1" x14ac:dyDescent="0.3">
      <c r="A125" s="226">
        <v>46064</v>
      </c>
      <c r="B125" s="227" t="s">
        <v>168</v>
      </c>
      <c r="C125" s="227" t="s">
        <v>254</v>
      </c>
      <c r="D125" s="228">
        <v>1200</v>
      </c>
      <c r="E125" s="228">
        <v>770.9</v>
      </c>
      <c r="F125" s="228">
        <v>765.25</v>
      </c>
      <c r="G125" s="228">
        <v>5.65</v>
      </c>
      <c r="H125" s="229">
        <v>7.4000000000000003E-3</v>
      </c>
      <c r="I125" s="228">
        <v>770.4</v>
      </c>
      <c r="J125" s="228">
        <v>764.85</v>
      </c>
      <c r="K125" s="228">
        <v>5.55</v>
      </c>
      <c r="L125" s="229">
        <v>7.3000000000000001E-3</v>
      </c>
      <c r="M125" s="228">
        <v>770.9</v>
      </c>
      <c r="N125" s="228">
        <v>765.25</v>
      </c>
      <c r="O125" s="228">
        <v>5.65</v>
      </c>
      <c r="P125" s="229">
        <v>7.4000000000000003E-3</v>
      </c>
      <c r="Q125" s="228">
        <v>770.5</v>
      </c>
      <c r="R125" s="228">
        <v>765.1</v>
      </c>
      <c r="S125" s="228">
        <v>5.4</v>
      </c>
      <c r="T125" s="229">
        <v>7.1000000000000004E-3</v>
      </c>
      <c r="U125" s="228">
        <v>769.4</v>
      </c>
      <c r="V125" s="228">
        <v>762.75</v>
      </c>
      <c r="W125" s="228">
        <v>6.65</v>
      </c>
      <c r="X125" s="229">
        <v>8.6999999999999994E-3</v>
      </c>
      <c r="Y125" s="228">
        <v>0.5</v>
      </c>
      <c r="Z125" s="228">
        <v>0.4</v>
      </c>
      <c r="AA125" s="228">
        <v>0.1</v>
      </c>
      <c r="AB125" s="229">
        <v>5.9999999999999995E-4</v>
      </c>
      <c r="AC125" s="228">
        <v>0.5</v>
      </c>
      <c r="AD125" s="228">
        <v>0.4</v>
      </c>
      <c r="AE125" s="228">
        <v>0.1</v>
      </c>
      <c r="AF125" s="229">
        <v>5.9999999999999995E-4</v>
      </c>
      <c r="AG125" s="228">
        <v>0.1</v>
      </c>
      <c r="AH125" s="228">
        <v>0.25</v>
      </c>
      <c r="AI125" s="228">
        <v>-0.15</v>
      </c>
      <c r="AJ125" s="229">
        <v>1E-4</v>
      </c>
      <c r="AK125" s="228">
        <v>-1</v>
      </c>
      <c r="AL125" s="228">
        <v>-2.1</v>
      </c>
      <c r="AM125" s="228">
        <v>1.1000000000000001</v>
      </c>
      <c r="AN125" s="229">
        <v>-1.2999999999999999E-3</v>
      </c>
      <c r="AO125" s="228">
        <v>769.64</v>
      </c>
      <c r="AP125" s="228">
        <v>769.29</v>
      </c>
      <c r="AQ125" s="228">
        <v>0</v>
      </c>
      <c r="AR125" s="230">
        <v>1668000</v>
      </c>
      <c r="AS125" s="230">
        <v>1862400</v>
      </c>
      <c r="AT125" s="230">
        <v>-194400</v>
      </c>
      <c r="AU125" s="229">
        <v>-0.10440000000000001</v>
      </c>
      <c r="AV125" s="230">
        <v>1590000</v>
      </c>
      <c r="AW125" s="230">
        <v>1762800</v>
      </c>
      <c r="AX125" s="230">
        <v>-172800</v>
      </c>
      <c r="AY125" s="229">
        <v>-9.8000000000000004E-2</v>
      </c>
      <c r="AZ125" s="230">
        <v>75600</v>
      </c>
      <c r="BA125" s="230">
        <v>94800</v>
      </c>
      <c r="BB125" s="230">
        <v>-19200</v>
      </c>
      <c r="BC125" s="229">
        <v>-0.20250000000000001</v>
      </c>
      <c r="BD125" s="230">
        <v>2400</v>
      </c>
      <c r="BE125" s="230">
        <v>4800</v>
      </c>
      <c r="BF125" s="230">
        <v>-2400</v>
      </c>
      <c r="BG125" s="229">
        <v>-0.5</v>
      </c>
      <c r="BH125" s="230">
        <v>10530000</v>
      </c>
      <c r="BI125" s="230">
        <v>8541600</v>
      </c>
      <c r="BJ125" s="230">
        <v>1988400</v>
      </c>
      <c r="BK125" s="229">
        <v>0.23280000000000001</v>
      </c>
      <c r="BL125" s="230">
        <v>4629600</v>
      </c>
      <c r="BM125" s="230">
        <v>3710400</v>
      </c>
      <c r="BN125" s="230">
        <v>919200</v>
      </c>
      <c r="BO125" s="229">
        <v>0.2477</v>
      </c>
      <c r="BP125" s="230">
        <v>16827600</v>
      </c>
      <c r="BQ125" s="230">
        <v>14114400</v>
      </c>
      <c r="BR125" s="230">
        <v>2713200</v>
      </c>
      <c r="BS125" s="229">
        <v>0.19220000000000001</v>
      </c>
      <c r="BT125" s="230">
        <v>1117118</v>
      </c>
      <c r="BU125" s="230">
        <v>1546221</v>
      </c>
      <c r="BV125" s="230">
        <v>-429103</v>
      </c>
      <c r="BW125" s="229">
        <v>-0.27750000000000002</v>
      </c>
      <c r="BX125" s="230">
        <v>28555200</v>
      </c>
      <c r="BY125" s="230">
        <v>28617600</v>
      </c>
      <c r="BZ125" s="230">
        <v>-62400</v>
      </c>
      <c r="CA125" s="229">
        <v>-2.2000000000000001E-3</v>
      </c>
      <c r="CB125" s="230">
        <v>28366800</v>
      </c>
      <c r="CC125" s="230">
        <v>28440000</v>
      </c>
      <c r="CD125" s="230">
        <v>-73200</v>
      </c>
      <c r="CE125" s="229">
        <v>-2.5999999999999999E-3</v>
      </c>
      <c r="CF125" s="230">
        <v>174000</v>
      </c>
      <c r="CG125" s="230">
        <v>164400</v>
      </c>
      <c r="CH125" s="230">
        <v>9600</v>
      </c>
      <c r="CI125" s="229">
        <v>5.8400000000000001E-2</v>
      </c>
      <c r="CJ125" s="230">
        <v>14400</v>
      </c>
      <c r="CK125" s="230">
        <v>13200</v>
      </c>
      <c r="CL125" s="230">
        <v>1200</v>
      </c>
      <c r="CM125" s="229">
        <v>9.0899999999999995E-2</v>
      </c>
      <c r="CN125" s="230">
        <v>5157600</v>
      </c>
      <c r="CO125" s="230">
        <v>5244000</v>
      </c>
      <c r="CP125" s="230">
        <v>-86400</v>
      </c>
      <c r="CQ125" s="229">
        <v>-1.6500000000000001E-2</v>
      </c>
      <c r="CR125" s="230">
        <v>4314000</v>
      </c>
      <c r="CS125" s="230">
        <v>4020000</v>
      </c>
      <c r="CT125" s="230">
        <v>294000</v>
      </c>
      <c r="CU125" s="229">
        <v>7.3099999999999998E-2</v>
      </c>
      <c r="CV125" s="230">
        <v>38026800</v>
      </c>
      <c r="CW125" s="230">
        <v>37881600</v>
      </c>
      <c r="CX125" s="230">
        <v>145200</v>
      </c>
      <c r="CY125" s="229">
        <v>3.8E-3</v>
      </c>
      <c r="CZ125" s="228">
        <v>19.350000000000001</v>
      </c>
      <c r="DA125" s="228">
        <v>19.38</v>
      </c>
      <c r="DB125" s="228">
        <v>-0.03</v>
      </c>
      <c r="DC125" s="228">
        <v>-0.03</v>
      </c>
      <c r="DD125" s="228">
        <v>24.02</v>
      </c>
      <c r="DE125" s="228">
        <v>24.06</v>
      </c>
      <c r="DF125" s="228">
        <v>-4.67</v>
      </c>
      <c r="DG125" s="228">
        <v>-0.04</v>
      </c>
      <c r="DH125" s="228">
        <v>18.600000000000001</v>
      </c>
      <c r="DI125" s="228">
        <v>18.989999999999998</v>
      </c>
      <c r="DJ125" s="228">
        <v>-0.39</v>
      </c>
      <c r="DK125" s="228">
        <v>-0.39</v>
      </c>
      <c r="DL125" s="228">
        <v>21.07</v>
      </c>
      <c r="DM125" s="228">
        <v>20.260000000000002</v>
      </c>
      <c r="DN125" s="228">
        <v>0.81</v>
      </c>
      <c r="DO125" s="228">
        <v>0.81</v>
      </c>
      <c r="DP125" s="228">
        <v>0.84</v>
      </c>
      <c r="DQ125" s="228">
        <v>0.77</v>
      </c>
      <c r="DR125" s="228">
        <v>7.0000000000000007E-2</v>
      </c>
      <c r="DS125" s="229">
        <v>9.0899999999999995E-2</v>
      </c>
      <c r="DT125" s="228">
        <v>800</v>
      </c>
      <c r="DU125" s="228">
        <v>735</v>
      </c>
      <c r="DV125" s="228">
        <v>0.44</v>
      </c>
      <c r="DW125" s="228">
        <v>0.43</v>
      </c>
      <c r="DX125" s="228">
        <v>0.01</v>
      </c>
      <c r="DY125" s="229">
        <v>2.3300000000000001E-2</v>
      </c>
      <c r="DZ125" s="229">
        <v>6.6E-3</v>
      </c>
      <c r="EA125" s="230">
        <v>177600</v>
      </c>
      <c r="EB125" s="229">
        <v>-5.0000000000000001E-4</v>
      </c>
      <c r="EC125" s="229">
        <v>6.6E-3</v>
      </c>
      <c r="ED125" s="228">
        <v>-0.35</v>
      </c>
      <c r="EE125" s="229">
        <v>-5.0000000000000001E-4</v>
      </c>
      <c r="EF125" s="230">
        <v>675529</v>
      </c>
      <c r="EG125" s="230">
        <v>978529</v>
      </c>
      <c r="EH125" s="229">
        <v>-0.30959999999999999</v>
      </c>
      <c r="EI125" s="229">
        <v>0.60470000000000002</v>
      </c>
      <c r="EJ125" s="231">
        <v>83086.55</v>
      </c>
      <c r="EK125" s="231">
        <v>34065.17</v>
      </c>
      <c r="EL125" s="231">
        <v>12837.42</v>
      </c>
      <c r="EM125" s="231">
        <v>1928</v>
      </c>
      <c r="EN125" s="231">
        <v>129989.14</v>
      </c>
      <c r="EO125" s="231">
        <v>108573.6</v>
      </c>
      <c r="EP125" s="231">
        <v>21415.54</v>
      </c>
      <c r="EQ125" s="229">
        <v>0.19719999999999999</v>
      </c>
      <c r="ER125" s="231">
        <v>40524</v>
      </c>
      <c r="ES125" s="231">
        <v>31264</v>
      </c>
      <c r="ET125" s="231">
        <v>220131</v>
      </c>
      <c r="EU125" s="231">
        <v>79442217</v>
      </c>
      <c r="EV125" s="231">
        <v>291919</v>
      </c>
      <c r="EW125" s="231">
        <v>288916</v>
      </c>
      <c r="EX125" s="231">
        <v>3003</v>
      </c>
      <c r="EY125" s="229">
        <v>1.04E-2</v>
      </c>
      <c r="EZ125" s="229">
        <v>0.47870000000000001</v>
      </c>
      <c r="FA125" s="227" t="s">
        <v>556</v>
      </c>
      <c r="FB125" s="161">
        <f t="shared" si="1"/>
        <v>188400</v>
      </c>
    </row>
    <row r="126" spans="1:158" ht="17.25" hidden="1" thickBot="1" x14ac:dyDescent="0.3">
      <c r="A126" s="226">
        <v>46064</v>
      </c>
      <c r="B126" s="227" t="s">
        <v>162</v>
      </c>
      <c r="C126" s="227" t="s">
        <v>255</v>
      </c>
      <c r="D126" s="228">
        <v>50</v>
      </c>
      <c r="E126" s="231">
        <v>15418</v>
      </c>
      <c r="F126" s="231">
        <v>15197</v>
      </c>
      <c r="G126" s="228">
        <v>221</v>
      </c>
      <c r="H126" s="229">
        <v>1.4500000000000001E-2</v>
      </c>
      <c r="I126" s="231">
        <v>15412</v>
      </c>
      <c r="J126" s="231">
        <v>15146</v>
      </c>
      <c r="K126" s="228">
        <v>266</v>
      </c>
      <c r="L126" s="229">
        <v>1.7600000000000001E-2</v>
      </c>
      <c r="M126" s="231">
        <v>15418</v>
      </c>
      <c r="N126" s="231">
        <v>15197</v>
      </c>
      <c r="O126" s="228">
        <v>221</v>
      </c>
      <c r="P126" s="229">
        <v>1.4500000000000001E-2</v>
      </c>
      <c r="Q126" s="231">
        <v>15515</v>
      </c>
      <c r="R126" s="231">
        <v>15285</v>
      </c>
      <c r="S126" s="228">
        <v>230</v>
      </c>
      <c r="T126" s="229">
        <v>1.4999999999999999E-2</v>
      </c>
      <c r="U126" s="231">
        <v>15608</v>
      </c>
      <c r="V126" s="231">
        <v>15386</v>
      </c>
      <c r="W126" s="228">
        <v>222</v>
      </c>
      <c r="X126" s="229">
        <v>1.44E-2</v>
      </c>
      <c r="Y126" s="228">
        <v>6</v>
      </c>
      <c r="Z126" s="228">
        <v>51</v>
      </c>
      <c r="AA126" s="228">
        <v>-45</v>
      </c>
      <c r="AB126" s="229">
        <v>4.0000000000000002E-4</v>
      </c>
      <c r="AC126" s="228">
        <v>6</v>
      </c>
      <c r="AD126" s="228">
        <v>51</v>
      </c>
      <c r="AE126" s="228">
        <v>-45</v>
      </c>
      <c r="AF126" s="229">
        <v>4.0000000000000002E-4</v>
      </c>
      <c r="AG126" s="228">
        <v>103</v>
      </c>
      <c r="AH126" s="228">
        <v>139</v>
      </c>
      <c r="AI126" s="228">
        <v>-36</v>
      </c>
      <c r="AJ126" s="229">
        <v>6.7000000000000002E-3</v>
      </c>
      <c r="AK126" s="228">
        <v>196</v>
      </c>
      <c r="AL126" s="228">
        <v>240</v>
      </c>
      <c r="AM126" s="228">
        <v>-44</v>
      </c>
      <c r="AN126" s="229">
        <v>1.2699999999999999E-2</v>
      </c>
      <c r="AO126" s="231">
        <v>15378.23</v>
      </c>
      <c r="AP126" s="231">
        <v>15470.28</v>
      </c>
      <c r="AQ126" s="228">
        <v>0</v>
      </c>
      <c r="AR126" s="230">
        <v>582250</v>
      </c>
      <c r="AS126" s="230">
        <v>558450</v>
      </c>
      <c r="AT126" s="230">
        <v>23800</v>
      </c>
      <c r="AU126" s="229">
        <v>4.2599999999999999E-2</v>
      </c>
      <c r="AV126" s="230">
        <v>539100</v>
      </c>
      <c r="AW126" s="230">
        <v>509750</v>
      </c>
      <c r="AX126" s="230">
        <v>29350</v>
      </c>
      <c r="AY126" s="229">
        <v>5.7599999999999998E-2</v>
      </c>
      <c r="AZ126" s="230">
        <v>40850</v>
      </c>
      <c r="BA126" s="230">
        <v>45250</v>
      </c>
      <c r="BB126" s="230">
        <v>-4400</v>
      </c>
      <c r="BC126" s="229">
        <v>-9.7199999999999995E-2</v>
      </c>
      <c r="BD126" s="230">
        <v>2300</v>
      </c>
      <c r="BE126" s="230">
        <v>3450</v>
      </c>
      <c r="BF126" s="230">
        <v>-1150</v>
      </c>
      <c r="BG126" s="229">
        <v>-0.33329999999999999</v>
      </c>
      <c r="BH126" s="230">
        <v>7522450</v>
      </c>
      <c r="BI126" s="230">
        <v>8535250</v>
      </c>
      <c r="BJ126" s="230">
        <v>-1012800</v>
      </c>
      <c r="BK126" s="229">
        <v>-0.1187</v>
      </c>
      <c r="BL126" s="230">
        <v>3257150</v>
      </c>
      <c r="BM126" s="230">
        <v>3542300</v>
      </c>
      <c r="BN126" s="230">
        <v>-285150</v>
      </c>
      <c r="BO126" s="229">
        <v>-8.0500000000000002E-2</v>
      </c>
      <c r="BP126" s="230">
        <v>11361850</v>
      </c>
      <c r="BQ126" s="230">
        <v>12636000</v>
      </c>
      <c r="BR126" s="230">
        <v>-1274150</v>
      </c>
      <c r="BS126" s="229">
        <v>-0.1008</v>
      </c>
      <c r="BT126" s="230">
        <v>374793</v>
      </c>
      <c r="BU126" s="230">
        <v>371688</v>
      </c>
      <c r="BV126" s="230">
        <v>3105</v>
      </c>
      <c r="BW126" s="229">
        <v>8.3999999999999995E-3</v>
      </c>
      <c r="BX126" s="230">
        <v>3214900</v>
      </c>
      <c r="BY126" s="230">
        <v>3189200</v>
      </c>
      <c r="BZ126" s="230">
        <v>25700</v>
      </c>
      <c r="CA126" s="229">
        <v>8.0999999999999996E-3</v>
      </c>
      <c r="CB126" s="230">
        <v>2984850</v>
      </c>
      <c r="CC126" s="230">
        <v>2968450</v>
      </c>
      <c r="CD126" s="230">
        <v>16400</v>
      </c>
      <c r="CE126" s="229">
        <v>5.4999999999999997E-3</v>
      </c>
      <c r="CF126" s="230">
        <v>215250</v>
      </c>
      <c r="CG126" s="230">
        <v>206550</v>
      </c>
      <c r="CH126" s="230">
        <v>8700</v>
      </c>
      <c r="CI126" s="229">
        <v>4.2099999999999999E-2</v>
      </c>
      <c r="CJ126" s="230">
        <v>14800</v>
      </c>
      <c r="CK126" s="230">
        <v>14200</v>
      </c>
      <c r="CL126" s="228">
        <v>600</v>
      </c>
      <c r="CM126" s="229">
        <v>4.2299999999999997E-2</v>
      </c>
      <c r="CN126" s="230">
        <v>2839200</v>
      </c>
      <c r="CO126" s="230">
        <v>3003450</v>
      </c>
      <c r="CP126" s="230">
        <v>-164250</v>
      </c>
      <c r="CQ126" s="229">
        <v>-5.4699999999999999E-2</v>
      </c>
      <c r="CR126" s="230">
        <v>1655950</v>
      </c>
      <c r="CS126" s="230">
        <v>1468650</v>
      </c>
      <c r="CT126" s="230">
        <v>187300</v>
      </c>
      <c r="CU126" s="229">
        <v>0.1275</v>
      </c>
      <c r="CV126" s="230">
        <v>7710050</v>
      </c>
      <c r="CW126" s="230">
        <v>7661300</v>
      </c>
      <c r="CX126" s="230">
        <v>48750</v>
      </c>
      <c r="CY126" s="229">
        <v>6.4000000000000003E-3</v>
      </c>
      <c r="CZ126" s="228">
        <v>20.58</v>
      </c>
      <c r="DA126" s="228">
        <v>21.6</v>
      </c>
      <c r="DB126" s="228">
        <v>-1.02</v>
      </c>
      <c r="DC126" s="228">
        <v>-1.02</v>
      </c>
      <c r="DD126" s="228">
        <v>25.12</v>
      </c>
      <c r="DE126" s="228">
        <v>25.07</v>
      </c>
      <c r="DF126" s="228">
        <v>-4.54</v>
      </c>
      <c r="DG126" s="228">
        <v>0.05</v>
      </c>
      <c r="DH126" s="228">
        <v>20.05</v>
      </c>
      <c r="DI126" s="228">
        <v>21.56</v>
      </c>
      <c r="DJ126" s="228">
        <v>-1.51</v>
      </c>
      <c r="DK126" s="228">
        <v>-1.51</v>
      </c>
      <c r="DL126" s="228">
        <v>21.8</v>
      </c>
      <c r="DM126" s="228">
        <v>21.69</v>
      </c>
      <c r="DN126" s="228">
        <v>0.11</v>
      </c>
      <c r="DO126" s="228">
        <v>0.11</v>
      </c>
      <c r="DP126" s="228">
        <v>0.57999999999999996</v>
      </c>
      <c r="DQ126" s="228">
        <v>0.49</v>
      </c>
      <c r="DR126" s="228">
        <v>0.09</v>
      </c>
      <c r="DS126" s="229">
        <v>0.1837</v>
      </c>
      <c r="DT126" s="231">
        <v>16000</v>
      </c>
      <c r="DU126" s="231">
        <v>15000</v>
      </c>
      <c r="DV126" s="228">
        <v>0.43</v>
      </c>
      <c r="DW126" s="228">
        <v>0.42</v>
      </c>
      <c r="DX126" s="228">
        <v>0.01</v>
      </c>
      <c r="DY126" s="229">
        <v>2.3800000000000002E-2</v>
      </c>
      <c r="DZ126" s="229">
        <v>7.1599999999999997E-2</v>
      </c>
      <c r="EA126" s="230">
        <v>220750</v>
      </c>
      <c r="EB126" s="229">
        <v>6.3E-3</v>
      </c>
      <c r="EC126" s="229">
        <v>7.1599999999999997E-2</v>
      </c>
      <c r="ED126" s="228">
        <v>92.05</v>
      </c>
      <c r="EE126" s="229">
        <v>6.0000000000000001E-3</v>
      </c>
      <c r="EF126" s="230">
        <v>189815</v>
      </c>
      <c r="EG126" s="230">
        <v>144907</v>
      </c>
      <c r="EH126" s="229">
        <v>0.30990000000000001</v>
      </c>
      <c r="EI126" s="229">
        <v>0.50649999999999995</v>
      </c>
      <c r="EJ126" s="231">
        <v>1190930.4099999999</v>
      </c>
      <c r="EK126" s="231">
        <v>488638.96</v>
      </c>
      <c r="EL126" s="231">
        <v>89582.07</v>
      </c>
      <c r="EM126" s="231">
        <v>8775</v>
      </c>
      <c r="EN126" s="231">
        <v>1769151.44</v>
      </c>
      <c r="EO126" s="231">
        <v>1957519.17</v>
      </c>
      <c r="EP126" s="231">
        <v>-188367.73</v>
      </c>
      <c r="EQ126" s="229">
        <v>-9.6199999999999994E-2</v>
      </c>
      <c r="ER126" s="231">
        <v>446916</v>
      </c>
      <c r="ES126" s="231">
        <v>240530</v>
      </c>
      <c r="ET126" s="231">
        <v>495910</v>
      </c>
      <c r="EU126" s="231">
        <v>17687048</v>
      </c>
      <c r="EV126" s="231">
        <v>1183356</v>
      </c>
      <c r="EW126" s="231">
        <v>1168892</v>
      </c>
      <c r="EX126" s="231">
        <v>14464</v>
      </c>
      <c r="EY126" s="229">
        <v>1.24E-2</v>
      </c>
      <c r="EZ126" s="229">
        <v>0.43590000000000001</v>
      </c>
      <c r="FA126" s="227" t="s">
        <v>555</v>
      </c>
      <c r="FB126" s="161">
        <f t="shared" si="1"/>
        <v>230050</v>
      </c>
    </row>
    <row r="127" spans="1:158" ht="17.25" hidden="1" thickBot="1" x14ac:dyDescent="0.3">
      <c r="A127" s="226">
        <v>46064</v>
      </c>
      <c r="B127" s="227" t="s">
        <v>170</v>
      </c>
      <c r="C127" s="227" t="s">
        <v>603</v>
      </c>
      <c r="D127" s="228">
        <v>525</v>
      </c>
      <c r="E127" s="231">
        <v>1055.7</v>
      </c>
      <c r="F127" s="231">
        <v>1025.0999999999999</v>
      </c>
      <c r="G127" s="228">
        <v>30.6</v>
      </c>
      <c r="H127" s="229">
        <v>2.9899999999999999E-2</v>
      </c>
      <c r="I127" s="231">
        <v>1055.1500000000001</v>
      </c>
      <c r="J127" s="231">
        <v>1021.5</v>
      </c>
      <c r="K127" s="228">
        <v>33.65</v>
      </c>
      <c r="L127" s="229">
        <v>3.2899999999999999E-2</v>
      </c>
      <c r="M127" s="231">
        <v>1055.7</v>
      </c>
      <c r="N127" s="231">
        <v>1025.0999999999999</v>
      </c>
      <c r="O127" s="228">
        <v>30.6</v>
      </c>
      <c r="P127" s="229">
        <v>2.9899999999999999E-2</v>
      </c>
      <c r="Q127" s="231">
        <v>1062.1500000000001</v>
      </c>
      <c r="R127" s="231">
        <v>1031.3499999999999</v>
      </c>
      <c r="S127" s="228">
        <v>30.8</v>
      </c>
      <c r="T127" s="229">
        <v>2.9899999999999999E-2</v>
      </c>
      <c r="U127" s="231">
        <v>1069.1500000000001</v>
      </c>
      <c r="V127" s="231">
        <v>1038.5999999999999</v>
      </c>
      <c r="W127" s="228">
        <v>30.55</v>
      </c>
      <c r="X127" s="229">
        <v>2.9399999999999999E-2</v>
      </c>
      <c r="Y127" s="228">
        <v>0.55000000000000004</v>
      </c>
      <c r="Z127" s="228">
        <v>3.6</v>
      </c>
      <c r="AA127" s="228">
        <v>-3.05</v>
      </c>
      <c r="AB127" s="229">
        <v>5.0000000000000001E-4</v>
      </c>
      <c r="AC127" s="228">
        <v>0.55000000000000004</v>
      </c>
      <c r="AD127" s="228">
        <v>3.6</v>
      </c>
      <c r="AE127" s="228">
        <v>-3.05</v>
      </c>
      <c r="AF127" s="229">
        <v>5.0000000000000001E-4</v>
      </c>
      <c r="AG127" s="228">
        <v>7</v>
      </c>
      <c r="AH127" s="228">
        <v>9.85</v>
      </c>
      <c r="AI127" s="228">
        <v>-2.85</v>
      </c>
      <c r="AJ127" s="229">
        <v>6.6E-3</v>
      </c>
      <c r="AK127" s="228">
        <v>14</v>
      </c>
      <c r="AL127" s="228">
        <v>17.100000000000001</v>
      </c>
      <c r="AM127" s="228">
        <v>-3.1</v>
      </c>
      <c r="AN127" s="229">
        <v>1.3299999999999999E-2</v>
      </c>
      <c r="AO127" s="231">
        <v>1048.8399999999999</v>
      </c>
      <c r="AP127" s="231">
        <v>1054.54</v>
      </c>
      <c r="AQ127" s="228">
        <v>0</v>
      </c>
      <c r="AR127" s="230">
        <v>4485600</v>
      </c>
      <c r="AS127" s="230">
        <v>2392950</v>
      </c>
      <c r="AT127" s="230">
        <v>2092650</v>
      </c>
      <c r="AU127" s="229">
        <v>0.87450000000000006</v>
      </c>
      <c r="AV127" s="230">
        <v>4181100</v>
      </c>
      <c r="AW127" s="230">
        <v>2210250</v>
      </c>
      <c r="AX127" s="230">
        <v>1970850</v>
      </c>
      <c r="AY127" s="229">
        <v>0.89170000000000005</v>
      </c>
      <c r="AZ127" s="230">
        <v>269850</v>
      </c>
      <c r="BA127" s="230">
        <v>176400</v>
      </c>
      <c r="BB127" s="230">
        <v>93450</v>
      </c>
      <c r="BC127" s="229">
        <v>0.52980000000000005</v>
      </c>
      <c r="BD127" s="230">
        <v>34650</v>
      </c>
      <c r="BE127" s="230">
        <v>6300</v>
      </c>
      <c r="BF127" s="230">
        <v>28350</v>
      </c>
      <c r="BG127" s="229">
        <v>4.5</v>
      </c>
      <c r="BH127" s="230">
        <v>23814525</v>
      </c>
      <c r="BI127" s="230">
        <v>4093425</v>
      </c>
      <c r="BJ127" s="230">
        <v>19721100</v>
      </c>
      <c r="BK127" s="229">
        <v>4.8178000000000001</v>
      </c>
      <c r="BL127" s="230">
        <v>6441225</v>
      </c>
      <c r="BM127" s="230">
        <v>1916250</v>
      </c>
      <c r="BN127" s="230">
        <v>4524975</v>
      </c>
      <c r="BO127" s="229">
        <v>2.3614000000000002</v>
      </c>
      <c r="BP127" s="230">
        <v>34741350</v>
      </c>
      <c r="BQ127" s="230">
        <v>8402625</v>
      </c>
      <c r="BR127" s="230">
        <v>26338725</v>
      </c>
      <c r="BS127" s="229">
        <v>3.1345999999999998</v>
      </c>
      <c r="BT127" s="230">
        <v>4244138</v>
      </c>
      <c r="BU127" s="230">
        <v>4686935</v>
      </c>
      <c r="BV127" s="230">
        <v>-442797</v>
      </c>
      <c r="BW127" s="229">
        <v>-9.4500000000000001E-2</v>
      </c>
      <c r="BX127" s="230">
        <v>15758400</v>
      </c>
      <c r="BY127" s="230">
        <v>15888075</v>
      </c>
      <c r="BZ127" s="230">
        <v>-129675</v>
      </c>
      <c r="CA127" s="229">
        <v>-8.2000000000000007E-3</v>
      </c>
      <c r="CB127" s="230">
        <v>14965125</v>
      </c>
      <c r="CC127" s="230">
        <v>15078525</v>
      </c>
      <c r="CD127" s="230">
        <v>-113400</v>
      </c>
      <c r="CE127" s="229">
        <v>-7.4999999999999997E-3</v>
      </c>
      <c r="CF127" s="230">
        <v>750225</v>
      </c>
      <c r="CG127" s="230">
        <v>767025</v>
      </c>
      <c r="CH127" s="230">
        <v>-16800</v>
      </c>
      <c r="CI127" s="229">
        <v>-2.1899999999999999E-2</v>
      </c>
      <c r="CJ127" s="230">
        <v>43050</v>
      </c>
      <c r="CK127" s="230">
        <v>42525</v>
      </c>
      <c r="CL127" s="228">
        <v>525</v>
      </c>
      <c r="CM127" s="229">
        <v>1.23E-2</v>
      </c>
      <c r="CN127" s="230">
        <v>4279800</v>
      </c>
      <c r="CO127" s="230">
        <v>3178875</v>
      </c>
      <c r="CP127" s="230">
        <v>1100925</v>
      </c>
      <c r="CQ127" s="229">
        <v>0.3463</v>
      </c>
      <c r="CR127" s="230">
        <v>3399375</v>
      </c>
      <c r="CS127" s="230">
        <v>3031875</v>
      </c>
      <c r="CT127" s="230">
        <v>367500</v>
      </c>
      <c r="CU127" s="229">
        <v>0.1212</v>
      </c>
      <c r="CV127" s="230">
        <v>23437575</v>
      </c>
      <c r="CW127" s="230">
        <v>22098825</v>
      </c>
      <c r="CX127" s="230">
        <v>1338750</v>
      </c>
      <c r="CY127" s="229">
        <v>6.0600000000000001E-2</v>
      </c>
      <c r="CZ127" s="228">
        <v>33.47</v>
      </c>
      <c r="DA127" s="228">
        <v>29.9</v>
      </c>
      <c r="DB127" s="228">
        <v>3.57</v>
      </c>
      <c r="DC127" s="228">
        <v>3.57</v>
      </c>
      <c r="DD127" s="228">
        <v>38.08</v>
      </c>
      <c r="DE127" s="228">
        <v>37.92</v>
      </c>
      <c r="DF127" s="228">
        <v>-4.6100000000000003</v>
      </c>
      <c r="DG127" s="228">
        <v>0.16</v>
      </c>
      <c r="DH127" s="228">
        <v>33.33</v>
      </c>
      <c r="DI127" s="228">
        <v>29.55</v>
      </c>
      <c r="DJ127" s="228">
        <v>3.78</v>
      </c>
      <c r="DK127" s="228">
        <v>3.78</v>
      </c>
      <c r="DL127" s="228">
        <v>33.99</v>
      </c>
      <c r="DM127" s="228">
        <v>30.65</v>
      </c>
      <c r="DN127" s="228">
        <v>3.34</v>
      </c>
      <c r="DO127" s="228">
        <v>3.34</v>
      </c>
      <c r="DP127" s="228">
        <v>0.79</v>
      </c>
      <c r="DQ127" s="228">
        <v>0.95</v>
      </c>
      <c r="DR127" s="228">
        <v>-0.16</v>
      </c>
      <c r="DS127" s="229">
        <v>-0.16839999999999999</v>
      </c>
      <c r="DT127" s="231">
        <v>1050</v>
      </c>
      <c r="DU127" s="231">
        <v>1000</v>
      </c>
      <c r="DV127" s="228">
        <v>0.27</v>
      </c>
      <c r="DW127" s="228">
        <v>0.47</v>
      </c>
      <c r="DX127" s="228">
        <v>-0.2</v>
      </c>
      <c r="DY127" s="229">
        <v>-0.42549999999999999</v>
      </c>
      <c r="DZ127" s="229">
        <v>5.0299999999999997E-2</v>
      </c>
      <c r="EA127" s="230">
        <v>809550</v>
      </c>
      <c r="EB127" s="229">
        <v>6.1000000000000004E-3</v>
      </c>
      <c r="EC127" s="229">
        <v>5.0299999999999997E-2</v>
      </c>
      <c r="ED127" s="228">
        <v>5.7</v>
      </c>
      <c r="EE127" s="229">
        <v>5.4000000000000003E-3</v>
      </c>
      <c r="EF127" s="230">
        <v>2367219</v>
      </c>
      <c r="EG127" s="230">
        <v>3351364</v>
      </c>
      <c r="EH127" s="229">
        <v>-0.29370000000000002</v>
      </c>
      <c r="EI127" s="229">
        <v>0.55779999999999996</v>
      </c>
      <c r="EJ127" s="231">
        <v>258055.2</v>
      </c>
      <c r="EK127" s="231">
        <v>66487.509999999995</v>
      </c>
      <c r="EL127" s="231">
        <v>47066.31</v>
      </c>
      <c r="EM127" s="231">
        <v>6682</v>
      </c>
      <c r="EN127" s="231">
        <v>371609.02</v>
      </c>
      <c r="EO127" s="231">
        <v>87192.89</v>
      </c>
      <c r="EP127" s="231">
        <v>284416.13</v>
      </c>
      <c r="EQ127" s="229">
        <v>3.2618999999999998</v>
      </c>
      <c r="ER127" s="231">
        <v>45561</v>
      </c>
      <c r="ES127" s="231">
        <v>33782</v>
      </c>
      <c r="ET127" s="231">
        <v>166416</v>
      </c>
      <c r="EU127" s="231">
        <v>111218809</v>
      </c>
      <c r="EV127" s="231">
        <v>245759</v>
      </c>
      <c r="EW127" s="231">
        <v>226440</v>
      </c>
      <c r="EX127" s="231">
        <v>19319</v>
      </c>
      <c r="EY127" s="229">
        <v>8.5300000000000001E-2</v>
      </c>
      <c r="EZ127" s="229">
        <v>0.2107</v>
      </c>
      <c r="FA127" s="227" t="s">
        <v>556</v>
      </c>
      <c r="FB127" s="161">
        <f t="shared" si="1"/>
        <v>793275</v>
      </c>
    </row>
    <row r="128" spans="1:158" ht="17.25" hidden="1" thickBot="1" x14ac:dyDescent="0.3">
      <c r="A128" s="226">
        <v>46064</v>
      </c>
      <c r="B128" s="227" t="s">
        <v>215</v>
      </c>
      <c r="C128" s="227" t="s">
        <v>672</v>
      </c>
      <c r="D128" s="228">
        <v>200</v>
      </c>
      <c r="E128" s="231">
        <v>2431.9</v>
      </c>
      <c r="F128" s="231">
        <v>2433.1</v>
      </c>
      <c r="G128" s="228">
        <v>-1.2</v>
      </c>
      <c r="H128" s="229">
        <v>-5.0000000000000001E-4</v>
      </c>
      <c r="I128" s="231">
        <v>2430.6</v>
      </c>
      <c r="J128" s="231">
        <v>2439.1</v>
      </c>
      <c r="K128" s="228">
        <v>-8.5</v>
      </c>
      <c r="L128" s="229">
        <v>-3.5000000000000001E-3</v>
      </c>
      <c r="M128" s="231">
        <v>2431.9</v>
      </c>
      <c r="N128" s="231">
        <v>2433.1</v>
      </c>
      <c r="O128" s="228">
        <v>-1.2</v>
      </c>
      <c r="P128" s="229">
        <v>-5.0000000000000001E-4</v>
      </c>
      <c r="Q128" s="231">
        <v>2443.4</v>
      </c>
      <c r="R128" s="231">
        <v>2441.8000000000002</v>
      </c>
      <c r="S128" s="228">
        <v>1.6</v>
      </c>
      <c r="T128" s="229">
        <v>6.9999999999999999E-4</v>
      </c>
      <c r="U128" s="231">
        <v>2454.6</v>
      </c>
      <c r="V128" s="231">
        <v>2437.9</v>
      </c>
      <c r="W128" s="228">
        <v>16.7</v>
      </c>
      <c r="X128" s="229">
        <v>6.8999999999999999E-3</v>
      </c>
      <c r="Y128" s="228">
        <v>1.3</v>
      </c>
      <c r="Z128" s="228">
        <v>-6</v>
      </c>
      <c r="AA128" s="228">
        <v>7.3</v>
      </c>
      <c r="AB128" s="229">
        <v>5.0000000000000001E-4</v>
      </c>
      <c r="AC128" s="228">
        <v>1.3</v>
      </c>
      <c r="AD128" s="228">
        <v>-6</v>
      </c>
      <c r="AE128" s="228">
        <v>7.3</v>
      </c>
      <c r="AF128" s="229">
        <v>5.0000000000000001E-4</v>
      </c>
      <c r="AG128" s="228">
        <v>12.8</v>
      </c>
      <c r="AH128" s="228">
        <v>2.7</v>
      </c>
      <c r="AI128" s="228">
        <v>10.1</v>
      </c>
      <c r="AJ128" s="229">
        <v>5.3E-3</v>
      </c>
      <c r="AK128" s="228">
        <v>24</v>
      </c>
      <c r="AL128" s="228">
        <v>-1.2</v>
      </c>
      <c r="AM128" s="228">
        <v>25.2</v>
      </c>
      <c r="AN128" s="229">
        <v>9.9000000000000008E-3</v>
      </c>
      <c r="AO128" s="231">
        <v>2413.84</v>
      </c>
      <c r="AP128" s="231">
        <v>2424.52</v>
      </c>
      <c r="AQ128" s="228">
        <v>0</v>
      </c>
      <c r="AR128" s="230">
        <v>678000</v>
      </c>
      <c r="AS128" s="230">
        <v>787800</v>
      </c>
      <c r="AT128" s="230">
        <v>-109800</v>
      </c>
      <c r="AU128" s="229">
        <v>-0.1394</v>
      </c>
      <c r="AV128" s="230">
        <v>588400</v>
      </c>
      <c r="AW128" s="230">
        <v>582400</v>
      </c>
      <c r="AX128" s="230">
        <v>6000</v>
      </c>
      <c r="AY128" s="229">
        <v>1.03E-2</v>
      </c>
      <c r="AZ128" s="230">
        <v>74600</v>
      </c>
      <c r="BA128" s="230">
        <v>171600</v>
      </c>
      <c r="BB128" s="230">
        <v>-97000</v>
      </c>
      <c r="BC128" s="229">
        <v>-0.56530000000000002</v>
      </c>
      <c r="BD128" s="230">
        <v>15000</v>
      </c>
      <c r="BE128" s="230">
        <v>33800</v>
      </c>
      <c r="BF128" s="230">
        <v>-18800</v>
      </c>
      <c r="BG128" s="229">
        <v>-0.55620000000000003</v>
      </c>
      <c r="BH128" s="230">
        <v>2406800</v>
      </c>
      <c r="BI128" s="230">
        <v>2923800</v>
      </c>
      <c r="BJ128" s="230">
        <v>-517000</v>
      </c>
      <c r="BK128" s="229">
        <v>-0.17680000000000001</v>
      </c>
      <c r="BL128" s="230">
        <v>657400</v>
      </c>
      <c r="BM128" s="230">
        <v>701600</v>
      </c>
      <c r="BN128" s="230">
        <v>-44200</v>
      </c>
      <c r="BO128" s="229">
        <v>-6.3E-2</v>
      </c>
      <c r="BP128" s="230">
        <v>3742200</v>
      </c>
      <c r="BQ128" s="230">
        <v>4413200</v>
      </c>
      <c r="BR128" s="230">
        <v>-671000</v>
      </c>
      <c r="BS128" s="229">
        <v>-0.152</v>
      </c>
      <c r="BT128" s="230">
        <v>788518</v>
      </c>
      <c r="BU128" s="230">
        <v>987965</v>
      </c>
      <c r="BV128" s="230">
        <v>-199447</v>
      </c>
      <c r="BW128" s="229">
        <v>-0.2019</v>
      </c>
      <c r="BX128" s="230">
        <v>4842800</v>
      </c>
      <c r="BY128" s="230">
        <v>4781200</v>
      </c>
      <c r="BZ128" s="230">
        <v>61600</v>
      </c>
      <c r="CA128" s="229">
        <v>1.29E-2</v>
      </c>
      <c r="CB128" s="230">
        <v>4399600</v>
      </c>
      <c r="CC128" s="230">
        <v>4360000</v>
      </c>
      <c r="CD128" s="230">
        <v>39600</v>
      </c>
      <c r="CE128" s="229">
        <v>9.1000000000000004E-3</v>
      </c>
      <c r="CF128" s="230">
        <v>396000</v>
      </c>
      <c r="CG128" s="230">
        <v>375600</v>
      </c>
      <c r="CH128" s="230">
        <v>20400</v>
      </c>
      <c r="CI128" s="229">
        <v>5.4300000000000001E-2</v>
      </c>
      <c r="CJ128" s="230">
        <v>47200</v>
      </c>
      <c r="CK128" s="230">
        <v>45600</v>
      </c>
      <c r="CL128" s="230">
        <v>1600</v>
      </c>
      <c r="CM128" s="229">
        <v>3.5099999999999999E-2</v>
      </c>
      <c r="CN128" s="230">
        <v>4344400</v>
      </c>
      <c r="CO128" s="230">
        <v>4323000</v>
      </c>
      <c r="CP128" s="230">
        <v>21400</v>
      </c>
      <c r="CQ128" s="229">
        <v>5.0000000000000001E-3</v>
      </c>
      <c r="CR128" s="230">
        <v>1814200</v>
      </c>
      <c r="CS128" s="230">
        <v>1815400</v>
      </c>
      <c r="CT128" s="230">
        <v>-1200</v>
      </c>
      <c r="CU128" s="229">
        <v>-6.9999999999999999E-4</v>
      </c>
      <c r="CV128" s="230">
        <v>11001400</v>
      </c>
      <c r="CW128" s="230">
        <v>10919600</v>
      </c>
      <c r="CX128" s="230">
        <v>81800</v>
      </c>
      <c r="CY128" s="229">
        <v>7.4999999999999997E-3</v>
      </c>
      <c r="CZ128" s="228">
        <v>39.909999999999997</v>
      </c>
      <c r="DA128" s="228">
        <v>39.909999999999997</v>
      </c>
      <c r="DB128" s="228">
        <v>0</v>
      </c>
      <c r="DC128" s="228">
        <v>0</v>
      </c>
      <c r="DD128" s="228">
        <v>53.87</v>
      </c>
      <c r="DE128" s="228">
        <v>54</v>
      </c>
      <c r="DF128" s="228">
        <v>-13.96</v>
      </c>
      <c r="DG128" s="228">
        <v>-0.13</v>
      </c>
      <c r="DH128" s="228">
        <v>40.630000000000003</v>
      </c>
      <c r="DI128" s="228">
        <v>40.49</v>
      </c>
      <c r="DJ128" s="228">
        <v>0.14000000000000001</v>
      </c>
      <c r="DK128" s="228">
        <v>0.14000000000000001</v>
      </c>
      <c r="DL128" s="228">
        <v>37.29</v>
      </c>
      <c r="DM128" s="228">
        <v>37.49</v>
      </c>
      <c r="DN128" s="228">
        <v>-0.2</v>
      </c>
      <c r="DO128" s="228">
        <v>-0.2</v>
      </c>
      <c r="DP128" s="228">
        <v>0.42</v>
      </c>
      <c r="DQ128" s="228">
        <v>0.42</v>
      </c>
      <c r="DR128" s="228">
        <v>0</v>
      </c>
      <c r="DS128" s="229">
        <v>0</v>
      </c>
      <c r="DT128" s="231">
        <v>2600</v>
      </c>
      <c r="DU128" s="231">
        <v>2300</v>
      </c>
      <c r="DV128" s="228">
        <v>0.27</v>
      </c>
      <c r="DW128" s="228">
        <v>0.24</v>
      </c>
      <c r="DX128" s="228">
        <v>0.03</v>
      </c>
      <c r="DY128" s="229">
        <v>0.125</v>
      </c>
      <c r="DZ128" s="229">
        <v>9.1499999999999998E-2</v>
      </c>
      <c r="EA128" s="230">
        <v>421200</v>
      </c>
      <c r="EB128" s="229">
        <v>4.7000000000000002E-3</v>
      </c>
      <c r="EC128" s="229">
        <v>9.1499999999999998E-2</v>
      </c>
      <c r="ED128" s="228">
        <v>10.68</v>
      </c>
      <c r="EE128" s="229">
        <v>4.4000000000000003E-3</v>
      </c>
      <c r="EF128" s="230">
        <v>198934</v>
      </c>
      <c r="EG128" s="230">
        <v>316590</v>
      </c>
      <c r="EH128" s="229">
        <v>-0.37159999999999999</v>
      </c>
      <c r="EI128" s="229">
        <v>0.25230000000000002</v>
      </c>
      <c r="EJ128" s="231">
        <v>62773.52</v>
      </c>
      <c r="EK128" s="231">
        <v>15729.62</v>
      </c>
      <c r="EL128" s="231">
        <v>16376.98</v>
      </c>
      <c r="EM128" s="231">
        <v>5472</v>
      </c>
      <c r="EN128" s="231">
        <v>94880.12</v>
      </c>
      <c r="EO128" s="231">
        <v>113071.25</v>
      </c>
      <c r="EP128" s="231">
        <v>-18191.13</v>
      </c>
      <c r="EQ128" s="229">
        <v>-0.16089999999999999</v>
      </c>
      <c r="ER128" s="231">
        <v>114416</v>
      </c>
      <c r="ES128" s="231">
        <v>43341</v>
      </c>
      <c r="ET128" s="231">
        <v>117828</v>
      </c>
      <c r="EU128" s="231">
        <v>11364224</v>
      </c>
      <c r="EV128" s="231">
        <v>275586</v>
      </c>
      <c r="EW128" s="231">
        <v>273739</v>
      </c>
      <c r="EX128" s="231">
        <v>1847</v>
      </c>
      <c r="EY128" s="229">
        <v>6.7000000000000002E-3</v>
      </c>
      <c r="EZ128" s="229">
        <v>0.96809999999999996</v>
      </c>
      <c r="FA128" s="227" t="s">
        <v>567</v>
      </c>
      <c r="FB128" s="161">
        <f t="shared" si="1"/>
        <v>443200</v>
      </c>
    </row>
    <row r="129" spans="1:158" ht="17.25" hidden="1" thickBot="1" x14ac:dyDescent="0.3">
      <c r="A129" s="226">
        <v>46064</v>
      </c>
      <c r="B129" s="227" t="s">
        <v>175</v>
      </c>
      <c r="C129" s="227" t="s">
        <v>517</v>
      </c>
      <c r="D129" s="228">
        <v>625</v>
      </c>
      <c r="E129" s="231">
        <v>2372</v>
      </c>
      <c r="F129" s="231">
        <v>2472.1999999999998</v>
      </c>
      <c r="G129" s="228">
        <v>-100.2</v>
      </c>
      <c r="H129" s="229">
        <v>-4.0500000000000001E-2</v>
      </c>
      <c r="I129" s="231">
        <v>2372.8000000000002</v>
      </c>
      <c r="J129" s="231">
        <v>2470.6999999999998</v>
      </c>
      <c r="K129" s="228">
        <v>-97.9</v>
      </c>
      <c r="L129" s="229">
        <v>-3.9600000000000003E-2</v>
      </c>
      <c r="M129" s="231">
        <v>2372</v>
      </c>
      <c r="N129" s="231">
        <v>2472.1999999999998</v>
      </c>
      <c r="O129" s="228">
        <v>-100.2</v>
      </c>
      <c r="P129" s="229">
        <v>-4.0500000000000001E-2</v>
      </c>
      <c r="Q129" s="231">
        <v>2386</v>
      </c>
      <c r="R129" s="231">
        <v>2486.1999999999998</v>
      </c>
      <c r="S129" s="228">
        <v>-100.2</v>
      </c>
      <c r="T129" s="229">
        <v>-4.0300000000000002E-2</v>
      </c>
      <c r="U129" s="231">
        <v>2400</v>
      </c>
      <c r="V129" s="231">
        <v>2504.4</v>
      </c>
      <c r="W129" s="228">
        <v>-104.4</v>
      </c>
      <c r="X129" s="229">
        <v>-4.1700000000000001E-2</v>
      </c>
      <c r="Y129" s="228">
        <v>-0.8</v>
      </c>
      <c r="Z129" s="228">
        <v>1.5</v>
      </c>
      <c r="AA129" s="228">
        <v>-2.2999999999999998</v>
      </c>
      <c r="AB129" s="229">
        <v>-2.9999999999999997E-4</v>
      </c>
      <c r="AC129" s="228">
        <v>-0.8</v>
      </c>
      <c r="AD129" s="228">
        <v>1.5</v>
      </c>
      <c r="AE129" s="228">
        <v>-2.2999999999999998</v>
      </c>
      <c r="AF129" s="229">
        <v>-2.9999999999999997E-4</v>
      </c>
      <c r="AG129" s="228">
        <v>13.2</v>
      </c>
      <c r="AH129" s="228">
        <v>15.5</v>
      </c>
      <c r="AI129" s="228">
        <v>-2.2999999999999998</v>
      </c>
      <c r="AJ129" s="229">
        <v>5.5999999999999999E-3</v>
      </c>
      <c r="AK129" s="228">
        <v>27.2</v>
      </c>
      <c r="AL129" s="228">
        <v>33.700000000000003</v>
      </c>
      <c r="AM129" s="228">
        <v>-6.5</v>
      </c>
      <c r="AN129" s="229">
        <v>1.15E-2</v>
      </c>
      <c r="AO129" s="231">
        <v>2386.23</v>
      </c>
      <c r="AP129" s="231">
        <v>2400.08</v>
      </c>
      <c r="AQ129" s="228">
        <v>0</v>
      </c>
      <c r="AR129" s="230">
        <v>9501875</v>
      </c>
      <c r="AS129" s="230">
        <v>4751875</v>
      </c>
      <c r="AT129" s="230">
        <v>4750000</v>
      </c>
      <c r="AU129" s="229">
        <v>0.99960000000000004</v>
      </c>
      <c r="AV129" s="230">
        <v>8664375</v>
      </c>
      <c r="AW129" s="230">
        <v>4299375</v>
      </c>
      <c r="AX129" s="230">
        <v>4365000</v>
      </c>
      <c r="AY129" s="229">
        <v>1.0153000000000001</v>
      </c>
      <c r="AZ129" s="230">
        <v>747500</v>
      </c>
      <c r="BA129" s="230">
        <v>406250</v>
      </c>
      <c r="BB129" s="230">
        <v>341250</v>
      </c>
      <c r="BC129" s="229">
        <v>0.84</v>
      </c>
      <c r="BD129" s="230">
        <v>90000</v>
      </c>
      <c r="BE129" s="230">
        <v>46250</v>
      </c>
      <c r="BF129" s="230">
        <v>43750</v>
      </c>
      <c r="BG129" s="229">
        <v>0.94589999999999996</v>
      </c>
      <c r="BH129" s="230">
        <v>29156875</v>
      </c>
      <c r="BI129" s="230">
        <v>19345000</v>
      </c>
      <c r="BJ129" s="230">
        <v>9811875</v>
      </c>
      <c r="BK129" s="229">
        <v>0.50719999999999998</v>
      </c>
      <c r="BL129" s="230">
        <v>15618125</v>
      </c>
      <c r="BM129" s="230">
        <v>9130625</v>
      </c>
      <c r="BN129" s="230">
        <v>6487500</v>
      </c>
      <c r="BO129" s="229">
        <v>0.71050000000000002</v>
      </c>
      <c r="BP129" s="230">
        <v>54276875</v>
      </c>
      <c r="BQ129" s="230">
        <v>33227500</v>
      </c>
      <c r="BR129" s="230">
        <v>21049375</v>
      </c>
      <c r="BS129" s="229">
        <v>0.63349999999999995</v>
      </c>
      <c r="BT129" s="230">
        <v>6742711</v>
      </c>
      <c r="BU129" s="230">
        <v>3270398</v>
      </c>
      <c r="BV129" s="230">
        <v>3472313</v>
      </c>
      <c r="BW129" s="229">
        <v>1.0617000000000001</v>
      </c>
      <c r="BX129" s="230">
        <v>14713125</v>
      </c>
      <c r="BY129" s="230">
        <v>14701875</v>
      </c>
      <c r="BZ129" s="230">
        <v>11250</v>
      </c>
      <c r="CA129" s="229">
        <v>8.0000000000000004E-4</v>
      </c>
      <c r="CB129" s="230">
        <v>13723125</v>
      </c>
      <c r="CC129" s="230">
        <v>13992500</v>
      </c>
      <c r="CD129" s="230">
        <v>-269375</v>
      </c>
      <c r="CE129" s="229">
        <v>-1.9300000000000001E-2</v>
      </c>
      <c r="CF129" s="230">
        <v>783125</v>
      </c>
      <c r="CG129" s="230">
        <v>536875</v>
      </c>
      <c r="CH129" s="230">
        <v>246250</v>
      </c>
      <c r="CI129" s="229">
        <v>0.4587</v>
      </c>
      <c r="CJ129" s="230">
        <v>206875</v>
      </c>
      <c r="CK129" s="230">
        <v>172500</v>
      </c>
      <c r="CL129" s="230">
        <v>34375</v>
      </c>
      <c r="CM129" s="229">
        <v>0.1993</v>
      </c>
      <c r="CN129" s="230">
        <v>17214375</v>
      </c>
      <c r="CO129" s="230">
        <v>14809375</v>
      </c>
      <c r="CP129" s="230">
        <v>2405000</v>
      </c>
      <c r="CQ129" s="229">
        <v>0.16239999999999999</v>
      </c>
      <c r="CR129" s="230">
        <v>11483750</v>
      </c>
      <c r="CS129" s="230">
        <v>10953750</v>
      </c>
      <c r="CT129" s="230">
        <v>530000</v>
      </c>
      <c r="CU129" s="229">
        <v>4.8399999999999999E-2</v>
      </c>
      <c r="CV129" s="230">
        <v>43411250</v>
      </c>
      <c r="CW129" s="230">
        <v>40465000</v>
      </c>
      <c r="CX129" s="230">
        <v>2946250</v>
      </c>
      <c r="CY129" s="229">
        <v>7.2800000000000004E-2</v>
      </c>
      <c r="CZ129" s="228">
        <v>57.74</v>
      </c>
      <c r="DA129" s="228">
        <v>52.04</v>
      </c>
      <c r="DB129" s="228">
        <v>5.7</v>
      </c>
      <c r="DC129" s="228">
        <v>5.7</v>
      </c>
      <c r="DD129" s="228">
        <v>50.77</v>
      </c>
      <c r="DE129" s="228">
        <v>50.6</v>
      </c>
      <c r="DF129" s="228">
        <v>6.97</v>
      </c>
      <c r="DG129" s="228">
        <v>0.17</v>
      </c>
      <c r="DH129" s="228">
        <v>57.35</v>
      </c>
      <c r="DI129" s="228">
        <v>50.64</v>
      </c>
      <c r="DJ129" s="228">
        <v>6.71</v>
      </c>
      <c r="DK129" s="228">
        <v>6.71</v>
      </c>
      <c r="DL129" s="228">
        <v>58.47</v>
      </c>
      <c r="DM129" s="228">
        <v>54.99</v>
      </c>
      <c r="DN129" s="228">
        <v>3.48</v>
      </c>
      <c r="DO129" s="228">
        <v>3.48</v>
      </c>
      <c r="DP129" s="228">
        <v>0.67</v>
      </c>
      <c r="DQ129" s="228">
        <v>0.74</v>
      </c>
      <c r="DR129" s="228">
        <v>-7.0000000000000007E-2</v>
      </c>
      <c r="DS129" s="229">
        <v>-9.4600000000000004E-2</v>
      </c>
      <c r="DT129" s="231">
        <v>2500</v>
      </c>
      <c r="DU129" s="231">
        <v>2200</v>
      </c>
      <c r="DV129" s="228">
        <v>0.54</v>
      </c>
      <c r="DW129" s="228">
        <v>0.47</v>
      </c>
      <c r="DX129" s="228">
        <v>7.0000000000000007E-2</v>
      </c>
      <c r="DY129" s="229">
        <v>0.1489</v>
      </c>
      <c r="DZ129" s="229">
        <v>6.7299999999999999E-2</v>
      </c>
      <c r="EA129" s="230">
        <v>709375</v>
      </c>
      <c r="EB129" s="229">
        <v>5.8999999999999999E-3</v>
      </c>
      <c r="EC129" s="229">
        <v>6.7299999999999999E-2</v>
      </c>
      <c r="ED129" s="228">
        <v>13.85</v>
      </c>
      <c r="EE129" s="229">
        <v>5.7999999999999996E-3</v>
      </c>
      <c r="EF129" s="230">
        <v>3181588</v>
      </c>
      <c r="EG129" s="230">
        <v>1369218</v>
      </c>
      <c r="EH129" s="229">
        <v>1.3237000000000001</v>
      </c>
      <c r="EI129" s="229">
        <v>0.47189999999999999</v>
      </c>
      <c r="EJ129" s="231">
        <v>754353.47</v>
      </c>
      <c r="EK129" s="231">
        <v>369004.44</v>
      </c>
      <c r="EL129" s="231">
        <v>226863.69</v>
      </c>
      <c r="EM129" s="231">
        <v>9638</v>
      </c>
      <c r="EN129" s="231">
        <v>1350221.6</v>
      </c>
      <c r="EO129" s="231">
        <v>841562.42</v>
      </c>
      <c r="EP129" s="231">
        <v>508659.18</v>
      </c>
      <c r="EQ129" s="229">
        <v>0.60440000000000005</v>
      </c>
      <c r="ER129" s="231">
        <v>441402</v>
      </c>
      <c r="ES129" s="231">
        <v>259141</v>
      </c>
      <c r="ET129" s="231">
        <v>349163</v>
      </c>
      <c r="EU129" s="231">
        <v>38177110</v>
      </c>
      <c r="EV129" s="231">
        <v>1049705</v>
      </c>
      <c r="EW129" s="231">
        <v>992642</v>
      </c>
      <c r="EX129" s="231">
        <v>57063</v>
      </c>
      <c r="EY129" s="229">
        <v>5.7500000000000002E-2</v>
      </c>
      <c r="EZ129" s="229">
        <v>1.1371</v>
      </c>
      <c r="FA129" s="227" t="s">
        <v>567</v>
      </c>
      <c r="FB129" s="161">
        <f t="shared" si="1"/>
        <v>990000</v>
      </c>
    </row>
    <row r="130" spans="1:158" ht="17.25" hidden="1" thickBot="1" x14ac:dyDescent="0.3">
      <c r="A130" s="226">
        <v>46064</v>
      </c>
      <c r="B130" s="227" t="s">
        <v>175</v>
      </c>
      <c r="C130" s="227" t="s">
        <v>257</v>
      </c>
      <c r="D130" s="228">
        <v>400</v>
      </c>
      <c r="E130" s="231">
        <v>1738.4</v>
      </c>
      <c r="F130" s="231">
        <v>1752.6</v>
      </c>
      <c r="G130" s="228">
        <v>-14.2</v>
      </c>
      <c r="H130" s="229">
        <v>-8.0999999999999996E-3</v>
      </c>
      <c r="I130" s="231">
        <v>1734.1</v>
      </c>
      <c r="J130" s="231">
        <v>1747.2</v>
      </c>
      <c r="K130" s="228">
        <v>-13.1</v>
      </c>
      <c r="L130" s="229">
        <v>-7.4999999999999997E-3</v>
      </c>
      <c r="M130" s="231">
        <v>1738.4</v>
      </c>
      <c r="N130" s="231">
        <v>1752.6</v>
      </c>
      <c r="O130" s="228">
        <v>-14.2</v>
      </c>
      <c r="P130" s="229">
        <v>-8.0999999999999996E-3</v>
      </c>
      <c r="Q130" s="231">
        <v>1742.8</v>
      </c>
      <c r="R130" s="231">
        <v>1757.8</v>
      </c>
      <c r="S130" s="228">
        <v>-15</v>
      </c>
      <c r="T130" s="229">
        <v>-8.5000000000000006E-3</v>
      </c>
      <c r="U130" s="231">
        <v>1764.5</v>
      </c>
      <c r="V130" s="231">
        <v>1752.7</v>
      </c>
      <c r="W130" s="228">
        <v>11.8</v>
      </c>
      <c r="X130" s="229">
        <v>6.7000000000000002E-3</v>
      </c>
      <c r="Y130" s="228">
        <v>4.3</v>
      </c>
      <c r="Z130" s="228">
        <v>5.4</v>
      </c>
      <c r="AA130" s="228">
        <v>-1.1000000000000001</v>
      </c>
      <c r="AB130" s="229">
        <v>2.5000000000000001E-3</v>
      </c>
      <c r="AC130" s="228">
        <v>4.3</v>
      </c>
      <c r="AD130" s="228">
        <v>5.4</v>
      </c>
      <c r="AE130" s="228">
        <v>-1.1000000000000001</v>
      </c>
      <c r="AF130" s="229">
        <v>2.5000000000000001E-3</v>
      </c>
      <c r="AG130" s="228">
        <v>8.6999999999999993</v>
      </c>
      <c r="AH130" s="228">
        <v>10.6</v>
      </c>
      <c r="AI130" s="228">
        <v>-1.9</v>
      </c>
      <c r="AJ130" s="229">
        <v>5.0000000000000001E-3</v>
      </c>
      <c r="AK130" s="228">
        <v>30.4</v>
      </c>
      <c r="AL130" s="228">
        <v>5.5</v>
      </c>
      <c r="AM130" s="228">
        <v>24.9</v>
      </c>
      <c r="AN130" s="229">
        <v>1.7500000000000002E-2</v>
      </c>
      <c r="AO130" s="231">
        <v>1746.34</v>
      </c>
      <c r="AP130" s="231">
        <v>1755.08</v>
      </c>
      <c r="AQ130" s="228">
        <v>0</v>
      </c>
      <c r="AR130" s="230">
        <v>1529600</v>
      </c>
      <c r="AS130" s="230">
        <v>1228000</v>
      </c>
      <c r="AT130" s="230">
        <v>301600</v>
      </c>
      <c r="AU130" s="229">
        <v>0.24560000000000001</v>
      </c>
      <c r="AV130" s="230">
        <v>1503200</v>
      </c>
      <c r="AW130" s="230">
        <v>1192000</v>
      </c>
      <c r="AX130" s="230">
        <v>311200</v>
      </c>
      <c r="AY130" s="229">
        <v>0.2611</v>
      </c>
      <c r="AZ130" s="230">
        <v>25600</v>
      </c>
      <c r="BA130" s="230">
        <v>33600</v>
      </c>
      <c r="BB130" s="230">
        <v>-8000</v>
      </c>
      <c r="BC130" s="229">
        <v>-0.23810000000000001</v>
      </c>
      <c r="BD130" s="228">
        <v>800</v>
      </c>
      <c r="BE130" s="230">
        <v>2400</v>
      </c>
      <c r="BF130" s="230">
        <v>-1600</v>
      </c>
      <c r="BG130" s="229">
        <v>-0.66669999999999996</v>
      </c>
      <c r="BH130" s="230">
        <v>5643600</v>
      </c>
      <c r="BI130" s="230">
        <v>2378400</v>
      </c>
      <c r="BJ130" s="230">
        <v>3265200</v>
      </c>
      <c r="BK130" s="229">
        <v>1.3729</v>
      </c>
      <c r="BL130" s="230">
        <v>2924400</v>
      </c>
      <c r="BM130" s="230">
        <v>998800</v>
      </c>
      <c r="BN130" s="230">
        <v>1925600</v>
      </c>
      <c r="BO130" s="229">
        <v>1.9278999999999999</v>
      </c>
      <c r="BP130" s="230">
        <v>10097600</v>
      </c>
      <c r="BQ130" s="230">
        <v>4605200</v>
      </c>
      <c r="BR130" s="230">
        <v>5492400</v>
      </c>
      <c r="BS130" s="229">
        <v>1.1927000000000001</v>
      </c>
      <c r="BT130" s="230">
        <v>996960</v>
      </c>
      <c r="BU130" s="230">
        <v>1480053</v>
      </c>
      <c r="BV130" s="230">
        <v>-483093</v>
      </c>
      <c r="BW130" s="229">
        <v>-0.32640000000000002</v>
      </c>
      <c r="BX130" s="230">
        <v>9300000</v>
      </c>
      <c r="BY130" s="230">
        <v>9320800</v>
      </c>
      <c r="BZ130" s="230">
        <v>-20800</v>
      </c>
      <c r="CA130" s="229">
        <v>-2.2000000000000001E-3</v>
      </c>
      <c r="CB130" s="230">
        <v>9236400</v>
      </c>
      <c r="CC130" s="230">
        <v>9253600</v>
      </c>
      <c r="CD130" s="230">
        <v>-17200</v>
      </c>
      <c r="CE130" s="229">
        <v>-1.9E-3</v>
      </c>
      <c r="CF130" s="230">
        <v>58800</v>
      </c>
      <c r="CG130" s="230">
        <v>62800</v>
      </c>
      <c r="CH130" s="230">
        <v>-4000</v>
      </c>
      <c r="CI130" s="229">
        <v>-6.3700000000000007E-2</v>
      </c>
      <c r="CJ130" s="230">
        <v>4800</v>
      </c>
      <c r="CK130" s="230">
        <v>4400</v>
      </c>
      <c r="CL130" s="228">
        <v>400</v>
      </c>
      <c r="CM130" s="229">
        <v>9.0899999999999995E-2</v>
      </c>
      <c r="CN130" s="230">
        <v>2754000</v>
      </c>
      <c r="CO130" s="230">
        <v>1968800</v>
      </c>
      <c r="CP130" s="230">
        <v>785200</v>
      </c>
      <c r="CQ130" s="229">
        <v>0.39879999999999999</v>
      </c>
      <c r="CR130" s="230">
        <v>1603600</v>
      </c>
      <c r="CS130" s="230">
        <v>1226000</v>
      </c>
      <c r="CT130" s="230">
        <v>377600</v>
      </c>
      <c r="CU130" s="229">
        <v>0.308</v>
      </c>
      <c r="CV130" s="230">
        <v>13657600</v>
      </c>
      <c r="CW130" s="230">
        <v>12515600</v>
      </c>
      <c r="CX130" s="230">
        <v>1142000</v>
      </c>
      <c r="CY130" s="229">
        <v>9.1200000000000003E-2</v>
      </c>
      <c r="CZ130" s="228">
        <v>38.630000000000003</v>
      </c>
      <c r="DA130" s="228">
        <v>36.36</v>
      </c>
      <c r="DB130" s="228">
        <v>2.27</v>
      </c>
      <c r="DC130" s="228">
        <v>2.27</v>
      </c>
      <c r="DD130" s="228">
        <v>29.28</v>
      </c>
      <c r="DE130" s="228">
        <v>29.33</v>
      </c>
      <c r="DF130" s="228">
        <v>9.35</v>
      </c>
      <c r="DG130" s="228">
        <v>-0.05</v>
      </c>
      <c r="DH130" s="228">
        <v>38.840000000000003</v>
      </c>
      <c r="DI130" s="228">
        <v>36.03</v>
      </c>
      <c r="DJ130" s="228">
        <v>2.81</v>
      </c>
      <c r="DK130" s="228">
        <v>2.81</v>
      </c>
      <c r="DL130" s="228">
        <v>38.22</v>
      </c>
      <c r="DM130" s="228">
        <v>37.17</v>
      </c>
      <c r="DN130" s="228">
        <v>1.05</v>
      </c>
      <c r="DO130" s="228">
        <v>1.05</v>
      </c>
      <c r="DP130" s="228">
        <v>0.57999999999999996</v>
      </c>
      <c r="DQ130" s="228">
        <v>0.62</v>
      </c>
      <c r="DR130" s="228">
        <v>-0.04</v>
      </c>
      <c r="DS130" s="229">
        <v>-6.4500000000000002E-2</v>
      </c>
      <c r="DT130" s="231">
        <v>1800</v>
      </c>
      <c r="DU130" s="231">
        <v>1700</v>
      </c>
      <c r="DV130" s="228">
        <v>0.52</v>
      </c>
      <c r="DW130" s="228">
        <v>0.42</v>
      </c>
      <c r="DX130" s="228">
        <v>0.1</v>
      </c>
      <c r="DY130" s="229">
        <v>0.23810000000000001</v>
      </c>
      <c r="DZ130" s="229">
        <v>6.7999999999999996E-3</v>
      </c>
      <c r="EA130" s="230">
        <v>67200</v>
      </c>
      <c r="EB130" s="229">
        <v>2.5000000000000001E-3</v>
      </c>
      <c r="EC130" s="229">
        <v>6.7999999999999996E-3</v>
      </c>
      <c r="ED130" s="228">
        <v>8.74</v>
      </c>
      <c r="EE130" s="229">
        <v>5.0000000000000001E-3</v>
      </c>
      <c r="EF130" s="230">
        <v>574945</v>
      </c>
      <c r="EG130" s="230">
        <v>1119391</v>
      </c>
      <c r="EH130" s="229">
        <v>-0.4864</v>
      </c>
      <c r="EI130" s="229">
        <v>0.57669999999999999</v>
      </c>
      <c r="EJ130" s="231">
        <v>104010.2</v>
      </c>
      <c r="EK130" s="231">
        <v>49598.07</v>
      </c>
      <c r="EL130" s="231">
        <v>26714.33</v>
      </c>
      <c r="EM130" s="231">
        <v>2806</v>
      </c>
      <c r="EN130" s="231">
        <v>180322.6</v>
      </c>
      <c r="EO130" s="231">
        <v>81980.72</v>
      </c>
      <c r="EP130" s="231">
        <v>98341.88</v>
      </c>
      <c r="EQ130" s="229">
        <v>1.1996</v>
      </c>
      <c r="ER130" s="231">
        <v>49412</v>
      </c>
      <c r="ES130" s="231">
        <v>26049</v>
      </c>
      <c r="ET130" s="231">
        <v>161675</v>
      </c>
      <c r="EU130" s="231">
        <v>33919851</v>
      </c>
      <c r="EV130" s="231">
        <v>237136</v>
      </c>
      <c r="EW130" s="231">
        <v>218140</v>
      </c>
      <c r="EX130" s="231">
        <v>18996</v>
      </c>
      <c r="EY130" s="229">
        <v>8.7099999999999997E-2</v>
      </c>
      <c r="EZ130" s="229">
        <v>0.40260000000000001</v>
      </c>
      <c r="FA130" s="227" t="s">
        <v>568</v>
      </c>
      <c r="FB130" s="161">
        <f t="shared" si="1"/>
        <v>63600</v>
      </c>
    </row>
    <row r="131" spans="1:158" ht="17.25" hidden="1" thickBot="1" x14ac:dyDescent="0.3">
      <c r="A131" s="226">
        <v>46064</v>
      </c>
      <c r="B131" s="227" t="s">
        <v>181</v>
      </c>
      <c r="C131" s="227" t="s">
        <v>563</v>
      </c>
      <c r="D131" s="228">
        <v>120</v>
      </c>
      <c r="E131" s="231">
        <v>13950.2</v>
      </c>
      <c r="F131" s="231">
        <v>13944.6</v>
      </c>
      <c r="G131" s="228">
        <v>5.6</v>
      </c>
      <c r="H131" s="229">
        <v>4.0000000000000002E-4</v>
      </c>
      <c r="I131" s="231">
        <v>13952.8</v>
      </c>
      <c r="J131" s="231">
        <v>13953.1</v>
      </c>
      <c r="K131" s="228">
        <v>-0.3</v>
      </c>
      <c r="L131" s="229">
        <v>0</v>
      </c>
      <c r="M131" s="231">
        <v>13950.2</v>
      </c>
      <c r="N131" s="231">
        <v>13944.6</v>
      </c>
      <c r="O131" s="228">
        <v>5.6</v>
      </c>
      <c r="P131" s="229">
        <v>4.0000000000000002E-4</v>
      </c>
      <c r="Q131" s="231">
        <v>14018.35</v>
      </c>
      <c r="R131" s="231">
        <v>14008.9</v>
      </c>
      <c r="S131" s="228">
        <v>9.4499999999999993</v>
      </c>
      <c r="T131" s="229">
        <v>6.9999999999999999E-4</v>
      </c>
      <c r="U131" s="231">
        <v>14060.9</v>
      </c>
      <c r="V131" s="231">
        <v>14077.65</v>
      </c>
      <c r="W131" s="228">
        <v>-16.75</v>
      </c>
      <c r="X131" s="229">
        <v>-1.1999999999999999E-3</v>
      </c>
      <c r="Y131" s="228">
        <v>-2.6</v>
      </c>
      <c r="Z131" s="228">
        <v>-8.5</v>
      </c>
      <c r="AA131" s="228">
        <v>5.9</v>
      </c>
      <c r="AB131" s="229">
        <v>-2.0000000000000001E-4</v>
      </c>
      <c r="AC131" s="228">
        <v>-2.6</v>
      </c>
      <c r="AD131" s="228">
        <v>-8.5</v>
      </c>
      <c r="AE131" s="228">
        <v>5.9</v>
      </c>
      <c r="AF131" s="229">
        <v>-2.0000000000000001E-4</v>
      </c>
      <c r="AG131" s="228">
        <v>65.55</v>
      </c>
      <c r="AH131" s="228">
        <v>55.8</v>
      </c>
      <c r="AI131" s="228">
        <v>9.75</v>
      </c>
      <c r="AJ131" s="229">
        <v>4.7000000000000002E-3</v>
      </c>
      <c r="AK131" s="228">
        <v>108.1</v>
      </c>
      <c r="AL131" s="228">
        <v>124.55</v>
      </c>
      <c r="AM131" s="228">
        <v>-16.45</v>
      </c>
      <c r="AN131" s="229">
        <v>7.7000000000000002E-3</v>
      </c>
      <c r="AO131" s="231">
        <v>13940.14</v>
      </c>
      <c r="AP131" s="231">
        <v>14011.65</v>
      </c>
      <c r="AQ131" s="228">
        <v>0</v>
      </c>
      <c r="AR131" s="230">
        <v>516600</v>
      </c>
      <c r="AS131" s="230">
        <v>439320</v>
      </c>
      <c r="AT131" s="230">
        <v>77280</v>
      </c>
      <c r="AU131" s="229">
        <v>0.1759</v>
      </c>
      <c r="AV131" s="230">
        <v>483000</v>
      </c>
      <c r="AW131" s="230">
        <v>397680</v>
      </c>
      <c r="AX131" s="230">
        <v>85320</v>
      </c>
      <c r="AY131" s="229">
        <v>0.2145</v>
      </c>
      <c r="AZ131" s="230">
        <v>25920</v>
      </c>
      <c r="BA131" s="230">
        <v>32880</v>
      </c>
      <c r="BB131" s="230">
        <v>-6960</v>
      </c>
      <c r="BC131" s="229">
        <v>-0.2117</v>
      </c>
      <c r="BD131" s="230">
        <v>7680</v>
      </c>
      <c r="BE131" s="230">
        <v>8760</v>
      </c>
      <c r="BF131" s="230">
        <v>-1080</v>
      </c>
      <c r="BG131" s="229">
        <v>-0.12330000000000001</v>
      </c>
      <c r="BH131" s="230">
        <v>12523800</v>
      </c>
      <c r="BI131" s="230">
        <v>13880040</v>
      </c>
      <c r="BJ131" s="230">
        <v>-1356240</v>
      </c>
      <c r="BK131" s="229">
        <v>-9.7699999999999995E-2</v>
      </c>
      <c r="BL131" s="230">
        <v>12321000</v>
      </c>
      <c r="BM131" s="230">
        <v>12790080</v>
      </c>
      <c r="BN131" s="230">
        <v>-469080</v>
      </c>
      <c r="BO131" s="229">
        <v>-3.6700000000000003E-2</v>
      </c>
      <c r="BP131" s="230">
        <v>25361400</v>
      </c>
      <c r="BQ131" s="230">
        <v>27109440</v>
      </c>
      <c r="BR131" s="230">
        <v>-1748040</v>
      </c>
      <c r="BS131" s="229">
        <v>-6.4500000000000002E-2</v>
      </c>
      <c r="BT131" s="228">
        <v>0</v>
      </c>
      <c r="BU131" s="228">
        <v>0</v>
      </c>
      <c r="BV131" s="228">
        <v>0</v>
      </c>
      <c r="BW131" s="229">
        <v>0</v>
      </c>
      <c r="BX131" s="230">
        <v>2130240</v>
      </c>
      <c r="BY131" s="230">
        <v>2145840</v>
      </c>
      <c r="BZ131" s="230">
        <v>-15600</v>
      </c>
      <c r="CA131" s="229">
        <v>-7.3000000000000001E-3</v>
      </c>
      <c r="CB131" s="230">
        <v>2030520</v>
      </c>
      <c r="CC131" s="230">
        <v>2054160</v>
      </c>
      <c r="CD131" s="230">
        <v>-23640</v>
      </c>
      <c r="CE131" s="229">
        <v>-1.15E-2</v>
      </c>
      <c r="CF131" s="230">
        <v>74640</v>
      </c>
      <c r="CG131" s="230">
        <v>68760</v>
      </c>
      <c r="CH131" s="230">
        <v>5880</v>
      </c>
      <c r="CI131" s="229">
        <v>8.5500000000000007E-2</v>
      </c>
      <c r="CJ131" s="230">
        <v>25080</v>
      </c>
      <c r="CK131" s="230">
        <v>22920</v>
      </c>
      <c r="CL131" s="230">
        <v>2160</v>
      </c>
      <c r="CM131" s="229">
        <v>9.4200000000000006E-2</v>
      </c>
      <c r="CN131" s="230">
        <v>6898680</v>
      </c>
      <c r="CO131" s="230">
        <v>6572280</v>
      </c>
      <c r="CP131" s="230">
        <v>326400</v>
      </c>
      <c r="CQ131" s="229">
        <v>4.9700000000000001E-2</v>
      </c>
      <c r="CR131" s="230">
        <v>8162880</v>
      </c>
      <c r="CS131" s="230">
        <v>7988520</v>
      </c>
      <c r="CT131" s="230">
        <v>174360</v>
      </c>
      <c r="CU131" s="229">
        <v>2.18E-2</v>
      </c>
      <c r="CV131" s="230">
        <v>17191800</v>
      </c>
      <c r="CW131" s="230">
        <v>16706640</v>
      </c>
      <c r="CX131" s="230">
        <v>485160</v>
      </c>
      <c r="CY131" s="229">
        <v>2.9000000000000001E-2</v>
      </c>
      <c r="CZ131" s="228">
        <v>16.559999999999999</v>
      </c>
      <c r="DA131" s="228">
        <v>17.350000000000001</v>
      </c>
      <c r="DB131" s="228">
        <v>-0.79</v>
      </c>
      <c r="DC131" s="228">
        <v>-0.79</v>
      </c>
      <c r="DD131" s="228">
        <v>22.14</v>
      </c>
      <c r="DE131" s="228">
        <v>22.2</v>
      </c>
      <c r="DF131" s="228">
        <v>-5.58</v>
      </c>
      <c r="DG131" s="228">
        <v>-0.06</v>
      </c>
      <c r="DH131" s="228">
        <v>15.44</v>
      </c>
      <c r="DI131" s="228">
        <v>15.88</v>
      </c>
      <c r="DJ131" s="228">
        <v>-0.44</v>
      </c>
      <c r="DK131" s="228">
        <v>-0.44</v>
      </c>
      <c r="DL131" s="228">
        <v>17.71</v>
      </c>
      <c r="DM131" s="228">
        <v>18.95</v>
      </c>
      <c r="DN131" s="228">
        <v>-1.24</v>
      </c>
      <c r="DO131" s="228">
        <v>-1.24</v>
      </c>
      <c r="DP131" s="228">
        <v>1.18</v>
      </c>
      <c r="DQ131" s="228">
        <v>1.22</v>
      </c>
      <c r="DR131" s="228">
        <v>-0.04</v>
      </c>
      <c r="DS131" s="229">
        <v>-3.2800000000000003E-2</v>
      </c>
      <c r="DT131" s="231">
        <v>14500</v>
      </c>
      <c r="DU131" s="231">
        <v>13000</v>
      </c>
      <c r="DV131" s="228">
        <v>0.98</v>
      </c>
      <c r="DW131" s="228">
        <v>0.92</v>
      </c>
      <c r="DX131" s="228">
        <v>0.06</v>
      </c>
      <c r="DY131" s="229">
        <v>6.5199999999999994E-2</v>
      </c>
      <c r="DZ131" s="229">
        <v>4.6800000000000001E-2</v>
      </c>
      <c r="EA131" s="230">
        <v>91680</v>
      </c>
      <c r="EB131" s="229">
        <v>4.8999999999999998E-3</v>
      </c>
      <c r="EC131" s="229">
        <v>4.6800000000000001E-2</v>
      </c>
      <c r="ED131" s="228">
        <v>71.510000000000005</v>
      </c>
      <c r="EE131" s="229">
        <v>5.1000000000000004E-3</v>
      </c>
      <c r="EF131" s="228">
        <v>0</v>
      </c>
      <c r="EG131" s="228">
        <v>0</v>
      </c>
      <c r="EH131" s="229">
        <v>0</v>
      </c>
      <c r="EI131" s="229">
        <v>0</v>
      </c>
      <c r="EJ131" s="231">
        <v>1783340.68</v>
      </c>
      <c r="EK131" s="231">
        <v>1689032.75</v>
      </c>
      <c r="EL131" s="231">
        <v>72043.89</v>
      </c>
      <c r="EM131" s="228">
        <v>0</v>
      </c>
      <c r="EN131" s="231">
        <v>3544417.32</v>
      </c>
      <c r="EO131" s="231">
        <v>3773762.2</v>
      </c>
      <c r="EP131" s="231">
        <v>-229344.88</v>
      </c>
      <c r="EQ131" s="229">
        <v>-6.08E-2</v>
      </c>
      <c r="ER131" s="231">
        <v>973712</v>
      </c>
      <c r="ES131" s="231">
        <v>1071497</v>
      </c>
      <c r="ET131" s="231">
        <v>297251</v>
      </c>
      <c r="EU131" s="228">
        <v>0</v>
      </c>
      <c r="EV131" s="231">
        <v>2342460</v>
      </c>
      <c r="EW131" s="231">
        <v>2273611</v>
      </c>
      <c r="EX131" s="231">
        <v>68849</v>
      </c>
      <c r="EY131" s="229">
        <v>3.0300000000000001E-2</v>
      </c>
      <c r="EZ131" s="229">
        <v>0</v>
      </c>
      <c r="FA131" s="227" t="s">
        <v>556</v>
      </c>
      <c r="FB131" s="161">
        <f t="shared" ref="FB131:FB138" si="2">BX131-CB131</f>
        <v>99720</v>
      </c>
    </row>
    <row r="132" spans="1:158" ht="17.25" hidden="1" thickBot="1" x14ac:dyDescent="0.3">
      <c r="A132" s="226">
        <v>46064</v>
      </c>
      <c r="B132" s="227" t="s">
        <v>162</v>
      </c>
      <c r="C132" s="227" t="s">
        <v>559</v>
      </c>
      <c r="D132" s="228">
        <v>6150</v>
      </c>
      <c r="E132" s="228">
        <v>130.34</v>
      </c>
      <c r="F132" s="228">
        <v>129.93</v>
      </c>
      <c r="G132" s="228">
        <v>0.41</v>
      </c>
      <c r="H132" s="229">
        <v>3.2000000000000002E-3</v>
      </c>
      <c r="I132" s="228">
        <v>130.16999999999999</v>
      </c>
      <c r="J132" s="228">
        <v>129.43</v>
      </c>
      <c r="K132" s="228">
        <v>0.74</v>
      </c>
      <c r="L132" s="229">
        <v>5.7000000000000002E-3</v>
      </c>
      <c r="M132" s="228">
        <v>130.34</v>
      </c>
      <c r="N132" s="228">
        <v>129.93</v>
      </c>
      <c r="O132" s="228">
        <v>0.41</v>
      </c>
      <c r="P132" s="229">
        <v>3.2000000000000002E-3</v>
      </c>
      <c r="Q132" s="228">
        <v>131.12</v>
      </c>
      <c r="R132" s="228">
        <v>130.56</v>
      </c>
      <c r="S132" s="228">
        <v>0.56000000000000005</v>
      </c>
      <c r="T132" s="229">
        <v>4.3E-3</v>
      </c>
      <c r="U132" s="228">
        <v>131.87</v>
      </c>
      <c r="V132" s="228">
        <v>131.36000000000001</v>
      </c>
      <c r="W132" s="228">
        <v>0.51</v>
      </c>
      <c r="X132" s="229">
        <v>3.8999999999999998E-3</v>
      </c>
      <c r="Y132" s="228">
        <v>0.17</v>
      </c>
      <c r="Z132" s="228">
        <v>0.5</v>
      </c>
      <c r="AA132" s="228">
        <v>-0.33</v>
      </c>
      <c r="AB132" s="229">
        <v>1.2999999999999999E-3</v>
      </c>
      <c r="AC132" s="228">
        <v>0.17</v>
      </c>
      <c r="AD132" s="228">
        <v>0.5</v>
      </c>
      <c r="AE132" s="228">
        <v>-0.33</v>
      </c>
      <c r="AF132" s="229">
        <v>1.2999999999999999E-3</v>
      </c>
      <c r="AG132" s="228">
        <v>0.95</v>
      </c>
      <c r="AH132" s="228">
        <v>1.1299999999999999</v>
      </c>
      <c r="AI132" s="228">
        <v>-0.18</v>
      </c>
      <c r="AJ132" s="229">
        <v>7.3000000000000001E-3</v>
      </c>
      <c r="AK132" s="228">
        <v>1.7</v>
      </c>
      <c r="AL132" s="228">
        <v>1.93</v>
      </c>
      <c r="AM132" s="228">
        <v>-0.23</v>
      </c>
      <c r="AN132" s="229">
        <v>1.3100000000000001E-2</v>
      </c>
      <c r="AO132" s="228">
        <v>133.77000000000001</v>
      </c>
      <c r="AP132" s="228">
        <v>134.44</v>
      </c>
      <c r="AQ132" s="228">
        <v>0</v>
      </c>
      <c r="AR132" s="230">
        <v>100595550</v>
      </c>
      <c r="AS132" s="230">
        <v>110244900</v>
      </c>
      <c r="AT132" s="230">
        <v>-9649350</v>
      </c>
      <c r="AU132" s="229">
        <v>-8.7499999999999994E-2</v>
      </c>
      <c r="AV132" s="230">
        <v>92951100</v>
      </c>
      <c r="AW132" s="230">
        <v>101721000</v>
      </c>
      <c r="AX132" s="230">
        <v>-8769900</v>
      </c>
      <c r="AY132" s="229">
        <v>-8.6199999999999999E-2</v>
      </c>
      <c r="AZ132" s="230">
        <v>6549750</v>
      </c>
      <c r="BA132" s="230">
        <v>7490700</v>
      </c>
      <c r="BB132" s="230">
        <v>-940950</v>
      </c>
      <c r="BC132" s="229">
        <v>-0.12559999999999999</v>
      </c>
      <c r="BD132" s="230">
        <v>1094700</v>
      </c>
      <c r="BE132" s="230">
        <v>1033200</v>
      </c>
      <c r="BF132" s="230">
        <v>61500</v>
      </c>
      <c r="BG132" s="229">
        <v>5.9499999999999997E-2</v>
      </c>
      <c r="BH132" s="230">
        <v>320562600</v>
      </c>
      <c r="BI132" s="230">
        <v>409959000</v>
      </c>
      <c r="BJ132" s="230">
        <v>-89396400</v>
      </c>
      <c r="BK132" s="229">
        <v>-0.21809999999999999</v>
      </c>
      <c r="BL132" s="230">
        <v>171966300</v>
      </c>
      <c r="BM132" s="230">
        <v>137151150</v>
      </c>
      <c r="BN132" s="230">
        <v>34815150</v>
      </c>
      <c r="BO132" s="229">
        <v>0.25380000000000003</v>
      </c>
      <c r="BP132" s="230">
        <v>593124450</v>
      </c>
      <c r="BQ132" s="230">
        <v>657355050</v>
      </c>
      <c r="BR132" s="230">
        <v>-64230600</v>
      </c>
      <c r="BS132" s="229">
        <v>-9.7699999999999995E-2</v>
      </c>
      <c r="BT132" s="230">
        <v>62496608</v>
      </c>
      <c r="BU132" s="230">
        <v>58151988</v>
      </c>
      <c r="BV132" s="230">
        <v>4344620</v>
      </c>
      <c r="BW132" s="229">
        <v>7.4700000000000003E-2</v>
      </c>
      <c r="BX132" s="230">
        <v>167741250</v>
      </c>
      <c r="BY132" s="230">
        <v>163626900</v>
      </c>
      <c r="BZ132" s="230">
        <v>4114350</v>
      </c>
      <c r="CA132" s="229">
        <v>2.5100000000000001E-2</v>
      </c>
      <c r="CB132" s="230">
        <v>163460850</v>
      </c>
      <c r="CC132" s="230">
        <v>159684750</v>
      </c>
      <c r="CD132" s="230">
        <v>3776100</v>
      </c>
      <c r="CE132" s="229">
        <v>2.3599999999999999E-2</v>
      </c>
      <c r="CF132" s="230">
        <v>3665400</v>
      </c>
      <c r="CG132" s="230">
        <v>3296400</v>
      </c>
      <c r="CH132" s="230">
        <v>369000</v>
      </c>
      <c r="CI132" s="229">
        <v>0.1119</v>
      </c>
      <c r="CJ132" s="230">
        <v>615000</v>
      </c>
      <c r="CK132" s="230">
        <v>645750</v>
      </c>
      <c r="CL132" s="230">
        <v>-30750</v>
      </c>
      <c r="CM132" s="229">
        <v>-4.7600000000000003E-2</v>
      </c>
      <c r="CN132" s="230">
        <v>73289550</v>
      </c>
      <c r="CO132" s="230">
        <v>68455650</v>
      </c>
      <c r="CP132" s="230">
        <v>4833900</v>
      </c>
      <c r="CQ132" s="229">
        <v>7.0599999999999996E-2</v>
      </c>
      <c r="CR132" s="230">
        <v>63160500</v>
      </c>
      <c r="CS132" s="230">
        <v>56592300</v>
      </c>
      <c r="CT132" s="230">
        <v>6568200</v>
      </c>
      <c r="CU132" s="229">
        <v>0.11609999999999999</v>
      </c>
      <c r="CV132" s="230">
        <v>304191300</v>
      </c>
      <c r="CW132" s="230">
        <v>288674850</v>
      </c>
      <c r="CX132" s="230">
        <v>15516450</v>
      </c>
      <c r="CY132" s="229">
        <v>5.3800000000000001E-2</v>
      </c>
      <c r="CZ132" s="228">
        <v>37.22</v>
      </c>
      <c r="DA132" s="228">
        <v>40.51</v>
      </c>
      <c r="DB132" s="228">
        <v>-3.29</v>
      </c>
      <c r="DC132" s="228">
        <v>-3.29</v>
      </c>
      <c r="DD132" s="228">
        <v>39.46</v>
      </c>
      <c r="DE132" s="228">
        <v>39.549999999999997</v>
      </c>
      <c r="DF132" s="228">
        <v>-2.2400000000000002</v>
      </c>
      <c r="DG132" s="228">
        <v>-0.09</v>
      </c>
      <c r="DH132" s="228">
        <v>37.68</v>
      </c>
      <c r="DI132" s="228">
        <v>40.090000000000003</v>
      </c>
      <c r="DJ132" s="228">
        <v>-2.41</v>
      </c>
      <c r="DK132" s="228">
        <v>-2.41</v>
      </c>
      <c r="DL132" s="228">
        <v>36.369999999999997</v>
      </c>
      <c r="DM132" s="228">
        <v>41.75</v>
      </c>
      <c r="DN132" s="228">
        <v>-5.38</v>
      </c>
      <c r="DO132" s="228">
        <v>-5.38</v>
      </c>
      <c r="DP132" s="228">
        <v>0.86</v>
      </c>
      <c r="DQ132" s="228">
        <v>0.83</v>
      </c>
      <c r="DR132" s="228">
        <v>0.03</v>
      </c>
      <c r="DS132" s="229">
        <v>3.61E-2</v>
      </c>
      <c r="DT132" s="228">
        <v>135</v>
      </c>
      <c r="DU132" s="228">
        <v>120</v>
      </c>
      <c r="DV132" s="228">
        <v>0.54</v>
      </c>
      <c r="DW132" s="228">
        <v>0.33</v>
      </c>
      <c r="DX132" s="228">
        <v>0.21</v>
      </c>
      <c r="DY132" s="229">
        <v>0.63639999999999997</v>
      </c>
      <c r="DZ132" s="229">
        <v>2.5499999999999998E-2</v>
      </c>
      <c r="EA132" s="230">
        <v>3942150</v>
      </c>
      <c r="EB132" s="229">
        <v>6.0000000000000001E-3</v>
      </c>
      <c r="EC132" s="229">
        <v>2.5499999999999998E-2</v>
      </c>
      <c r="ED132" s="228">
        <v>0.67</v>
      </c>
      <c r="EE132" s="229">
        <v>5.0000000000000001E-3</v>
      </c>
      <c r="EF132" s="230">
        <v>15577204</v>
      </c>
      <c r="EG132" s="230">
        <v>14560045</v>
      </c>
      <c r="EH132" s="229">
        <v>6.9900000000000004E-2</v>
      </c>
      <c r="EI132" s="229">
        <v>0.2492</v>
      </c>
      <c r="EJ132" s="231">
        <v>447244.2</v>
      </c>
      <c r="EK132" s="231">
        <v>222228.78</v>
      </c>
      <c r="EL132" s="231">
        <v>134632.35</v>
      </c>
      <c r="EM132" s="231">
        <v>8119</v>
      </c>
      <c r="EN132" s="231">
        <v>804105.33</v>
      </c>
      <c r="EO132" s="231">
        <v>866213.12</v>
      </c>
      <c r="EP132" s="231">
        <v>-62107.79</v>
      </c>
      <c r="EQ132" s="229">
        <v>-7.17E-2</v>
      </c>
      <c r="ER132" s="231">
        <v>96851</v>
      </c>
      <c r="ES132" s="231">
        <v>74922</v>
      </c>
      <c r="ET132" s="231">
        <v>218672</v>
      </c>
      <c r="EU132" s="231">
        <v>606151620</v>
      </c>
      <c r="EV132" s="231">
        <v>390446</v>
      </c>
      <c r="EW132" s="231">
        <v>367014</v>
      </c>
      <c r="EX132" s="231">
        <v>23432</v>
      </c>
      <c r="EY132" s="229">
        <v>6.3799999999999996E-2</v>
      </c>
      <c r="EZ132" s="229">
        <v>0.50180000000000002</v>
      </c>
      <c r="FA132" s="227" t="s">
        <v>555</v>
      </c>
      <c r="FB132" s="161">
        <f t="shared" si="2"/>
        <v>4280400</v>
      </c>
    </row>
    <row r="133" spans="1:158" ht="17.25" hidden="1" thickBot="1" x14ac:dyDescent="0.3">
      <c r="A133" s="226">
        <v>46064</v>
      </c>
      <c r="B133" s="227" t="s">
        <v>221</v>
      </c>
      <c r="C133" s="227" t="s">
        <v>487</v>
      </c>
      <c r="D133" s="228">
        <v>275</v>
      </c>
      <c r="E133" s="231">
        <v>2593.8000000000002</v>
      </c>
      <c r="F133" s="231">
        <v>2622.2</v>
      </c>
      <c r="G133" s="228">
        <v>-28.4</v>
      </c>
      <c r="H133" s="229">
        <v>-1.0800000000000001E-2</v>
      </c>
      <c r="I133" s="231">
        <v>2588.1999999999998</v>
      </c>
      <c r="J133" s="231">
        <v>2614.1</v>
      </c>
      <c r="K133" s="228">
        <v>-25.9</v>
      </c>
      <c r="L133" s="229">
        <v>-9.9000000000000008E-3</v>
      </c>
      <c r="M133" s="231">
        <v>2593.8000000000002</v>
      </c>
      <c r="N133" s="231">
        <v>2622.2</v>
      </c>
      <c r="O133" s="228">
        <v>-28.4</v>
      </c>
      <c r="P133" s="229">
        <v>-1.0800000000000001E-2</v>
      </c>
      <c r="Q133" s="231">
        <v>2608.8000000000002</v>
      </c>
      <c r="R133" s="231">
        <v>2636.5</v>
      </c>
      <c r="S133" s="228">
        <v>-27.7</v>
      </c>
      <c r="T133" s="229">
        <v>-1.0500000000000001E-2</v>
      </c>
      <c r="U133" s="231">
        <v>2633.8</v>
      </c>
      <c r="V133" s="231">
        <v>2652.3</v>
      </c>
      <c r="W133" s="228">
        <v>-18.5</v>
      </c>
      <c r="X133" s="229">
        <v>-7.0000000000000001E-3</v>
      </c>
      <c r="Y133" s="228">
        <v>5.6</v>
      </c>
      <c r="Z133" s="228">
        <v>8.1</v>
      </c>
      <c r="AA133" s="228">
        <v>-2.5</v>
      </c>
      <c r="AB133" s="229">
        <v>2.2000000000000001E-3</v>
      </c>
      <c r="AC133" s="228">
        <v>5.6</v>
      </c>
      <c r="AD133" s="228">
        <v>8.1</v>
      </c>
      <c r="AE133" s="228">
        <v>-2.5</v>
      </c>
      <c r="AF133" s="229">
        <v>2.2000000000000001E-3</v>
      </c>
      <c r="AG133" s="228">
        <v>20.6</v>
      </c>
      <c r="AH133" s="228">
        <v>22.4</v>
      </c>
      <c r="AI133" s="228">
        <v>-1.8</v>
      </c>
      <c r="AJ133" s="229">
        <v>8.0000000000000002E-3</v>
      </c>
      <c r="AK133" s="228">
        <v>45.6</v>
      </c>
      <c r="AL133" s="228">
        <v>38.200000000000003</v>
      </c>
      <c r="AM133" s="228">
        <v>7.4</v>
      </c>
      <c r="AN133" s="229">
        <v>1.7600000000000001E-2</v>
      </c>
      <c r="AO133" s="231">
        <v>2584.0100000000002</v>
      </c>
      <c r="AP133" s="231">
        <v>2596.0700000000002</v>
      </c>
      <c r="AQ133" s="228">
        <v>0</v>
      </c>
      <c r="AR133" s="230">
        <v>790900</v>
      </c>
      <c r="AS133" s="230">
        <v>741950</v>
      </c>
      <c r="AT133" s="230">
        <v>48950</v>
      </c>
      <c r="AU133" s="229">
        <v>6.6000000000000003E-2</v>
      </c>
      <c r="AV133" s="230">
        <v>702350</v>
      </c>
      <c r="AW133" s="230">
        <v>677325</v>
      </c>
      <c r="AX133" s="230">
        <v>25025</v>
      </c>
      <c r="AY133" s="229">
        <v>3.6900000000000002E-2</v>
      </c>
      <c r="AZ133" s="230">
        <v>75625</v>
      </c>
      <c r="BA133" s="230">
        <v>58025</v>
      </c>
      <c r="BB133" s="230">
        <v>17600</v>
      </c>
      <c r="BC133" s="229">
        <v>0.30330000000000001</v>
      </c>
      <c r="BD133" s="230">
        <v>12925</v>
      </c>
      <c r="BE133" s="230">
        <v>6600</v>
      </c>
      <c r="BF133" s="230">
        <v>6325</v>
      </c>
      <c r="BG133" s="229">
        <v>0.95830000000000004</v>
      </c>
      <c r="BH133" s="230">
        <v>1803450</v>
      </c>
      <c r="BI133" s="230">
        <v>1365925</v>
      </c>
      <c r="BJ133" s="230">
        <v>437525</v>
      </c>
      <c r="BK133" s="229">
        <v>0.32029999999999997</v>
      </c>
      <c r="BL133" s="230">
        <v>1325500</v>
      </c>
      <c r="BM133" s="230">
        <v>446325</v>
      </c>
      <c r="BN133" s="230">
        <v>879175</v>
      </c>
      <c r="BO133" s="229">
        <v>1.9698</v>
      </c>
      <c r="BP133" s="230">
        <v>3919850</v>
      </c>
      <c r="BQ133" s="230">
        <v>2554200</v>
      </c>
      <c r="BR133" s="230">
        <v>1365650</v>
      </c>
      <c r="BS133" s="229">
        <v>0.53469999999999995</v>
      </c>
      <c r="BT133" s="230">
        <v>527579</v>
      </c>
      <c r="BU133" s="230">
        <v>446883</v>
      </c>
      <c r="BV133" s="230">
        <v>80696</v>
      </c>
      <c r="BW133" s="229">
        <v>0.18060000000000001</v>
      </c>
      <c r="BX133" s="230">
        <v>5177700</v>
      </c>
      <c r="BY133" s="230">
        <v>5092725</v>
      </c>
      <c r="BZ133" s="230">
        <v>84975</v>
      </c>
      <c r="CA133" s="229">
        <v>1.67E-2</v>
      </c>
      <c r="CB133" s="230">
        <v>5029475</v>
      </c>
      <c r="CC133" s="230">
        <v>4964025</v>
      </c>
      <c r="CD133" s="230">
        <v>65450</v>
      </c>
      <c r="CE133" s="229">
        <v>1.32E-2</v>
      </c>
      <c r="CF133" s="230">
        <v>126500</v>
      </c>
      <c r="CG133" s="230">
        <v>113850</v>
      </c>
      <c r="CH133" s="230">
        <v>12650</v>
      </c>
      <c r="CI133" s="229">
        <v>0.1111</v>
      </c>
      <c r="CJ133" s="230">
        <v>21725</v>
      </c>
      <c r="CK133" s="230">
        <v>14850</v>
      </c>
      <c r="CL133" s="230">
        <v>6875</v>
      </c>
      <c r="CM133" s="229">
        <v>0.46300000000000002</v>
      </c>
      <c r="CN133" s="230">
        <v>1562825</v>
      </c>
      <c r="CO133" s="230">
        <v>1472625</v>
      </c>
      <c r="CP133" s="230">
        <v>90200</v>
      </c>
      <c r="CQ133" s="229">
        <v>6.13E-2</v>
      </c>
      <c r="CR133" s="230">
        <v>846450</v>
      </c>
      <c r="CS133" s="230">
        <v>762850</v>
      </c>
      <c r="CT133" s="230">
        <v>83600</v>
      </c>
      <c r="CU133" s="229">
        <v>0.1096</v>
      </c>
      <c r="CV133" s="230">
        <v>7586975</v>
      </c>
      <c r="CW133" s="230">
        <v>7328200</v>
      </c>
      <c r="CX133" s="230">
        <v>258775</v>
      </c>
      <c r="CY133" s="229">
        <v>3.5299999999999998E-2</v>
      </c>
      <c r="CZ133" s="228">
        <v>34.729999999999997</v>
      </c>
      <c r="DA133" s="228">
        <v>31.79</v>
      </c>
      <c r="DB133" s="228">
        <v>2.94</v>
      </c>
      <c r="DC133" s="228">
        <v>2.94</v>
      </c>
      <c r="DD133" s="228">
        <v>35.18</v>
      </c>
      <c r="DE133" s="228">
        <v>35.24</v>
      </c>
      <c r="DF133" s="228">
        <v>-0.45</v>
      </c>
      <c r="DG133" s="228">
        <v>-0.06</v>
      </c>
      <c r="DH133" s="228">
        <v>34.68</v>
      </c>
      <c r="DI133" s="228">
        <v>31.76</v>
      </c>
      <c r="DJ133" s="228">
        <v>2.92</v>
      </c>
      <c r="DK133" s="228">
        <v>2.92</v>
      </c>
      <c r="DL133" s="228">
        <v>34.81</v>
      </c>
      <c r="DM133" s="228">
        <v>31.9</v>
      </c>
      <c r="DN133" s="228">
        <v>2.91</v>
      </c>
      <c r="DO133" s="228">
        <v>2.91</v>
      </c>
      <c r="DP133" s="228">
        <v>0.54</v>
      </c>
      <c r="DQ133" s="228">
        <v>0.52</v>
      </c>
      <c r="DR133" s="228">
        <v>0.02</v>
      </c>
      <c r="DS133" s="229">
        <v>3.85E-2</v>
      </c>
      <c r="DT133" s="231">
        <v>2800</v>
      </c>
      <c r="DU133" s="231">
        <v>2500</v>
      </c>
      <c r="DV133" s="228">
        <v>0.73</v>
      </c>
      <c r="DW133" s="228">
        <v>0.33</v>
      </c>
      <c r="DX133" s="228">
        <v>0.4</v>
      </c>
      <c r="DY133" s="229">
        <v>1.2121</v>
      </c>
      <c r="DZ133" s="229">
        <v>2.86E-2</v>
      </c>
      <c r="EA133" s="230">
        <v>128700</v>
      </c>
      <c r="EB133" s="229">
        <v>5.7999999999999996E-3</v>
      </c>
      <c r="EC133" s="229">
        <v>2.86E-2</v>
      </c>
      <c r="ED133" s="228">
        <v>12.06</v>
      </c>
      <c r="EE133" s="229">
        <v>4.7000000000000002E-3</v>
      </c>
      <c r="EF133" s="230">
        <v>280700</v>
      </c>
      <c r="EG133" s="230">
        <v>256684</v>
      </c>
      <c r="EH133" s="229">
        <v>9.3600000000000003E-2</v>
      </c>
      <c r="EI133" s="229">
        <v>0.53210000000000002</v>
      </c>
      <c r="EJ133" s="231">
        <v>49503.51</v>
      </c>
      <c r="EK133" s="231">
        <v>34052.379999999997</v>
      </c>
      <c r="EL133" s="231">
        <v>20449.490000000002</v>
      </c>
      <c r="EM133" s="231">
        <v>3239</v>
      </c>
      <c r="EN133" s="231">
        <v>104005.38</v>
      </c>
      <c r="EO133" s="231">
        <v>68979.28</v>
      </c>
      <c r="EP133" s="231">
        <v>35026.1</v>
      </c>
      <c r="EQ133" s="229">
        <v>0.50780000000000003</v>
      </c>
      <c r="ER133" s="231">
        <v>44249</v>
      </c>
      <c r="ES133" s="231">
        <v>21836</v>
      </c>
      <c r="ET133" s="231">
        <v>134327</v>
      </c>
      <c r="EU133" s="231">
        <v>17093933</v>
      </c>
      <c r="EV133" s="231">
        <v>200412</v>
      </c>
      <c r="EW133" s="231">
        <v>195393</v>
      </c>
      <c r="EX133" s="231">
        <v>5019</v>
      </c>
      <c r="EY133" s="229">
        <v>2.5700000000000001E-2</v>
      </c>
      <c r="EZ133" s="229">
        <v>0.44379999999999997</v>
      </c>
      <c r="FA133" s="227" t="s">
        <v>567</v>
      </c>
      <c r="FB133" s="161">
        <f t="shared" si="2"/>
        <v>148225</v>
      </c>
    </row>
    <row r="134" spans="1:158" ht="17.25" hidden="1" thickBot="1" x14ac:dyDescent="0.3">
      <c r="A134" s="226">
        <v>46064</v>
      </c>
      <c r="B134" s="227" t="s">
        <v>175</v>
      </c>
      <c r="C134" s="227" t="s">
        <v>262</v>
      </c>
      <c r="D134" s="228">
        <v>275</v>
      </c>
      <c r="E134" s="231">
        <v>3936</v>
      </c>
      <c r="F134" s="231">
        <v>3889.1</v>
      </c>
      <c r="G134" s="228">
        <v>46.9</v>
      </c>
      <c r="H134" s="229">
        <v>1.21E-2</v>
      </c>
      <c r="I134" s="231">
        <v>3933.2</v>
      </c>
      <c r="J134" s="231">
        <v>3882</v>
      </c>
      <c r="K134" s="228">
        <v>51.2</v>
      </c>
      <c r="L134" s="229">
        <v>1.32E-2</v>
      </c>
      <c r="M134" s="231">
        <v>3936</v>
      </c>
      <c r="N134" s="231">
        <v>3889.1</v>
      </c>
      <c r="O134" s="228">
        <v>46.9</v>
      </c>
      <c r="P134" s="229">
        <v>1.21E-2</v>
      </c>
      <c r="Q134" s="231">
        <v>3962.6</v>
      </c>
      <c r="R134" s="231">
        <v>3913.2</v>
      </c>
      <c r="S134" s="228">
        <v>49.4</v>
      </c>
      <c r="T134" s="229">
        <v>1.26E-2</v>
      </c>
      <c r="U134" s="231">
        <v>3963.6</v>
      </c>
      <c r="V134" s="231">
        <v>3906.8</v>
      </c>
      <c r="W134" s="228">
        <v>56.8</v>
      </c>
      <c r="X134" s="229">
        <v>1.4500000000000001E-2</v>
      </c>
      <c r="Y134" s="228">
        <v>2.8</v>
      </c>
      <c r="Z134" s="228">
        <v>7.1</v>
      </c>
      <c r="AA134" s="228">
        <v>-4.3</v>
      </c>
      <c r="AB134" s="229">
        <v>6.9999999999999999E-4</v>
      </c>
      <c r="AC134" s="228">
        <v>2.8</v>
      </c>
      <c r="AD134" s="228">
        <v>7.1</v>
      </c>
      <c r="AE134" s="228">
        <v>-4.3</v>
      </c>
      <c r="AF134" s="229">
        <v>6.9999999999999999E-4</v>
      </c>
      <c r="AG134" s="228">
        <v>29.4</v>
      </c>
      <c r="AH134" s="228">
        <v>31.2</v>
      </c>
      <c r="AI134" s="228">
        <v>-1.8</v>
      </c>
      <c r="AJ134" s="229">
        <v>7.4999999999999997E-3</v>
      </c>
      <c r="AK134" s="228">
        <v>30.4</v>
      </c>
      <c r="AL134" s="228">
        <v>24.8</v>
      </c>
      <c r="AM134" s="228">
        <v>5.6</v>
      </c>
      <c r="AN134" s="229">
        <v>7.7000000000000002E-3</v>
      </c>
      <c r="AO134" s="231">
        <v>3930.94</v>
      </c>
      <c r="AP134" s="231">
        <v>3956.36</v>
      </c>
      <c r="AQ134" s="228">
        <v>0</v>
      </c>
      <c r="AR134" s="230">
        <v>1292500</v>
      </c>
      <c r="AS134" s="230">
        <v>1498750</v>
      </c>
      <c r="AT134" s="230">
        <v>-206250</v>
      </c>
      <c r="AU134" s="229">
        <v>-0.1376</v>
      </c>
      <c r="AV134" s="230">
        <v>1202850</v>
      </c>
      <c r="AW134" s="230">
        <v>1377750</v>
      </c>
      <c r="AX134" s="230">
        <v>-174900</v>
      </c>
      <c r="AY134" s="229">
        <v>-0.12690000000000001</v>
      </c>
      <c r="AZ134" s="230">
        <v>81950</v>
      </c>
      <c r="BA134" s="230">
        <v>111100</v>
      </c>
      <c r="BB134" s="230">
        <v>-29150</v>
      </c>
      <c r="BC134" s="229">
        <v>-0.26240000000000002</v>
      </c>
      <c r="BD134" s="230">
        <v>7700</v>
      </c>
      <c r="BE134" s="230">
        <v>9900</v>
      </c>
      <c r="BF134" s="230">
        <v>-2200</v>
      </c>
      <c r="BG134" s="229">
        <v>-0.22220000000000001</v>
      </c>
      <c r="BH134" s="230">
        <v>7611450</v>
      </c>
      <c r="BI134" s="230">
        <v>7720900</v>
      </c>
      <c r="BJ134" s="230">
        <v>-109450</v>
      </c>
      <c r="BK134" s="229">
        <v>-1.4200000000000001E-2</v>
      </c>
      <c r="BL134" s="230">
        <v>1637350</v>
      </c>
      <c r="BM134" s="230">
        <v>2093850</v>
      </c>
      <c r="BN134" s="230">
        <v>-456500</v>
      </c>
      <c r="BO134" s="229">
        <v>-0.218</v>
      </c>
      <c r="BP134" s="230">
        <v>10541300</v>
      </c>
      <c r="BQ134" s="230">
        <v>11313500</v>
      </c>
      <c r="BR134" s="230">
        <v>-772200</v>
      </c>
      <c r="BS134" s="229">
        <v>-6.83E-2</v>
      </c>
      <c r="BT134" s="230">
        <v>603710</v>
      </c>
      <c r="BU134" s="230">
        <v>567027</v>
      </c>
      <c r="BV134" s="230">
        <v>36683</v>
      </c>
      <c r="BW134" s="229">
        <v>6.4699999999999994E-2</v>
      </c>
      <c r="BX134" s="230">
        <v>4709375</v>
      </c>
      <c r="BY134" s="230">
        <v>4562250</v>
      </c>
      <c r="BZ134" s="230">
        <v>147125</v>
      </c>
      <c r="CA134" s="229">
        <v>3.2199999999999999E-2</v>
      </c>
      <c r="CB134" s="230">
        <v>4527600</v>
      </c>
      <c r="CC134" s="230">
        <v>4404950</v>
      </c>
      <c r="CD134" s="230">
        <v>122650</v>
      </c>
      <c r="CE134" s="229">
        <v>2.7799999999999998E-2</v>
      </c>
      <c r="CF134" s="230">
        <v>159500</v>
      </c>
      <c r="CG134" s="230">
        <v>136125</v>
      </c>
      <c r="CH134" s="230">
        <v>23375</v>
      </c>
      <c r="CI134" s="229">
        <v>0.17169999999999999</v>
      </c>
      <c r="CJ134" s="230">
        <v>22275</v>
      </c>
      <c r="CK134" s="230">
        <v>21175</v>
      </c>
      <c r="CL134" s="230">
        <v>1100</v>
      </c>
      <c r="CM134" s="229">
        <v>5.1900000000000002E-2</v>
      </c>
      <c r="CN134" s="230">
        <v>4269100</v>
      </c>
      <c r="CO134" s="230">
        <v>3380025</v>
      </c>
      <c r="CP134" s="230">
        <v>889075</v>
      </c>
      <c r="CQ134" s="229">
        <v>0.26300000000000001</v>
      </c>
      <c r="CR134" s="230">
        <v>2001725</v>
      </c>
      <c r="CS134" s="230">
        <v>1822975</v>
      </c>
      <c r="CT134" s="230">
        <v>178750</v>
      </c>
      <c r="CU134" s="229">
        <v>9.8100000000000007E-2</v>
      </c>
      <c r="CV134" s="230">
        <v>10980200</v>
      </c>
      <c r="CW134" s="230">
        <v>9765250</v>
      </c>
      <c r="CX134" s="230">
        <v>1214950</v>
      </c>
      <c r="CY134" s="229">
        <v>0.1244</v>
      </c>
      <c r="CZ134" s="228">
        <v>59.43</v>
      </c>
      <c r="DA134" s="228">
        <v>54.03</v>
      </c>
      <c r="DB134" s="228">
        <v>5.4</v>
      </c>
      <c r="DC134" s="228">
        <v>5.4</v>
      </c>
      <c r="DD134" s="228">
        <v>38.71</v>
      </c>
      <c r="DE134" s="228">
        <v>38.770000000000003</v>
      </c>
      <c r="DF134" s="228">
        <v>20.72</v>
      </c>
      <c r="DG134" s="228">
        <v>-0.06</v>
      </c>
      <c r="DH134" s="228">
        <v>59.86</v>
      </c>
      <c r="DI134" s="228">
        <v>53.81</v>
      </c>
      <c r="DJ134" s="228">
        <v>6.05</v>
      </c>
      <c r="DK134" s="228">
        <v>6.05</v>
      </c>
      <c r="DL134" s="228">
        <v>57.45</v>
      </c>
      <c r="DM134" s="228">
        <v>54.84</v>
      </c>
      <c r="DN134" s="228">
        <v>2.61</v>
      </c>
      <c r="DO134" s="228">
        <v>2.61</v>
      </c>
      <c r="DP134" s="228">
        <v>0.47</v>
      </c>
      <c r="DQ134" s="228">
        <v>0.54</v>
      </c>
      <c r="DR134" s="228">
        <v>-7.0000000000000007E-2</v>
      </c>
      <c r="DS134" s="229">
        <v>-0.12959999999999999</v>
      </c>
      <c r="DT134" s="231">
        <v>4000</v>
      </c>
      <c r="DU134" s="231">
        <v>3800</v>
      </c>
      <c r="DV134" s="228">
        <v>0.22</v>
      </c>
      <c r="DW134" s="228">
        <v>0.27</v>
      </c>
      <c r="DX134" s="228">
        <v>-0.05</v>
      </c>
      <c r="DY134" s="229">
        <v>-0.1852</v>
      </c>
      <c r="DZ134" s="229">
        <v>3.8600000000000002E-2</v>
      </c>
      <c r="EA134" s="230">
        <v>157300</v>
      </c>
      <c r="EB134" s="229">
        <v>6.7999999999999996E-3</v>
      </c>
      <c r="EC134" s="229">
        <v>3.8600000000000002E-2</v>
      </c>
      <c r="ED134" s="228">
        <v>25.42</v>
      </c>
      <c r="EE134" s="229">
        <v>6.4999999999999997E-3</v>
      </c>
      <c r="EF134" s="230">
        <v>280996</v>
      </c>
      <c r="EG134" s="230">
        <v>185355</v>
      </c>
      <c r="EH134" s="229">
        <v>0.51600000000000001</v>
      </c>
      <c r="EI134" s="229">
        <v>0.46539999999999998</v>
      </c>
      <c r="EJ134" s="231">
        <v>326688.37</v>
      </c>
      <c r="EK134" s="231">
        <v>62043.8</v>
      </c>
      <c r="EL134" s="231">
        <v>50830.26</v>
      </c>
      <c r="EM134" s="231">
        <v>6291</v>
      </c>
      <c r="EN134" s="231">
        <v>439562.43</v>
      </c>
      <c r="EO134" s="231">
        <v>455679.72</v>
      </c>
      <c r="EP134" s="231">
        <v>-16117.29</v>
      </c>
      <c r="EQ134" s="229">
        <v>-3.5400000000000001E-2</v>
      </c>
      <c r="ER134" s="231">
        <v>175357</v>
      </c>
      <c r="ES134" s="231">
        <v>72738</v>
      </c>
      <c r="ET134" s="231">
        <v>185410</v>
      </c>
      <c r="EU134" s="231">
        <v>14790848</v>
      </c>
      <c r="EV134" s="231">
        <v>433504</v>
      </c>
      <c r="EW134" s="231">
        <v>379918</v>
      </c>
      <c r="EX134" s="231">
        <v>53586</v>
      </c>
      <c r="EY134" s="229">
        <v>0.14099999999999999</v>
      </c>
      <c r="EZ134" s="229">
        <v>0.74239999999999995</v>
      </c>
      <c r="FA134" s="227" t="s">
        <v>555</v>
      </c>
      <c r="FB134" s="161">
        <f t="shared" si="2"/>
        <v>181775</v>
      </c>
    </row>
    <row r="135" spans="1:158" ht="17.25" hidden="1" thickBot="1" x14ac:dyDescent="0.3">
      <c r="A135" s="226">
        <v>46064</v>
      </c>
      <c r="B135" s="227" t="s">
        <v>227</v>
      </c>
      <c r="C135" s="227" t="s">
        <v>263</v>
      </c>
      <c r="D135" s="228">
        <v>3750</v>
      </c>
      <c r="E135" s="228">
        <v>369.15</v>
      </c>
      <c r="F135" s="228">
        <v>369.55</v>
      </c>
      <c r="G135" s="228">
        <v>-0.4</v>
      </c>
      <c r="H135" s="229">
        <v>-1.1000000000000001E-3</v>
      </c>
      <c r="I135" s="228">
        <v>367.7</v>
      </c>
      <c r="J135" s="228">
        <v>368.65</v>
      </c>
      <c r="K135" s="228">
        <v>-0.95</v>
      </c>
      <c r="L135" s="229">
        <v>-2.5999999999999999E-3</v>
      </c>
      <c r="M135" s="228">
        <v>369.15</v>
      </c>
      <c r="N135" s="228">
        <v>369.55</v>
      </c>
      <c r="O135" s="228">
        <v>-0.4</v>
      </c>
      <c r="P135" s="229">
        <v>-1.1000000000000001E-3</v>
      </c>
      <c r="Q135" s="228">
        <v>371.15</v>
      </c>
      <c r="R135" s="228">
        <v>371.15</v>
      </c>
      <c r="S135" s="228">
        <v>0</v>
      </c>
      <c r="T135" s="229">
        <v>0</v>
      </c>
      <c r="U135" s="228">
        <v>372.85</v>
      </c>
      <c r="V135" s="228">
        <v>372.9</v>
      </c>
      <c r="W135" s="228">
        <v>-0.05</v>
      </c>
      <c r="X135" s="229">
        <v>-1E-4</v>
      </c>
      <c r="Y135" s="228">
        <v>1.45</v>
      </c>
      <c r="Z135" s="228">
        <v>0.9</v>
      </c>
      <c r="AA135" s="228">
        <v>0.55000000000000004</v>
      </c>
      <c r="AB135" s="229">
        <v>3.8999999999999998E-3</v>
      </c>
      <c r="AC135" s="228">
        <v>1.45</v>
      </c>
      <c r="AD135" s="228">
        <v>0.9</v>
      </c>
      <c r="AE135" s="228">
        <v>0.55000000000000004</v>
      </c>
      <c r="AF135" s="229">
        <v>3.8999999999999998E-3</v>
      </c>
      <c r="AG135" s="228">
        <v>3.45</v>
      </c>
      <c r="AH135" s="228">
        <v>2.5</v>
      </c>
      <c r="AI135" s="228">
        <v>0.95</v>
      </c>
      <c r="AJ135" s="229">
        <v>9.4000000000000004E-3</v>
      </c>
      <c r="AK135" s="228">
        <v>5.15</v>
      </c>
      <c r="AL135" s="228">
        <v>4.25</v>
      </c>
      <c r="AM135" s="228">
        <v>0.9</v>
      </c>
      <c r="AN135" s="229">
        <v>1.4E-2</v>
      </c>
      <c r="AO135" s="228">
        <v>370.02</v>
      </c>
      <c r="AP135" s="228">
        <v>372.07</v>
      </c>
      <c r="AQ135" s="228">
        <v>0</v>
      </c>
      <c r="AR135" s="230">
        <v>16387500</v>
      </c>
      <c r="AS135" s="230">
        <v>13440000</v>
      </c>
      <c r="AT135" s="230">
        <v>2947500</v>
      </c>
      <c r="AU135" s="229">
        <v>0.21929999999999999</v>
      </c>
      <c r="AV135" s="230">
        <v>14448750</v>
      </c>
      <c r="AW135" s="230">
        <v>12082500</v>
      </c>
      <c r="AX135" s="230">
        <v>2366250</v>
      </c>
      <c r="AY135" s="229">
        <v>0.1958</v>
      </c>
      <c r="AZ135" s="230">
        <v>1803750</v>
      </c>
      <c r="BA135" s="230">
        <v>1218750</v>
      </c>
      <c r="BB135" s="230">
        <v>585000</v>
      </c>
      <c r="BC135" s="229">
        <v>0.48</v>
      </c>
      <c r="BD135" s="230">
        <v>135000</v>
      </c>
      <c r="BE135" s="230">
        <v>138750</v>
      </c>
      <c r="BF135" s="230">
        <v>-3750</v>
      </c>
      <c r="BG135" s="229">
        <v>-2.7E-2</v>
      </c>
      <c r="BH135" s="230">
        <v>43023750</v>
      </c>
      <c r="BI135" s="230">
        <v>37068750</v>
      </c>
      <c r="BJ135" s="230">
        <v>5955000</v>
      </c>
      <c r="BK135" s="229">
        <v>0.16059999999999999</v>
      </c>
      <c r="BL135" s="230">
        <v>26227500</v>
      </c>
      <c r="BM135" s="230">
        <v>21570000</v>
      </c>
      <c r="BN135" s="230">
        <v>4657500</v>
      </c>
      <c r="BO135" s="229">
        <v>0.21590000000000001</v>
      </c>
      <c r="BP135" s="230">
        <v>85638750</v>
      </c>
      <c r="BQ135" s="230">
        <v>72078750</v>
      </c>
      <c r="BR135" s="230">
        <v>13560000</v>
      </c>
      <c r="BS135" s="229">
        <v>0.18809999999999999</v>
      </c>
      <c r="BT135" s="230">
        <v>9686361</v>
      </c>
      <c r="BU135" s="230">
        <v>8917217</v>
      </c>
      <c r="BV135" s="230">
        <v>769144</v>
      </c>
      <c r="BW135" s="229">
        <v>8.6300000000000002E-2</v>
      </c>
      <c r="BX135" s="230">
        <v>58290000</v>
      </c>
      <c r="BY135" s="230">
        <v>57682500</v>
      </c>
      <c r="BZ135" s="230">
        <v>607500</v>
      </c>
      <c r="CA135" s="229">
        <v>1.0500000000000001E-2</v>
      </c>
      <c r="CB135" s="230">
        <v>55117500</v>
      </c>
      <c r="CC135" s="230">
        <v>54637500</v>
      </c>
      <c r="CD135" s="230">
        <v>480000</v>
      </c>
      <c r="CE135" s="229">
        <v>8.8000000000000005E-3</v>
      </c>
      <c r="CF135" s="230">
        <v>2441250</v>
      </c>
      <c r="CG135" s="230">
        <v>2321250</v>
      </c>
      <c r="CH135" s="230">
        <v>120000</v>
      </c>
      <c r="CI135" s="229">
        <v>5.1700000000000003E-2</v>
      </c>
      <c r="CJ135" s="230">
        <v>731250</v>
      </c>
      <c r="CK135" s="230">
        <v>723750</v>
      </c>
      <c r="CL135" s="230">
        <v>7500</v>
      </c>
      <c r="CM135" s="229">
        <v>1.04E-2</v>
      </c>
      <c r="CN135" s="230">
        <v>55128750</v>
      </c>
      <c r="CO135" s="230">
        <v>56685000</v>
      </c>
      <c r="CP135" s="230">
        <v>-1556250</v>
      </c>
      <c r="CQ135" s="229">
        <v>-2.75E-2</v>
      </c>
      <c r="CR135" s="230">
        <v>36941250</v>
      </c>
      <c r="CS135" s="230">
        <v>37721250</v>
      </c>
      <c r="CT135" s="230">
        <v>-780000</v>
      </c>
      <c r="CU135" s="229">
        <v>-2.07E-2</v>
      </c>
      <c r="CV135" s="230">
        <v>150360000</v>
      </c>
      <c r="CW135" s="230">
        <v>152088750</v>
      </c>
      <c r="CX135" s="230">
        <v>-1728750</v>
      </c>
      <c r="CY135" s="229">
        <v>-1.14E-2</v>
      </c>
      <c r="CZ135" s="228">
        <v>42.27</v>
      </c>
      <c r="DA135" s="228">
        <v>43.27</v>
      </c>
      <c r="DB135" s="228">
        <v>-1</v>
      </c>
      <c r="DC135" s="228">
        <v>-1</v>
      </c>
      <c r="DD135" s="228">
        <v>51.25</v>
      </c>
      <c r="DE135" s="228">
        <v>51.37</v>
      </c>
      <c r="DF135" s="228">
        <v>-8.98</v>
      </c>
      <c r="DG135" s="228">
        <v>-0.12</v>
      </c>
      <c r="DH135" s="228">
        <v>42.56</v>
      </c>
      <c r="DI135" s="228">
        <v>43.59</v>
      </c>
      <c r="DJ135" s="228">
        <v>-1.03</v>
      </c>
      <c r="DK135" s="228">
        <v>-1.03</v>
      </c>
      <c r="DL135" s="228">
        <v>41.81</v>
      </c>
      <c r="DM135" s="228">
        <v>42.72</v>
      </c>
      <c r="DN135" s="228">
        <v>-0.91</v>
      </c>
      <c r="DO135" s="228">
        <v>-0.91</v>
      </c>
      <c r="DP135" s="228">
        <v>0.67</v>
      </c>
      <c r="DQ135" s="228">
        <v>0.67</v>
      </c>
      <c r="DR135" s="228">
        <v>0</v>
      </c>
      <c r="DS135" s="229">
        <v>0</v>
      </c>
      <c r="DT135" s="228">
        <v>400</v>
      </c>
      <c r="DU135" s="228">
        <v>350</v>
      </c>
      <c r="DV135" s="228">
        <v>0.61</v>
      </c>
      <c r="DW135" s="228">
        <v>0.57999999999999996</v>
      </c>
      <c r="DX135" s="228">
        <v>0.03</v>
      </c>
      <c r="DY135" s="229">
        <v>5.1700000000000003E-2</v>
      </c>
      <c r="DZ135" s="229">
        <v>5.4399999999999997E-2</v>
      </c>
      <c r="EA135" s="230">
        <v>3045000</v>
      </c>
      <c r="EB135" s="229">
        <v>5.4000000000000003E-3</v>
      </c>
      <c r="EC135" s="229">
        <v>5.4399999999999997E-2</v>
      </c>
      <c r="ED135" s="228">
        <v>2.0499999999999998</v>
      </c>
      <c r="EE135" s="229">
        <v>5.4999999999999997E-3</v>
      </c>
      <c r="EF135" s="230">
        <v>4604477</v>
      </c>
      <c r="EG135" s="230">
        <v>3708333</v>
      </c>
      <c r="EH135" s="229">
        <v>0.2417</v>
      </c>
      <c r="EI135" s="229">
        <v>0.47539999999999999</v>
      </c>
      <c r="EJ135" s="231">
        <v>168472.31</v>
      </c>
      <c r="EK135" s="231">
        <v>96593.56</v>
      </c>
      <c r="EL135" s="231">
        <v>60678.06</v>
      </c>
      <c r="EM135" s="231">
        <v>4684</v>
      </c>
      <c r="EN135" s="231">
        <v>325743.93</v>
      </c>
      <c r="EO135" s="231">
        <v>274402.96999999997</v>
      </c>
      <c r="EP135" s="231">
        <v>51340.959999999999</v>
      </c>
      <c r="EQ135" s="229">
        <v>0.18709999999999999</v>
      </c>
      <c r="ER135" s="231">
        <v>222200</v>
      </c>
      <c r="ES135" s="231">
        <v>131871</v>
      </c>
      <c r="ET135" s="231">
        <v>215253</v>
      </c>
      <c r="EU135" s="231">
        <v>134225816</v>
      </c>
      <c r="EV135" s="231">
        <v>569324</v>
      </c>
      <c r="EW135" s="231">
        <v>576704</v>
      </c>
      <c r="EX135" s="231">
        <v>-7380</v>
      </c>
      <c r="EY135" s="229">
        <v>-1.2800000000000001E-2</v>
      </c>
      <c r="EZ135" s="229">
        <v>1.1202000000000001</v>
      </c>
      <c r="FA135" s="227" t="s">
        <v>567</v>
      </c>
      <c r="FB135" s="161">
        <f t="shared" si="2"/>
        <v>3172500</v>
      </c>
    </row>
    <row r="136" spans="1:158" ht="17.25" hidden="1" thickBot="1" x14ac:dyDescent="0.3">
      <c r="A136" s="226">
        <v>46064</v>
      </c>
      <c r="B136" s="227" t="s">
        <v>615</v>
      </c>
      <c r="C136" s="227" t="s">
        <v>264</v>
      </c>
      <c r="D136" s="228">
        <v>375</v>
      </c>
      <c r="E136" s="231">
        <v>1172.4000000000001</v>
      </c>
      <c r="F136" s="231">
        <v>1194.3</v>
      </c>
      <c r="G136" s="228">
        <v>-21.9</v>
      </c>
      <c r="H136" s="229">
        <v>-1.83E-2</v>
      </c>
      <c r="I136" s="231">
        <v>1171.7</v>
      </c>
      <c r="J136" s="231">
        <v>1194.3</v>
      </c>
      <c r="K136" s="228">
        <v>-22.6</v>
      </c>
      <c r="L136" s="229">
        <v>-1.89E-2</v>
      </c>
      <c r="M136" s="231">
        <v>1172.4000000000001</v>
      </c>
      <c r="N136" s="231">
        <v>1194.3</v>
      </c>
      <c r="O136" s="228">
        <v>-21.9</v>
      </c>
      <c r="P136" s="229">
        <v>-1.83E-2</v>
      </c>
      <c r="Q136" s="231">
        <v>1173.3</v>
      </c>
      <c r="R136" s="231">
        <v>1194.0999999999999</v>
      </c>
      <c r="S136" s="228">
        <v>-20.8</v>
      </c>
      <c r="T136" s="229">
        <v>-1.7399999999999999E-2</v>
      </c>
      <c r="U136" s="231">
        <v>1177.4000000000001</v>
      </c>
      <c r="V136" s="231">
        <v>1195</v>
      </c>
      <c r="W136" s="228">
        <v>-17.600000000000001</v>
      </c>
      <c r="X136" s="229">
        <v>-1.47E-2</v>
      </c>
      <c r="Y136" s="228">
        <v>0.7</v>
      </c>
      <c r="Z136" s="228">
        <v>0</v>
      </c>
      <c r="AA136" s="228">
        <v>0.7</v>
      </c>
      <c r="AB136" s="229">
        <v>5.9999999999999995E-4</v>
      </c>
      <c r="AC136" s="228">
        <v>0.7</v>
      </c>
      <c r="AD136" s="228">
        <v>0</v>
      </c>
      <c r="AE136" s="228">
        <v>0.7</v>
      </c>
      <c r="AF136" s="229">
        <v>5.9999999999999995E-4</v>
      </c>
      <c r="AG136" s="228">
        <v>1.6</v>
      </c>
      <c r="AH136" s="228">
        <v>-0.2</v>
      </c>
      <c r="AI136" s="228">
        <v>1.8</v>
      </c>
      <c r="AJ136" s="229">
        <v>1.4E-3</v>
      </c>
      <c r="AK136" s="228">
        <v>5.7</v>
      </c>
      <c r="AL136" s="228">
        <v>0.7</v>
      </c>
      <c r="AM136" s="228">
        <v>5</v>
      </c>
      <c r="AN136" s="229">
        <v>4.8999999999999998E-3</v>
      </c>
      <c r="AO136" s="231">
        <v>1184.29</v>
      </c>
      <c r="AP136" s="231">
        <v>1186.28</v>
      </c>
      <c r="AQ136" s="228">
        <v>0</v>
      </c>
      <c r="AR136" s="230">
        <v>2845875</v>
      </c>
      <c r="AS136" s="230">
        <v>2032125</v>
      </c>
      <c r="AT136" s="230">
        <v>813750</v>
      </c>
      <c r="AU136" s="229">
        <v>0.40039999999999998</v>
      </c>
      <c r="AV136" s="230">
        <v>2210625</v>
      </c>
      <c r="AW136" s="230">
        <v>1924125</v>
      </c>
      <c r="AX136" s="230">
        <v>286500</v>
      </c>
      <c r="AY136" s="229">
        <v>0.1489</v>
      </c>
      <c r="AZ136" s="230">
        <v>627000</v>
      </c>
      <c r="BA136" s="230">
        <v>99000</v>
      </c>
      <c r="BB136" s="230">
        <v>528000</v>
      </c>
      <c r="BC136" s="229">
        <v>5.3333000000000004</v>
      </c>
      <c r="BD136" s="230">
        <v>8250</v>
      </c>
      <c r="BE136" s="230">
        <v>9000</v>
      </c>
      <c r="BF136" s="228">
        <v>-750</v>
      </c>
      <c r="BG136" s="229">
        <v>-8.3299999999999999E-2</v>
      </c>
      <c r="BH136" s="230">
        <v>6644250</v>
      </c>
      <c r="BI136" s="230">
        <v>5601750</v>
      </c>
      <c r="BJ136" s="230">
        <v>1042500</v>
      </c>
      <c r="BK136" s="229">
        <v>0.18609999999999999</v>
      </c>
      <c r="BL136" s="230">
        <v>4396500</v>
      </c>
      <c r="BM136" s="230">
        <v>1790250</v>
      </c>
      <c r="BN136" s="230">
        <v>2606250</v>
      </c>
      <c r="BO136" s="229">
        <v>1.4558</v>
      </c>
      <c r="BP136" s="230">
        <v>13886625</v>
      </c>
      <c r="BQ136" s="230">
        <v>9424125</v>
      </c>
      <c r="BR136" s="230">
        <v>4462500</v>
      </c>
      <c r="BS136" s="229">
        <v>0.47349999999999998</v>
      </c>
      <c r="BT136" s="230">
        <v>2529617</v>
      </c>
      <c r="BU136" s="230">
        <v>2008378</v>
      </c>
      <c r="BV136" s="230">
        <v>521239</v>
      </c>
      <c r="BW136" s="229">
        <v>0.25950000000000001</v>
      </c>
      <c r="BX136" s="230">
        <v>10628625</v>
      </c>
      <c r="BY136" s="230">
        <v>10524750</v>
      </c>
      <c r="BZ136" s="230">
        <v>103875</v>
      </c>
      <c r="CA136" s="229">
        <v>9.9000000000000008E-3</v>
      </c>
      <c r="CB136" s="230">
        <v>10238625</v>
      </c>
      <c r="CC136" s="230">
        <v>10167750</v>
      </c>
      <c r="CD136" s="230">
        <v>70875</v>
      </c>
      <c r="CE136" s="229">
        <v>7.0000000000000001E-3</v>
      </c>
      <c r="CF136" s="230">
        <v>362250</v>
      </c>
      <c r="CG136" s="230">
        <v>332250</v>
      </c>
      <c r="CH136" s="230">
        <v>30000</v>
      </c>
      <c r="CI136" s="229">
        <v>9.0300000000000005E-2</v>
      </c>
      <c r="CJ136" s="230">
        <v>27750</v>
      </c>
      <c r="CK136" s="230">
        <v>24750</v>
      </c>
      <c r="CL136" s="230">
        <v>3000</v>
      </c>
      <c r="CM136" s="229">
        <v>0.1212</v>
      </c>
      <c r="CN136" s="230">
        <v>4099500</v>
      </c>
      <c r="CO136" s="230">
        <v>3733500</v>
      </c>
      <c r="CP136" s="230">
        <v>366000</v>
      </c>
      <c r="CQ136" s="229">
        <v>9.8000000000000004E-2</v>
      </c>
      <c r="CR136" s="230">
        <v>2616375</v>
      </c>
      <c r="CS136" s="230">
        <v>2407125</v>
      </c>
      <c r="CT136" s="230">
        <v>209250</v>
      </c>
      <c r="CU136" s="229">
        <v>8.6900000000000005E-2</v>
      </c>
      <c r="CV136" s="230">
        <v>17344500</v>
      </c>
      <c r="CW136" s="230">
        <v>16665375</v>
      </c>
      <c r="CX136" s="230">
        <v>679125</v>
      </c>
      <c r="CY136" s="229">
        <v>4.0800000000000003E-2</v>
      </c>
      <c r="CZ136" s="228">
        <v>41.76</v>
      </c>
      <c r="DA136" s="228">
        <v>39.44</v>
      </c>
      <c r="DB136" s="228">
        <v>2.3199999999999998</v>
      </c>
      <c r="DC136" s="228">
        <v>2.3199999999999998</v>
      </c>
      <c r="DD136" s="228">
        <v>36.11</v>
      </c>
      <c r="DE136" s="228">
        <v>36.11</v>
      </c>
      <c r="DF136" s="228">
        <v>5.65</v>
      </c>
      <c r="DG136" s="228">
        <v>0</v>
      </c>
      <c r="DH136" s="228">
        <v>41.99</v>
      </c>
      <c r="DI136" s="228">
        <v>39.06</v>
      </c>
      <c r="DJ136" s="228">
        <v>2.93</v>
      </c>
      <c r="DK136" s="228">
        <v>2.93</v>
      </c>
      <c r="DL136" s="228">
        <v>41.43</v>
      </c>
      <c r="DM136" s="228">
        <v>40.64</v>
      </c>
      <c r="DN136" s="228">
        <v>0.79</v>
      </c>
      <c r="DO136" s="228">
        <v>0.79</v>
      </c>
      <c r="DP136" s="228">
        <v>0.64</v>
      </c>
      <c r="DQ136" s="228">
        <v>0.64</v>
      </c>
      <c r="DR136" s="228">
        <v>0</v>
      </c>
      <c r="DS136" s="229">
        <v>0</v>
      </c>
      <c r="DT136" s="231">
        <v>1200</v>
      </c>
      <c r="DU136" s="231">
        <v>1200</v>
      </c>
      <c r="DV136" s="228">
        <v>0.66</v>
      </c>
      <c r="DW136" s="228">
        <v>0.32</v>
      </c>
      <c r="DX136" s="228">
        <v>0.34</v>
      </c>
      <c r="DY136" s="229">
        <v>1.0625</v>
      </c>
      <c r="DZ136" s="229">
        <v>3.6700000000000003E-2</v>
      </c>
      <c r="EA136" s="230">
        <v>357000</v>
      </c>
      <c r="EB136" s="229">
        <v>8.0000000000000004E-4</v>
      </c>
      <c r="EC136" s="229">
        <v>3.6700000000000003E-2</v>
      </c>
      <c r="ED136" s="228">
        <v>1.99</v>
      </c>
      <c r="EE136" s="229">
        <v>1.6999999999999999E-3</v>
      </c>
      <c r="EF136" s="230">
        <v>1744300</v>
      </c>
      <c r="EG136" s="230">
        <v>1194139</v>
      </c>
      <c r="EH136" s="229">
        <v>0.4607</v>
      </c>
      <c r="EI136" s="229">
        <v>0.68959999999999999</v>
      </c>
      <c r="EJ136" s="231">
        <v>82683.56</v>
      </c>
      <c r="EK136" s="231">
        <v>53414.25</v>
      </c>
      <c r="EL136" s="231">
        <v>33715.83</v>
      </c>
      <c r="EM136" s="231">
        <v>6396</v>
      </c>
      <c r="EN136" s="231">
        <v>169813.64</v>
      </c>
      <c r="EO136" s="231">
        <v>115701.93</v>
      </c>
      <c r="EP136" s="231">
        <v>54111.71</v>
      </c>
      <c r="EQ136" s="229">
        <v>0.4677</v>
      </c>
      <c r="ER136" s="231">
        <v>52313</v>
      </c>
      <c r="ES136" s="231">
        <v>30674</v>
      </c>
      <c r="ET136" s="231">
        <v>124615</v>
      </c>
      <c r="EU136" s="231">
        <v>45110207</v>
      </c>
      <c r="EV136" s="231">
        <v>207601</v>
      </c>
      <c r="EW136" s="231">
        <v>201816</v>
      </c>
      <c r="EX136" s="231">
        <v>5785</v>
      </c>
      <c r="EY136" s="229">
        <v>2.87E-2</v>
      </c>
      <c r="EZ136" s="229">
        <v>0.38450000000000001</v>
      </c>
      <c r="FA136" s="227" t="s">
        <v>567</v>
      </c>
      <c r="FB136" s="161">
        <f t="shared" si="2"/>
        <v>390000</v>
      </c>
    </row>
    <row r="137" spans="1:158" ht="17.25" hidden="1" thickBot="1" x14ac:dyDescent="0.3">
      <c r="A137" s="226">
        <v>46064</v>
      </c>
      <c r="B137" s="227" t="s">
        <v>206</v>
      </c>
      <c r="C137" s="227" t="s">
        <v>550</v>
      </c>
      <c r="D137" s="228">
        <v>6500</v>
      </c>
      <c r="E137" s="228">
        <v>102</v>
      </c>
      <c r="F137" s="228">
        <v>101.35</v>
      </c>
      <c r="G137" s="228">
        <v>0.65</v>
      </c>
      <c r="H137" s="229">
        <v>6.4000000000000003E-3</v>
      </c>
      <c r="I137" s="228">
        <v>101.68</v>
      </c>
      <c r="J137" s="228">
        <v>101.44</v>
      </c>
      <c r="K137" s="228">
        <v>0.24</v>
      </c>
      <c r="L137" s="229">
        <v>2.3999999999999998E-3</v>
      </c>
      <c r="M137" s="228">
        <v>102</v>
      </c>
      <c r="N137" s="228">
        <v>101.35</v>
      </c>
      <c r="O137" s="228">
        <v>0.65</v>
      </c>
      <c r="P137" s="229">
        <v>6.4000000000000003E-3</v>
      </c>
      <c r="Q137" s="228">
        <v>102.4</v>
      </c>
      <c r="R137" s="228">
        <v>101.93</v>
      </c>
      <c r="S137" s="228">
        <v>0.47</v>
      </c>
      <c r="T137" s="229">
        <v>4.5999999999999999E-3</v>
      </c>
      <c r="U137" s="228">
        <v>102.5</v>
      </c>
      <c r="V137" s="228">
        <v>102.7</v>
      </c>
      <c r="W137" s="228">
        <v>-0.2</v>
      </c>
      <c r="X137" s="229">
        <v>-1.9E-3</v>
      </c>
      <c r="Y137" s="228">
        <v>0.32</v>
      </c>
      <c r="Z137" s="228">
        <v>-0.09</v>
      </c>
      <c r="AA137" s="228">
        <v>0.41</v>
      </c>
      <c r="AB137" s="229">
        <v>3.0999999999999999E-3</v>
      </c>
      <c r="AC137" s="228">
        <v>0.32</v>
      </c>
      <c r="AD137" s="228">
        <v>-0.09</v>
      </c>
      <c r="AE137" s="228">
        <v>0.41</v>
      </c>
      <c r="AF137" s="229">
        <v>3.0999999999999999E-3</v>
      </c>
      <c r="AG137" s="228">
        <v>0.72</v>
      </c>
      <c r="AH137" s="228">
        <v>0.49</v>
      </c>
      <c r="AI137" s="228">
        <v>0.23</v>
      </c>
      <c r="AJ137" s="229">
        <v>7.1000000000000004E-3</v>
      </c>
      <c r="AK137" s="228">
        <v>0.82</v>
      </c>
      <c r="AL137" s="228">
        <v>1.26</v>
      </c>
      <c r="AM137" s="228">
        <v>-0.44</v>
      </c>
      <c r="AN137" s="229">
        <v>8.0999999999999996E-3</v>
      </c>
      <c r="AO137" s="228">
        <v>101.21</v>
      </c>
      <c r="AP137" s="228">
        <v>101.23</v>
      </c>
      <c r="AQ137" s="228">
        <v>0</v>
      </c>
      <c r="AR137" s="230">
        <v>16120000</v>
      </c>
      <c r="AS137" s="230">
        <v>10647000</v>
      </c>
      <c r="AT137" s="230">
        <v>5473000</v>
      </c>
      <c r="AU137" s="229">
        <v>0.51400000000000001</v>
      </c>
      <c r="AV137" s="230">
        <v>13591500</v>
      </c>
      <c r="AW137" s="230">
        <v>8528000</v>
      </c>
      <c r="AX137" s="230">
        <v>5063500</v>
      </c>
      <c r="AY137" s="229">
        <v>0.59379999999999999</v>
      </c>
      <c r="AZ137" s="230">
        <v>2496000</v>
      </c>
      <c r="BA137" s="230">
        <v>2047500</v>
      </c>
      <c r="BB137" s="230">
        <v>448500</v>
      </c>
      <c r="BC137" s="229">
        <v>0.219</v>
      </c>
      <c r="BD137" s="230">
        <v>32500</v>
      </c>
      <c r="BE137" s="230">
        <v>71500</v>
      </c>
      <c r="BF137" s="230">
        <v>-39000</v>
      </c>
      <c r="BG137" s="229">
        <v>-0.54549999999999998</v>
      </c>
      <c r="BH137" s="230">
        <v>22139000</v>
      </c>
      <c r="BI137" s="230">
        <v>18674500</v>
      </c>
      <c r="BJ137" s="230">
        <v>3464500</v>
      </c>
      <c r="BK137" s="229">
        <v>0.1855</v>
      </c>
      <c r="BL137" s="230">
        <v>7566000</v>
      </c>
      <c r="BM137" s="230">
        <v>6038500</v>
      </c>
      <c r="BN137" s="230">
        <v>1527500</v>
      </c>
      <c r="BO137" s="229">
        <v>0.253</v>
      </c>
      <c r="BP137" s="230">
        <v>45825000</v>
      </c>
      <c r="BQ137" s="230">
        <v>35360000</v>
      </c>
      <c r="BR137" s="230">
        <v>10465000</v>
      </c>
      <c r="BS137" s="229">
        <v>0.29599999999999999</v>
      </c>
      <c r="BT137" s="230">
        <v>7365304</v>
      </c>
      <c r="BU137" s="230">
        <v>7034592</v>
      </c>
      <c r="BV137" s="230">
        <v>330712</v>
      </c>
      <c r="BW137" s="229">
        <v>4.7E-2</v>
      </c>
      <c r="BX137" s="230">
        <v>96154500</v>
      </c>
      <c r="BY137" s="230">
        <v>93099500</v>
      </c>
      <c r="BZ137" s="230">
        <v>3055000</v>
      </c>
      <c r="CA137" s="229">
        <v>3.2800000000000003E-2</v>
      </c>
      <c r="CB137" s="230">
        <v>88127000</v>
      </c>
      <c r="CC137" s="230">
        <v>86736000</v>
      </c>
      <c r="CD137" s="230">
        <v>1391000</v>
      </c>
      <c r="CE137" s="229">
        <v>1.6E-2</v>
      </c>
      <c r="CF137" s="230">
        <v>7481500</v>
      </c>
      <c r="CG137" s="230">
        <v>5811000</v>
      </c>
      <c r="CH137" s="230">
        <v>1670500</v>
      </c>
      <c r="CI137" s="229">
        <v>0.28749999999999998</v>
      </c>
      <c r="CJ137" s="230">
        <v>546000</v>
      </c>
      <c r="CK137" s="230">
        <v>552500</v>
      </c>
      <c r="CL137" s="230">
        <v>-6500</v>
      </c>
      <c r="CM137" s="229">
        <v>-1.18E-2</v>
      </c>
      <c r="CN137" s="230">
        <v>38512500</v>
      </c>
      <c r="CO137" s="230">
        <v>37303500</v>
      </c>
      <c r="CP137" s="230">
        <v>1209000</v>
      </c>
      <c r="CQ137" s="229">
        <v>3.2399999999999998E-2</v>
      </c>
      <c r="CR137" s="230">
        <v>22496500</v>
      </c>
      <c r="CS137" s="230">
        <v>22048000</v>
      </c>
      <c r="CT137" s="230">
        <v>448500</v>
      </c>
      <c r="CU137" s="229">
        <v>2.0299999999999999E-2</v>
      </c>
      <c r="CV137" s="230">
        <v>157163500</v>
      </c>
      <c r="CW137" s="230">
        <v>152451000</v>
      </c>
      <c r="CX137" s="230">
        <v>4712500</v>
      </c>
      <c r="CY137" s="229">
        <v>3.09E-2</v>
      </c>
      <c r="CZ137" s="228">
        <v>48.68</v>
      </c>
      <c r="DA137" s="228">
        <v>47.45</v>
      </c>
      <c r="DB137" s="228">
        <v>1.23</v>
      </c>
      <c r="DC137" s="228">
        <v>1.23</v>
      </c>
      <c r="DD137" s="228">
        <v>50.53</v>
      </c>
      <c r="DE137" s="228">
        <v>50.65</v>
      </c>
      <c r="DF137" s="228">
        <v>-1.85</v>
      </c>
      <c r="DG137" s="228">
        <v>-0.12</v>
      </c>
      <c r="DH137" s="228">
        <v>48.95</v>
      </c>
      <c r="DI137" s="228">
        <v>47.73</v>
      </c>
      <c r="DJ137" s="228">
        <v>1.22</v>
      </c>
      <c r="DK137" s="228">
        <v>1.22</v>
      </c>
      <c r="DL137" s="228">
        <v>47.89</v>
      </c>
      <c r="DM137" s="228">
        <v>46.58</v>
      </c>
      <c r="DN137" s="228">
        <v>1.31</v>
      </c>
      <c r="DO137" s="228">
        <v>1.31</v>
      </c>
      <c r="DP137" s="228">
        <v>0.57999999999999996</v>
      </c>
      <c r="DQ137" s="228">
        <v>0.59</v>
      </c>
      <c r="DR137" s="228">
        <v>-0.01</v>
      </c>
      <c r="DS137" s="229">
        <v>-1.6899999999999998E-2</v>
      </c>
      <c r="DT137" s="228">
        <v>110</v>
      </c>
      <c r="DU137" s="228">
        <v>100</v>
      </c>
      <c r="DV137" s="228">
        <v>0.34</v>
      </c>
      <c r="DW137" s="228">
        <v>0.32</v>
      </c>
      <c r="DX137" s="228">
        <v>0.02</v>
      </c>
      <c r="DY137" s="229">
        <v>6.25E-2</v>
      </c>
      <c r="DZ137" s="229">
        <v>8.3500000000000005E-2</v>
      </c>
      <c r="EA137" s="230">
        <v>6363500</v>
      </c>
      <c r="EB137" s="229">
        <v>3.8999999999999998E-3</v>
      </c>
      <c r="EC137" s="229">
        <v>8.3500000000000005E-2</v>
      </c>
      <c r="ED137" s="228">
        <v>0.02</v>
      </c>
      <c r="EE137" s="229">
        <v>2.0000000000000001E-4</v>
      </c>
      <c r="EF137" s="230">
        <v>2141440</v>
      </c>
      <c r="EG137" s="230">
        <v>2485762</v>
      </c>
      <c r="EH137" s="229">
        <v>-0.13850000000000001</v>
      </c>
      <c r="EI137" s="229">
        <v>0.29070000000000001</v>
      </c>
      <c r="EJ137" s="231">
        <v>24041.439999999999</v>
      </c>
      <c r="EK137" s="231">
        <v>7697.04</v>
      </c>
      <c r="EL137" s="231">
        <v>16316.29</v>
      </c>
      <c r="EM137" s="231">
        <v>3058</v>
      </c>
      <c r="EN137" s="231">
        <v>48054.77</v>
      </c>
      <c r="EO137" s="231">
        <v>37296.870000000003</v>
      </c>
      <c r="EP137" s="231">
        <v>10757.9</v>
      </c>
      <c r="EQ137" s="229">
        <v>0.28839999999999999</v>
      </c>
      <c r="ER137" s="231">
        <v>41734</v>
      </c>
      <c r="ES137" s="231">
        <v>22322</v>
      </c>
      <c r="ET137" s="231">
        <v>98110</v>
      </c>
      <c r="EU137" s="231">
        <v>154894704</v>
      </c>
      <c r="EV137" s="231">
        <v>162166</v>
      </c>
      <c r="EW137" s="231">
        <v>156753</v>
      </c>
      <c r="EX137" s="231">
        <v>5413</v>
      </c>
      <c r="EY137" s="229">
        <v>3.4500000000000003E-2</v>
      </c>
      <c r="EZ137" s="229">
        <v>1.0145999999999999</v>
      </c>
      <c r="FA137" s="227" t="s">
        <v>555</v>
      </c>
      <c r="FB137" s="161">
        <f t="shared" si="2"/>
        <v>8027500</v>
      </c>
    </row>
    <row r="138" spans="1:158" ht="17.25" hidden="1" thickBot="1" x14ac:dyDescent="0.3">
      <c r="A138" s="226">
        <v>46064</v>
      </c>
      <c r="B138" s="227" t="s">
        <v>168</v>
      </c>
      <c r="C138" s="227" t="s">
        <v>265</v>
      </c>
      <c r="D138" s="228">
        <v>500</v>
      </c>
      <c r="E138" s="231">
        <v>1305.9000000000001</v>
      </c>
      <c r="F138" s="231">
        <v>1309.4000000000001</v>
      </c>
      <c r="G138" s="228">
        <v>-3.5</v>
      </c>
      <c r="H138" s="229">
        <v>-2.7000000000000001E-3</v>
      </c>
      <c r="I138" s="231">
        <v>1305.3</v>
      </c>
      <c r="J138" s="231">
        <v>1308.5999999999999</v>
      </c>
      <c r="K138" s="228">
        <v>-3.3</v>
      </c>
      <c r="L138" s="229">
        <v>-2.5000000000000001E-3</v>
      </c>
      <c r="M138" s="231">
        <v>1305.9000000000001</v>
      </c>
      <c r="N138" s="231">
        <v>1309.4000000000001</v>
      </c>
      <c r="O138" s="228">
        <v>-3.5</v>
      </c>
      <c r="P138" s="229">
        <v>-2.7000000000000001E-3</v>
      </c>
      <c r="Q138" s="231">
        <v>1313.6</v>
      </c>
      <c r="R138" s="231">
        <v>1317.4</v>
      </c>
      <c r="S138" s="228">
        <v>-3.8</v>
      </c>
      <c r="T138" s="229">
        <v>-2.8999999999999998E-3</v>
      </c>
      <c r="U138" s="231">
        <v>1322.4</v>
      </c>
      <c r="V138" s="231">
        <v>1325.3</v>
      </c>
      <c r="W138" s="228">
        <v>-2.9</v>
      </c>
      <c r="X138" s="229">
        <v>-2.2000000000000001E-3</v>
      </c>
      <c r="Y138" s="228">
        <v>0.6</v>
      </c>
      <c r="Z138" s="228">
        <v>0.8</v>
      </c>
      <c r="AA138" s="228">
        <v>-0.2</v>
      </c>
      <c r="AB138" s="229">
        <v>5.0000000000000001E-4</v>
      </c>
      <c r="AC138" s="228">
        <v>0.6</v>
      </c>
      <c r="AD138" s="228">
        <v>0.8</v>
      </c>
      <c r="AE138" s="228">
        <v>-0.2</v>
      </c>
      <c r="AF138" s="229">
        <v>5.0000000000000001E-4</v>
      </c>
      <c r="AG138" s="228">
        <v>8.3000000000000007</v>
      </c>
      <c r="AH138" s="228">
        <v>8.8000000000000007</v>
      </c>
      <c r="AI138" s="228">
        <v>-0.5</v>
      </c>
      <c r="AJ138" s="229">
        <v>6.4000000000000003E-3</v>
      </c>
      <c r="AK138" s="228">
        <v>17.100000000000001</v>
      </c>
      <c r="AL138" s="228">
        <v>16.7</v>
      </c>
      <c r="AM138" s="228">
        <v>0.4</v>
      </c>
      <c r="AN138" s="229">
        <v>1.3100000000000001E-2</v>
      </c>
      <c r="AO138" s="231">
        <v>1310.47</v>
      </c>
      <c r="AP138" s="231">
        <v>1320.18</v>
      </c>
      <c r="AQ138" s="228">
        <v>0</v>
      </c>
      <c r="AR138" s="230">
        <v>1639000</v>
      </c>
      <c r="AS138" s="230">
        <v>1079500</v>
      </c>
      <c r="AT138" s="230">
        <v>559500</v>
      </c>
      <c r="AU138" s="229">
        <v>0.51829999999999998</v>
      </c>
      <c r="AV138" s="230">
        <v>1551500</v>
      </c>
      <c r="AW138" s="230">
        <v>1033000</v>
      </c>
      <c r="AX138" s="230">
        <v>518500</v>
      </c>
      <c r="AY138" s="229">
        <v>0.50190000000000001</v>
      </c>
      <c r="AZ138" s="230">
        <v>83000</v>
      </c>
      <c r="BA138" s="230">
        <v>44500</v>
      </c>
      <c r="BB138" s="230">
        <v>38500</v>
      </c>
      <c r="BC138" s="229">
        <v>0.86519999999999997</v>
      </c>
      <c r="BD138" s="230">
        <v>4500</v>
      </c>
      <c r="BE138" s="230">
        <v>2000</v>
      </c>
      <c r="BF138" s="230">
        <v>2500</v>
      </c>
      <c r="BG138" s="229">
        <v>1.25</v>
      </c>
      <c r="BH138" s="230">
        <v>6006000</v>
      </c>
      <c r="BI138" s="230">
        <v>4263500</v>
      </c>
      <c r="BJ138" s="230">
        <v>1742500</v>
      </c>
      <c r="BK138" s="229">
        <v>0.40870000000000001</v>
      </c>
      <c r="BL138" s="230">
        <v>2191000</v>
      </c>
      <c r="BM138" s="230">
        <v>1067500</v>
      </c>
      <c r="BN138" s="230">
        <v>1123500</v>
      </c>
      <c r="BO138" s="229">
        <v>1.0525</v>
      </c>
      <c r="BP138" s="230">
        <v>9836000</v>
      </c>
      <c r="BQ138" s="230">
        <v>6410500</v>
      </c>
      <c r="BR138" s="230">
        <v>3425500</v>
      </c>
      <c r="BS138" s="229">
        <v>0.53439999999999999</v>
      </c>
      <c r="BT138" s="230">
        <v>921517</v>
      </c>
      <c r="BU138" s="230">
        <v>947211</v>
      </c>
      <c r="BV138" s="230">
        <v>-25694</v>
      </c>
      <c r="BW138" s="229">
        <v>-2.7099999999999999E-2</v>
      </c>
      <c r="BX138" s="230">
        <v>16490000</v>
      </c>
      <c r="BY138" s="230">
        <v>16667000</v>
      </c>
      <c r="BZ138" s="230">
        <v>-177000</v>
      </c>
      <c r="CA138" s="229">
        <v>-1.06E-2</v>
      </c>
      <c r="CB138" s="230">
        <v>15996500</v>
      </c>
      <c r="CC138" s="230">
        <v>16189500</v>
      </c>
      <c r="CD138" s="230">
        <v>-193000</v>
      </c>
      <c r="CE138" s="229">
        <v>-1.1900000000000001E-2</v>
      </c>
      <c r="CF138" s="230">
        <v>448000</v>
      </c>
      <c r="CG138" s="230">
        <v>435000</v>
      </c>
      <c r="CH138" s="230">
        <v>13000</v>
      </c>
      <c r="CI138" s="229">
        <v>2.9899999999999999E-2</v>
      </c>
      <c r="CJ138" s="230">
        <v>45500</v>
      </c>
      <c r="CK138" s="230">
        <v>42500</v>
      </c>
      <c r="CL138" s="230">
        <v>3000</v>
      </c>
      <c r="CM138" s="229">
        <v>7.0599999999999996E-2</v>
      </c>
      <c r="CN138" s="230">
        <v>5612500</v>
      </c>
      <c r="CO138" s="230">
        <v>5599500</v>
      </c>
      <c r="CP138" s="230">
        <v>13000</v>
      </c>
      <c r="CQ138" s="229">
        <v>2.3E-3</v>
      </c>
      <c r="CR138" s="230">
        <v>2664500</v>
      </c>
      <c r="CS138" s="230">
        <v>2616500</v>
      </c>
      <c r="CT138" s="230">
        <v>48000</v>
      </c>
      <c r="CU138" s="229">
        <v>1.83E-2</v>
      </c>
      <c r="CV138" s="230">
        <v>24767000</v>
      </c>
      <c r="CW138" s="230">
        <v>24883000</v>
      </c>
      <c r="CX138" s="230">
        <v>-116000</v>
      </c>
      <c r="CY138" s="229">
        <v>-4.7000000000000002E-3</v>
      </c>
      <c r="CZ138" s="228">
        <v>21.38</v>
      </c>
      <c r="DA138" s="228">
        <v>21.63</v>
      </c>
      <c r="DB138" s="228">
        <v>-0.25</v>
      </c>
      <c r="DC138" s="228">
        <v>-0.25</v>
      </c>
      <c r="DD138" s="228">
        <v>23.2</v>
      </c>
      <c r="DE138" s="228">
        <v>23.25</v>
      </c>
      <c r="DF138" s="228">
        <v>-1.82</v>
      </c>
      <c r="DG138" s="228">
        <v>-0.05</v>
      </c>
      <c r="DH138" s="228">
        <v>21.27</v>
      </c>
      <c r="DI138" s="228">
        <v>21.44</v>
      </c>
      <c r="DJ138" s="228">
        <v>-0.17</v>
      </c>
      <c r="DK138" s="228">
        <v>-0.17</v>
      </c>
      <c r="DL138" s="228">
        <v>21.68</v>
      </c>
      <c r="DM138" s="228">
        <v>22.39</v>
      </c>
      <c r="DN138" s="228">
        <v>-0.71</v>
      </c>
      <c r="DO138" s="228">
        <v>-0.71</v>
      </c>
      <c r="DP138" s="228">
        <v>0.47</v>
      </c>
      <c r="DQ138" s="228">
        <v>0.47</v>
      </c>
      <c r="DR138" s="228">
        <v>0</v>
      </c>
      <c r="DS138" s="229">
        <v>0</v>
      </c>
      <c r="DT138" s="231">
        <v>1360</v>
      </c>
      <c r="DU138" s="231">
        <v>1300</v>
      </c>
      <c r="DV138" s="228">
        <v>0.36</v>
      </c>
      <c r="DW138" s="228">
        <v>0.25</v>
      </c>
      <c r="DX138" s="228">
        <v>0.11</v>
      </c>
      <c r="DY138" s="229">
        <v>0.44</v>
      </c>
      <c r="DZ138" s="229">
        <v>2.9899999999999999E-2</v>
      </c>
      <c r="EA138" s="230">
        <v>477500</v>
      </c>
      <c r="EB138" s="229">
        <v>5.8999999999999999E-3</v>
      </c>
      <c r="EC138" s="229">
        <v>2.9899999999999999E-2</v>
      </c>
      <c r="ED138" s="228">
        <v>9.7100000000000009</v>
      </c>
      <c r="EE138" s="229">
        <v>7.4000000000000003E-3</v>
      </c>
      <c r="EF138" s="230">
        <v>544046</v>
      </c>
      <c r="EG138" s="230">
        <v>585065</v>
      </c>
      <c r="EH138" s="229">
        <v>-7.0099999999999996E-2</v>
      </c>
      <c r="EI138" s="229">
        <v>0.59040000000000004</v>
      </c>
      <c r="EJ138" s="231">
        <v>81168.39</v>
      </c>
      <c r="EK138" s="231">
        <v>28096.03</v>
      </c>
      <c r="EL138" s="231">
        <v>21487.23</v>
      </c>
      <c r="EM138" s="231">
        <v>2780</v>
      </c>
      <c r="EN138" s="231">
        <v>130751.65</v>
      </c>
      <c r="EO138" s="231">
        <v>85050.71</v>
      </c>
      <c r="EP138" s="231">
        <v>45700.94</v>
      </c>
      <c r="EQ138" s="229">
        <v>0.5373</v>
      </c>
      <c r="ER138" s="231">
        <v>76374</v>
      </c>
      <c r="ES138" s="231">
        <v>33009</v>
      </c>
      <c r="ET138" s="231">
        <v>215385</v>
      </c>
      <c r="EU138" s="231">
        <v>71801274</v>
      </c>
      <c r="EV138" s="231">
        <v>324768</v>
      </c>
      <c r="EW138" s="231">
        <v>326807</v>
      </c>
      <c r="EX138" s="231">
        <v>-2039</v>
      </c>
      <c r="EY138" s="229">
        <v>-6.1999999999999998E-3</v>
      </c>
      <c r="EZ138" s="229">
        <v>0.34489999999999998</v>
      </c>
      <c r="FA138" s="227" t="s">
        <v>568</v>
      </c>
      <c r="FB138" s="161">
        <f t="shared" si="2"/>
        <v>493500</v>
      </c>
    </row>
    <row r="139" spans="1:158" ht="17.25" hidden="1" thickBot="1" x14ac:dyDescent="0.3">
      <c r="A139" s="226">
        <v>46064</v>
      </c>
      <c r="B139" s="227" t="s">
        <v>161</v>
      </c>
      <c r="C139" s="227" t="s">
        <v>585</v>
      </c>
      <c r="D139" s="228">
        <v>6400</v>
      </c>
      <c r="E139" s="228">
        <v>77.84</v>
      </c>
      <c r="F139" s="228">
        <v>77.2</v>
      </c>
      <c r="G139" s="228">
        <v>0.64</v>
      </c>
      <c r="H139" s="229">
        <v>8.3000000000000001E-3</v>
      </c>
      <c r="I139" s="228">
        <v>77.58</v>
      </c>
      <c r="J139" s="228">
        <v>76.95</v>
      </c>
      <c r="K139" s="228">
        <v>0.63</v>
      </c>
      <c r="L139" s="229">
        <v>8.2000000000000007E-3</v>
      </c>
      <c r="M139" s="228">
        <v>77.84</v>
      </c>
      <c r="N139" s="228">
        <v>77.2</v>
      </c>
      <c r="O139" s="228">
        <v>0.64</v>
      </c>
      <c r="P139" s="229">
        <v>8.3000000000000001E-3</v>
      </c>
      <c r="Q139" s="228">
        <v>78.33</v>
      </c>
      <c r="R139" s="228">
        <v>77.680000000000007</v>
      </c>
      <c r="S139" s="228">
        <v>0.65</v>
      </c>
      <c r="T139" s="229">
        <v>8.3999999999999995E-3</v>
      </c>
      <c r="U139" s="228">
        <v>78.77</v>
      </c>
      <c r="V139" s="228">
        <v>78.180000000000007</v>
      </c>
      <c r="W139" s="228">
        <v>0.59</v>
      </c>
      <c r="X139" s="229">
        <v>7.4999999999999997E-3</v>
      </c>
      <c r="Y139" s="228">
        <v>0.26</v>
      </c>
      <c r="Z139" s="228">
        <v>0.25</v>
      </c>
      <c r="AA139" s="228">
        <v>0.01</v>
      </c>
      <c r="AB139" s="229">
        <v>3.3999999999999998E-3</v>
      </c>
      <c r="AC139" s="228">
        <v>0.26</v>
      </c>
      <c r="AD139" s="228">
        <v>0.25</v>
      </c>
      <c r="AE139" s="228">
        <v>0.01</v>
      </c>
      <c r="AF139" s="229">
        <v>3.3999999999999998E-3</v>
      </c>
      <c r="AG139" s="228">
        <v>0.75</v>
      </c>
      <c r="AH139" s="228">
        <v>0.73</v>
      </c>
      <c r="AI139" s="228">
        <v>0.02</v>
      </c>
      <c r="AJ139" s="229">
        <v>9.7000000000000003E-3</v>
      </c>
      <c r="AK139" s="228">
        <v>1.19</v>
      </c>
      <c r="AL139" s="228">
        <v>1.23</v>
      </c>
      <c r="AM139" s="228">
        <v>-0.04</v>
      </c>
      <c r="AN139" s="229">
        <v>1.5299999999999999E-2</v>
      </c>
      <c r="AO139" s="228">
        <v>77.319999999999993</v>
      </c>
      <c r="AP139" s="228">
        <v>77.790000000000006</v>
      </c>
      <c r="AQ139" s="228">
        <v>0</v>
      </c>
      <c r="AR139" s="230">
        <v>12550400</v>
      </c>
      <c r="AS139" s="230">
        <v>11654400</v>
      </c>
      <c r="AT139" s="230">
        <v>896000</v>
      </c>
      <c r="AU139" s="229">
        <v>7.6899999999999996E-2</v>
      </c>
      <c r="AV139" s="230">
        <v>11667200</v>
      </c>
      <c r="AW139" s="230">
        <v>9836800</v>
      </c>
      <c r="AX139" s="230">
        <v>1830400</v>
      </c>
      <c r="AY139" s="229">
        <v>0.18609999999999999</v>
      </c>
      <c r="AZ139" s="230">
        <v>627200</v>
      </c>
      <c r="BA139" s="230">
        <v>1459200</v>
      </c>
      <c r="BB139" s="230">
        <v>-832000</v>
      </c>
      <c r="BC139" s="229">
        <v>-0.57020000000000004</v>
      </c>
      <c r="BD139" s="230">
        <v>256000</v>
      </c>
      <c r="BE139" s="230">
        <v>358400</v>
      </c>
      <c r="BF139" s="230">
        <v>-102400</v>
      </c>
      <c r="BG139" s="229">
        <v>-0.28570000000000001</v>
      </c>
      <c r="BH139" s="230">
        <v>32345600</v>
      </c>
      <c r="BI139" s="230">
        <v>29030400</v>
      </c>
      <c r="BJ139" s="230">
        <v>3315200</v>
      </c>
      <c r="BK139" s="229">
        <v>0.1142</v>
      </c>
      <c r="BL139" s="230">
        <v>15936000</v>
      </c>
      <c r="BM139" s="230">
        <v>14086400</v>
      </c>
      <c r="BN139" s="230">
        <v>1849600</v>
      </c>
      <c r="BO139" s="229">
        <v>0.1313</v>
      </c>
      <c r="BP139" s="230">
        <v>60832000</v>
      </c>
      <c r="BQ139" s="230">
        <v>54771200</v>
      </c>
      <c r="BR139" s="230">
        <v>6060800</v>
      </c>
      <c r="BS139" s="229">
        <v>0.11070000000000001</v>
      </c>
      <c r="BT139" s="230">
        <v>14712194</v>
      </c>
      <c r="BU139" s="230">
        <v>25833971</v>
      </c>
      <c r="BV139" s="230">
        <v>-11121777</v>
      </c>
      <c r="BW139" s="229">
        <v>-0.43049999999999999</v>
      </c>
      <c r="BX139" s="230">
        <v>92793600</v>
      </c>
      <c r="BY139" s="230">
        <v>94361600</v>
      </c>
      <c r="BZ139" s="230">
        <v>-1568000</v>
      </c>
      <c r="CA139" s="229">
        <v>-1.66E-2</v>
      </c>
      <c r="CB139" s="230">
        <v>88896000</v>
      </c>
      <c r="CC139" s="230">
        <v>90668800</v>
      </c>
      <c r="CD139" s="230">
        <v>-1772800</v>
      </c>
      <c r="CE139" s="229">
        <v>-1.9599999999999999E-2</v>
      </c>
      <c r="CF139" s="230">
        <v>3078400</v>
      </c>
      <c r="CG139" s="230">
        <v>2944000</v>
      </c>
      <c r="CH139" s="230">
        <v>134400</v>
      </c>
      <c r="CI139" s="229">
        <v>4.5699999999999998E-2</v>
      </c>
      <c r="CJ139" s="230">
        <v>819200</v>
      </c>
      <c r="CK139" s="230">
        <v>748800</v>
      </c>
      <c r="CL139" s="230">
        <v>70400</v>
      </c>
      <c r="CM139" s="229">
        <v>9.4E-2</v>
      </c>
      <c r="CN139" s="230">
        <v>52806400</v>
      </c>
      <c r="CO139" s="230">
        <v>50643200</v>
      </c>
      <c r="CP139" s="230">
        <v>2163200</v>
      </c>
      <c r="CQ139" s="229">
        <v>4.2700000000000002E-2</v>
      </c>
      <c r="CR139" s="230">
        <v>24985600</v>
      </c>
      <c r="CS139" s="230">
        <v>27718400</v>
      </c>
      <c r="CT139" s="230">
        <v>-2732800</v>
      </c>
      <c r="CU139" s="229">
        <v>-9.8599999999999993E-2</v>
      </c>
      <c r="CV139" s="230">
        <v>170585600</v>
      </c>
      <c r="CW139" s="230">
        <v>172723200</v>
      </c>
      <c r="CX139" s="230">
        <v>-2137600</v>
      </c>
      <c r="CY139" s="229">
        <v>-1.24E-2</v>
      </c>
      <c r="CZ139" s="228">
        <v>30.74</v>
      </c>
      <c r="DA139" s="228">
        <v>31.88</v>
      </c>
      <c r="DB139" s="228">
        <v>-1.1399999999999999</v>
      </c>
      <c r="DC139" s="228">
        <v>-1.1399999999999999</v>
      </c>
      <c r="DD139" s="228">
        <v>35.880000000000003</v>
      </c>
      <c r="DE139" s="228">
        <v>35.950000000000003</v>
      </c>
      <c r="DF139" s="228">
        <v>-5.14</v>
      </c>
      <c r="DG139" s="228">
        <v>-7.0000000000000007E-2</v>
      </c>
      <c r="DH139" s="228">
        <v>31.37</v>
      </c>
      <c r="DI139" s="228">
        <v>32.86</v>
      </c>
      <c r="DJ139" s="228">
        <v>-1.49</v>
      </c>
      <c r="DK139" s="228">
        <v>-1.49</v>
      </c>
      <c r="DL139" s="228">
        <v>29.46</v>
      </c>
      <c r="DM139" s="228">
        <v>29.88</v>
      </c>
      <c r="DN139" s="228">
        <v>-0.42</v>
      </c>
      <c r="DO139" s="228">
        <v>-0.42</v>
      </c>
      <c r="DP139" s="228">
        <v>0.47</v>
      </c>
      <c r="DQ139" s="228">
        <v>0.55000000000000004</v>
      </c>
      <c r="DR139" s="228">
        <v>-0.08</v>
      </c>
      <c r="DS139" s="229">
        <v>-0.14549999999999999</v>
      </c>
      <c r="DT139" s="228">
        <v>80</v>
      </c>
      <c r="DU139" s="228">
        <v>73</v>
      </c>
      <c r="DV139" s="228">
        <v>0.49</v>
      </c>
      <c r="DW139" s="228">
        <v>0.49</v>
      </c>
      <c r="DX139" s="228">
        <v>0</v>
      </c>
      <c r="DY139" s="229">
        <v>0</v>
      </c>
      <c r="DZ139" s="229">
        <v>4.2000000000000003E-2</v>
      </c>
      <c r="EA139" s="230">
        <v>3692800</v>
      </c>
      <c r="EB139" s="229">
        <v>6.3E-3</v>
      </c>
      <c r="EC139" s="229">
        <v>4.2000000000000003E-2</v>
      </c>
      <c r="ED139" s="228">
        <v>0.47</v>
      </c>
      <c r="EE139" s="229">
        <v>6.1000000000000004E-3</v>
      </c>
      <c r="EF139" s="230">
        <v>7755478</v>
      </c>
      <c r="EG139" s="230">
        <v>14940209</v>
      </c>
      <c r="EH139" s="229">
        <v>-0.48089999999999999</v>
      </c>
      <c r="EI139" s="229">
        <v>0.52710000000000001</v>
      </c>
      <c r="EJ139" s="231">
        <v>26492.98</v>
      </c>
      <c r="EK139" s="231">
        <v>12144.01</v>
      </c>
      <c r="EL139" s="231">
        <v>9709.57</v>
      </c>
      <c r="EM139" s="231">
        <v>3100</v>
      </c>
      <c r="EN139" s="231">
        <v>48346.559999999998</v>
      </c>
      <c r="EO139" s="231">
        <v>43751.44</v>
      </c>
      <c r="EP139" s="231">
        <v>4595.12</v>
      </c>
      <c r="EQ139" s="229">
        <v>0.105</v>
      </c>
      <c r="ER139" s="231">
        <v>43838</v>
      </c>
      <c r="ES139" s="231">
        <v>18707</v>
      </c>
      <c r="ET139" s="231">
        <v>72253</v>
      </c>
      <c r="EU139" s="231">
        <v>491233252</v>
      </c>
      <c r="EV139" s="231">
        <v>134797</v>
      </c>
      <c r="EW139" s="231">
        <v>135690</v>
      </c>
      <c r="EX139" s="228">
        <v>-893</v>
      </c>
      <c r="EY139" s="229">
        <v>-6.6E-3</v>
      </c>
      <c r="EZ139" s="229">
        <v>0.3473</v>
      </c>
      <c r="FA139" s="227" t="s">
        <v>556</v>
      </c>
      <c r="FB139" s="161">
        <f>BX139-CB139</f>
        <v>3897600</v>
      </c>
    </row>
    <row r="140" spans="1:158" ht="17.25" hidden="1" thickBot="1" x14ac:dyDescent="0.3">
      <c r="A140" s="226">
        <v>46064</v>
      </c>
      <c r="B140" s="227" t="s">
        <v>181</v>
      </c>
      <c r="C140" s="227" t="s">
        <v>266</v>
      </c>
      <c r="D140" s="228">
        <v>65</v>
      </c>
      <c r="E140" s="231">
        <v>25994.2</v>
      </c>
      <c r="F140" s="231">
        <v>25985.599999999999</v>
      </c>
      <c r="G140" s="228">
        <v>8.6</v>
      </c>
      <c r="H140" s="229">
        <v>2.9999999999999997E-4</v>
      </c>
      <c r="I140" s="231">
        <v>25953.85</v>
      </c>
      <c r="J140" s="231">
        <v>25935.15</v>
      </c>
      <c r="K140" s="228">
        <v>18.7</v>
      </c>
      <c r="L140" s="229">
        <v>6.9999999999999999E-4</v>
      </c>
      <c r="M140" s="231">
        <v>25994.2</v>
      </c>
      <c r="N140" s="231">
        <v>25985.599999999999</v>
      </c>
      <c r="O140" s="228">
        <v>8.6</v>
      </c>
      <c r="P140" s="229">
        <v>2.9999999999999997E-4</v>
      </c>
      <c r="Q140" s="231">
        <v>26151</v>
      </c>
      <c r="R140" s="231">
        <v>26138.7</v>
      </c>
      <c r="S140" s="228">
        <v>12.3</v>
      </c>
      <c r="T140" s="229">
        <v>5.0000000000000001E-4</v>
      </c>
      <c r="U140" s="231">
        <v>26312.400000000001</v>
      </c>
      <c r="V140" s="231">
        <v>26295.3</v>
      </c>
      <c r="W140" s="228">
        <v>17.100000000000001</v>
      </c>
      <c r="X140" s="229">
        <v>6.9999999999999999E-4</v>
      </c>
      <c r="Y140" s="228">
        <v>40.35</v>
      </c>
      <c r="Z140" s="228">
        <v>50.45</v>
      </c>
      <c r="AA140" s="228">
        <v>-10.1</v>
      </c>
      <c r="AB140" s="229">
        <v>1.6000000000000001E-3</v>
      </c>
      <c r="AC140" s="228">
        <v>40.35</v>
      </c>
      <c r="AD140" s="228">
        <v>50.45</v>
      </c>
      <c r="AE140" s="228">
        <v>-10.1</v>
      </c>
      <c r="AF140" s="229">
        <v>1.6000000000000001E-3</v>
      </c>
      <c r="AG140" s="228">
        <v>197.15</v>
      </c>
      <c r="AH140" s="228">
        <v>203.55</v>
      </c>
      <c r="AI140" s="228">
        <v>-6.4</v>
      </c>
      <c r="AJ140" s="229">
        <v>7.6E-3</v>
      </c>
      <c r="AK140" s="228">
        <v>358.55</v>
      </c>
      <c r="AL140" s="228">
        <v>360.15</v>
      </c>
      <c r="AM140" s="228">
        <v>-1.6</v>
      </c>
      <c r="AN140" s="229">
        <v>1.38E-2</v>
      </c>
      <c r="AO140" s="231">
        <v>26011.040000000001</v>
      </c>
      <c r="AP140" s="231">
        <v>26167.48</v>
      </c>
      <c r="AQ140" s="228">
        <v>0</v>
      </c>
      <c r="AR140" s="230">
        <v>3799510</v>
      </c>
      <c r="AS140" s="230">
        <v>4329845</v>
      </c>
      <c r="AT140" s="230">
        <v>-530335</v>
      </c>
      <c r="AU140" s="229">
        <v>-0.1225</v>
      </c>
      <c r="AV140" s="230">
        <v>3451370</v>
      </c>
      <c r="AW140" s="230">
        <v>3842930</v>
      </c>
      <c r="AX140" s="230">
        <v>-391560</v>
      </c>
      <c r="AY140" s="229">
        <v>-0.1019</v>
      </c>
      <c r="AZ140" s="230">
        <v>260780</v>
      </c>
      <c r="BA140" s="230">
        <v>330655</v>
      </c>
      <c r="BB140" s="230">
        <v>-69875</v>
      </c>
      <c r="BC140" s="229">
        <v>-0.21129999999999999</v>
      </c>
      <c r="BD140" s="230">
        <v>87360</v>
      </c>
      <c r="BE140" s="230">
        <v>156260</v>
      </c>
      <c r="BF140" s="230">
        <v>-68900</v>
      </c>
      <c r="BG140" s="229">
        <v>-0.44090000000000001</v>
      </c>
      <c r="BH140" s="230">
        <v>1598228970</v>
      </c>
      <c r="BI140" s="230">
        <v>11090627795</v>
      </c>
      <c r="BJ140" s="230">
        <v>-9492398825</v>
      </c>
      <c r="BK140" s="229">
        <v>-0.85589999999999999</v>
      </c>
      <c r="BL140" s="230">
        <v>1716020800</v>
      </c>
      <c r="BM140" s="230">
        <v>11622610025</v>
      </c>
      <c r="BN140" s="230">
        <v>-9906589225</v>
      </c>
      <c r="BO140" s="229">
        <v>-0.85240000000000005</v>
      </c>
      <c r="BP140" s="230">
        <v>3318049280</v>
      </c>
      <c r="BQ140" s="230">
        <v>22717567665</v>
      </c>
      <c r="BR140" s="230">
        <v>-19399518385</v>
      </c>
      <c r="BS140" s="229">
        <v>-0.85389999999999999</v>
      </c>
      <c r="BT140" s="228">
        <v>0</v>
      </c>
      <c r="BU140" s="228">
        <v>0</v>
      </c>
      <c r="BV140" s="228">
        <v>0</v>
      </c>
      <c r="BW140" s="229">
        <v>0</v>
      </c>
      <c r="BX140" s="230">
        <v>16714165</v>
      </c>
      <c r="BY140" s="230">
        <v>16676985</v>
      </c>
      <c r="BZ140" s="230">
        <v>37180</v>
      </c>
      <c r="CA140" s="229">
        <v>2.2000000000000001E-3</v>
      </c>
      <c r="CB140" s="230">
        <v>15005055</v>
      </c>
      <c r="CC140" s="230">
        <v>14998685</v>
      </c>
      <c r="CD140" s="230">
        <v>6370</v>
      </c>
      <c r="CE140" s="229">
        <v>4.0000000000000002E-4</v>
      </c>
      <c r="CF140" s="230">
        <v>1302535</v>
      </c>
      <c r="CG140" s="230">
        <v>1283815</v>
      </c>
      <c r="CH140" s="230">
        <v>18720</v>
      </c>
      <c r="CI140" s="229">
        <v>1.46E-2</v>
      </c>
      <c r="CJ140" s="230">
        <v>406575</v>
      </c>
      <c r="CK140" s="230">
        <v>394485</v>
      </c>
      <c r="CL140" s="230">
        <v>12090</v>
      </c>
      <c r="CM140" s="229">
        <v>3.0599999999999999E-2</v>
      </c>
      <c r="CN140" s="230">
        <v>195031925</v>
      </c>
      <c r="CO140" s="230">
        <v>141950680</v>
      </c>
      <c r="CP140" s="230">
        <v>53081245</v>
      </c>
      <c r="CQ140" s="229">
        <v>0.37390000000000001</v>
      </c>
      <c r="CR140" s="230">
        <v>205773420</v>
      </c>
      <c r="CS140" s="230">
        <v>165956635</v>
      </c>
      <c r="CT140" s="230">
        <v>39816785</v>
      </c>
      <c r="CU140" s="229">
        <v>0.2399</v>
      </c>
      <c r="CV140" s="230">
        <v>417519510</v>
      </c>
      <c r="CW140" s="230">
        <v>667617640</v>
      </c>
      <c r="CX140" s="230">
        <v>-250098130</v>
      </c>
      <c r="CY140" s="229">
        <v>-0.37459999999999999</v>
      </c>
      <c r="CZ140" s="228">
        <v>10.74</v>
      </c>
      <c r="DA140" s="228">
        <v>11.38</v>
      </c>
      <c r="DB140" s="228">
        <v>-0.64</v>
      </c>
      <c r="DC140" s="228">
        <v>-0.64</v>
      </c>
      <c r="DD140" s="228">
        <v>14.29</v>
      </c>
      <c r="DE140" s="228">
        <v>14.32</v>
      </c>
      <c r="DF140" s="228">
        <v>-3.55</v>
      </c>
      <c r="DG140" s="228">
        <v>-0.03</v>
      </c>
      <c r="DH140" s="228">
        <v>10.33</v>
      </c>
      <c r="DI140" s="228">
        <v>10.58</v>
      </c>
      <c r="DJ140" s="228">
        <v>-0.25</v>
      </c>
      <c r="DK140" s="228">
        <v>-0.25</v>
      </c>
      <c r="DL140" s="228">
        <v>11.12</v>
      </c>
      <c r="DM140" s="228">
        <v>12.18</v>
      </c>
      <c r="DN140" s="228">
        <v>-1.06</v>
      </c>
      <c r="DO140" s="228">
        <v>-1.06</v>
      </c>
      <c r="DP140" s="228">
        <v>1.06</v>
      </c>
      <c r="DQ140" s="228">
        <v>1.17</v>
      </c>
      <c r="DR140" s="228">
        <v>-0.11</v>
      </c>
      <c r="DS140" s="229">
        <v>-9.4E-2</v>
      </c>
      <c r="DT140" s="231">
        <v>26000</v>
      </c>
      <c r="DU140" s="231">
        <v>24500</v>
      </c>
      <c r="DV140" s="228">
        <v>1.07</v>
      </c>
      <c r="DW140" s="228">
        <v>1.05</v>
      </c>
      <c r="DX140" s="228">
        <v>0.02</v>
      </c>
      <c r="DY140" s="229">
        <v>1.9E-2</v>
      </c>
      <c r="DZ140" s="229">
        <v>0.1023</v>
      </c>
      <c r="EA140" s="230">
        <v>1678300</v>
      </c>
      <c r="EB140" s="229">
        <v>6.0000000000000001E-3</v>
      </c>
      <c r="EC140" s="229">
        <v>0.1023</v>
      </c>
      <c r="ED140" s="228">
        <v>156.44</v>
      </c>
      <c r="EE140" s="229">
        <v>6.0000000000000001E-3</v>
      </c>
      <c r="EF140" s="228">
        <v>0</v>
      </c>
      <c r="EG140" s="228">
        <v>0</v>
      </c>
      <c r="EH140" s="229">
        <v>0</v>
      </c>
      <c r="EI140" s="229">
        <v>0</v>
      </c>
      <c r="EJ140" s="231">
        <v>421309338.00999999</v>
      </c>
      <c r="EK140" s="231">
        <v>440794954.76999998</v>
      </c>
      <c r="EL140" s="231">
        <v>988974.76</v>
      </c>
      <c r="EM140" s="231">
        <v>76982</v>
      </c>
      <c r="EN140" s="231">
        <v>863093267.53999996</v>
      </c>
      <c r="EO140" s="231">
        <v>5889327988.9200001</v>
      </c>
      <c r="EP140" s="231">
        <v>-5026234721.3800001</v>
      </c>
      <c r="EQ140" s="229">
        <v>-0.85340000000000005</v>
      </c>
      <c r="ER140" s="231">
        <v>51615543</v>
      </c>
      <c r="ES140" s="231">
        <v>51667843</v>
      </c>
      <c r="ET140" s="231">
        <v>4348050</v>
      </c>
      <c r="EU140" s="228">
        <v>0</v>
      </c>
      <c r="EV140" s="231">
        <v>107631436</v>
      </c>
      <c r="EW140" s="231">
        <v>83467504</v>
      </c>
      <c r="EX140" s="231">
        <v>24163932</v>
      </c>
      <c r="EY140" s="229">
        <v>0.28949999999999998</v>
      </c>
      <c r="EZ140" s="229">
        <v>0</v>
      </c>
      <c r="FA140" s="227" t="s">
        <v>555</v>
      </c>
      <c r="FB140" s="161">
        <f>BX140-CB140</f>
        <v>1709110</v>
      </c>
    </row>
    <row r="141" spans="1:158" ht="17.25" hidden="1" thickBot="1" x14ac:dyDescent="0.3">
      <c r="A141" s="226">
        <v>46064</v>
      </c>
      <c r="B141" s="227" t="s">
        <v>181</v>
      </c>
      <c r="C141" s="227" t="s">
        <v>566</v>
      </c>
      <c r="D141" s="228">
        <v>25</v>
      </c>
      <c r="E141" s="231">
        <v>70184.2</v>
      </c>
      <c r="F141" s="231">
        <v>69872.2</v>
      </c>
      <c r="G141" s="228">
        <v>312</v>
      </c>
      <c r="H141" s="229">
        <v>4.4999999999999997E-3</v>
      </c>
      <c r="I141" s="231">
        <v>70216.55</v>
      </c>
      <c r="J141" s="231">
        <v>69829.600000000006</v>
      </c>
      <c r="K141" s="228">
        <v>386.95</v>
      </c>
      <c r="L141" s="229">
        <v>5.4999999999999997E-3</v>
      </c>
      <c r="M141" s="231">
        <v>70184.2</v>
      </c>
      <c r="N141" s="231">
        <v>69872.2</v>
      </c>
      <c r="O141" s="228">
        <v>312</v>
      </c>
      <c r="P141" s="229">
        <v>4.4999999999999997E-3</v>
      </c>
      <c r="Q141" s="231">
        <v>70502</v>
      </c>
      <c r="R141" s="231">
        <v>70154</v>
      </c>
      <c r="S141" s="228">
        <v>348</v>
      </c>
      <c r="T141" s="229">
        <v>5.0000000000000001E-3</v>
      </c>
      <c r="U141" s="228">
        <v>0</v>
      </c>
      <c r="V141" s="228">
        <v>0</v>
      </c>
      <c r="W141" s="228">
        <v>0</v>
      </c>
      <c r="X141" s="229">
        <v>0</v>
      </c>
      <c r="Y141" s="228">
        <v>-32.35</v>
      </c>
      <c r="Z141" s="228">
        <v>42.6</v>
      </c>
      <c r="AA141" s="228">
        <v>-74.95</v>
      </c>
      <c r="AB141" s="229">
        <v>-5.0000000000000001E-4</v>
      </c>
      <c r="AC141" s="228">
        <v>-32.35</v>
      </c>
      <c r="AD141" s="228">
        <v>42.6</v>
      </c>
      <c r="AE141" s="228">
        <v>-74.95</v>
      </c>
      <c r="AF141" s="229">
        <v>-5.0000000000000001E-4</v>
      </c>
      <c r="AG141" s="228">
        <v>285.45</v>
      </c>
      <c r="AH141" s="228">
        <v>324.39999999999998</v>
      </c>
      <c r="AI141" s="228">
        <v>-38.950000000000003</v>
      </c>
      <c r="AJ141" s="229">
        <v>4.1000000000000003E-3</v>
      </c>
      <c r="AK141" s="228">
        <v>0</v>
      </c>
      <c r="AL141" s="228">
        <v>0</v>
      </c>
      <c r="AM141" s="228">
        <v>0</v>
      </c>
      <c r="AN141" s="229">
        <v>0</v>
      </c>
      <c r="AO141" s="231">
        <v>70011.929999999993</v>
      </c>
      <c r="AP141" s="231">
        <v>70340</v>
      </c>
      <c r="AQ141" s="228">
        <v>0</v>
      </c>
      <c r="AR141" s="230">
        <v>6200</v>
      </c>
      <c r="AS141" s="230">
        <v>4350</v>
      </c>
      <c r="AT141" s="230">
        <v>1850</v>
      </c>
      <c r="AU141" s="229">
        <v>0.42530000000000001</v>
      </c>
      <c r="AV141" s="230">
        <v>5950</v>
      </c>
      <c r="AW141" s="230">
        <v>3800</v>
      </c>
      <c r="AX141" s="230">
        <v>2150</v>
      </c>
      <c r="AY141" s="229">
        <v>0.56579999999999997</v>
      </c>
      <c r="AZ141" s="228">
        <v>250</v>
      </c>
      <c r="BA141" s="228">
        <v>550</v>
      </c>
      <c r="BB141" s="228">
        <v>-300</v>
      </c>
      <c r="BC141" s="229">
        <v>-0.54549999999999998</v>
      </c>
      <c r="BD141" s="228">
        <v>0</v>
      </c>
      <c r="BE141" s="228">
        <v>0</v>
      </c>
      <c r="BF141" s="228">
        <v>0</v>
      </c>
      <c r="BG141" s="229">
        <v>0</v>
      </c>
      <c r="BH141" s="230">
        <v>11075</v>
      </c>
      <c r="BI141" s="230">
        <v>5425</v>
      </c>
      <c r="BJ141" s="230">
        <v>5650</v>
      </c>
      <c r="BK141" s="229">
        <v>1.0415000000000001</v>
      </c>
      <c r="BL141" s="230">
        <v>10100</v>
      </c>
      <c r="BM141" s="230">
        <v>5975</v>
      </c>
      <c r="BN141" s="230">
        <v>4125</v>
      </c>
      <c r="BO141" s="229">
        <v>0.69040000000000001</v>
      </c>
      <c r="BP141" s="230">
        <v>27375</v>
      </c>
      <c r="BQ141" s="230">
        <v>15750</v>
      </c>
      <c r="BR141" s="230">
        <v>11625</v>
      </c>
      <c r="BS141" s="229">
        <v>0.73809999999999998</v>
      </c>
      <c r="BT141" s="228">
        <v>0</v>
      </c>
      <c r="BU141" s="228">
        <v>0</v>
      </c>
      <c r="BV141" s="228">
        <v>0</v>
      </c>
      <c r="BW141" s="229">
        <v>0</v>
      </c>
      <c r="BX141" s="230">
        <v>20525</v>
      </c>
      <c r="BY141" s="230">
        <v>19300</v>
      </c>
      <c r="BZ141" s="230">
        <v>1225</v>
      </c>
      <c r="CA141" s="229">
        <v>6.3500000000000001E-2</v>
      </c>
      <c r="CB141" s="230">
        <v>19350</v>
      </c>
      <c r="CC141" s="230">
        <v>18125</v>
      </c>
      <c r="CD141" s="230">
        <v>1225</v>
      </c>
      <c r="CE141" s="229">
        <v>6.7599999999999993E-2</v>
      </c>
      <c r="CF141" s="230">
        <v>1175</v>
      </c>
      <c r="CG141" s="230">
        <v>1175</v>
      </c>
      <c r="CH141" s="228">
        <v>0</v>
      </c>
      <c r="CI141" s="229">
        <v>0</v>
      </c>
      <c r="CJ141" s="228">
        <v>0</v>
      </c>
      <c r="CK141" s="228">
        <v>0</v>
      </c>
      <c r="CL141" s="228">
        <v>0</v>
      </c>
      <c r="CM141" s="229">
        <v>0</v>
      </c>
      <c r="CN141" s="230">
        <v>12725</v>
      </c>
      <c r="CO141" s="230">
        <v>12175</v>
      </c>
      <c r="CP141" s="228">
        <v>550</v>
      </c>
      <c r="CQ141" s="229">
        <v>4.5199999999999997E-2</v>
      </c>
      <c r="CR141" s="230">
        <v>11350</v>
      </c>
      <c r="CS141" s="230">
        <v>8800</v>
      </c>
      <c r="CT141" s="230">
        <v>2550</v>
      </c>
      <c r="CU141" s="229">
        <v>0.2898</v>
      </c>
      <c r="CV141" s="230">
        <v>44600</v>
      </c>
      <c r="CW141" s="230">
        <v>40275</v>
      </c>
      <c r="CX141" s="230">
        <v>4325</v>
      </c>
      <c r="CY141" s="229">
        <v>0.1074</v>
      </c>
      <c r="CZ141" s="228">
        <v>13.53</v>
      </c>
      <c r="DA141" s="228">
        <v>13.52</v>
      </c>
      <c r="DB141" s="228">
        <v>0.01</v>
      </c>
      <c r="DC141" s="228">
        <v>0.01</v>
      </c>
      <c r="DD141" s="228">
        <v>19.989999999999998</v>
      </c>
      <c r="DE141" s="228">
        <v>20.03</v>
      </c>
      <c r="DF141" s="228">
        <v>-6.46</v>
      </c>
      <c r="DG141" s="228">
        <v>-0.04</v>
      </c>
      <c r="DH141" s="228">
        <v>13.09</v>
      </c>
      <c r="DI141" s="228">
        <v>12.68</v>
      </c>
      <c r="DJ141" s="228">
        <v>0.41</v>
      </c>
      <c r="DK141" s="228">
        <v>0.41</v>
      </c>
      <c r="DL141" s="228">
        <v>14</v>
      </c>
      <c r="DM141" s="228">
        <v>14.27</v>
      </c>
      <c r="DN141" s="228">
        <v>-0.27</v>
      </c>
      <c r="DO141" s="228">
        <v>-0.27</v>
      </c>
      <c r="DP141" s="228">
        <v>0.89</v>
      </c>
      <c r="DQ141" s="228">
        <v>0.72</v>
      </c>
      <c r="DR141" s="228">
        <v>0.17</v>
      </c>
      <c r="DS141" s="229">
        <v>0.2361</v>
      </c>
      <c r="DT141" s="231">
        <v>71000</v>
      </c>
      <c r="DU141" s="231">
        <v>68000</v>
      </c>
      <c r="DV141" s="228">
        <v>0.91</v>
      </c>
      <c r="DW141" s="228">
        <v>1.1000000000000001</v>
      </c>
      <c r="DX141" s="228">
        <v>-0.19</v>
      </c>
      <c r="DY141" s="229">
        <v>-0.17269999999999999</v>
      </c>
      <c r="DZ141" s="229">
        <v>5.7200000000000001E-2</v>
      </c>
      <c r="EA141" s="230">
        <v>1175</v>
      </c>
      <c r="EB141" s="229">
        <v>4.4999999999999997E-3</v>
      </c>
      <c r="EC141" s="229">
        <v>5.7200000000000001E-2</v>
      </c>
      <c r="ED141" s="228">
        <v>328.07</v>
      </c>
      <c r="EE141" s="229">
        <v>4.7000000000000002E-3</v>
      </c>
      <c r="EF141" s="228">
        <v>0</v>
      </c>
      <c r="EG141" s="228">
        <v>0</v>
      </c>
      <c r="EH141" s="229">
        <v>0</v>
      </c>
      <c r="EI141" s="229">
        <v>0</v>
      </c>
      <c r="EJ141" s="231">
        <v>7820.98</v>
      </c>
      <c r="EK141" s="231">
        <v>7011.53</v>
      </c>
      <c r="EL141" s="231">
        <v>4341.5600000000004</v>
      </c>
      <c r="EM141" s="228">
        <v>0</v>
      </c>
      <c r="EN141" s="231">
        <v>19174.07</v>
      </c>
      <c r="EO141" s="231">
        <v>11031.37</v>
      </c>
      <c r="EP141" s="231">
        <v>8142.7</v>
      </c>
      <c r="EQ141" s="229">
        <v>0.73809999999999998</v>
      </c>
      <c r="ER141" s="231">
        <v>8748</v>
      </c>
      <c r="ES141" s="231">
        <v>7710</v>
      </c>
      <c r="ET141" s="231">
        <v>14409</v>
      </c>
      <c r="EU141" s="228">
        <v>0</v>
      </c>
      <c r="EV141" s="231">
        <v>30866</v>
      </c>
      <c r="EW141" s="231">
        <v>27789</v>
      </c>
      <c r="EX141" s="231">
        <v>3077</v>
      </c>
      <c r="EY141" s="229">
        <v>0.11070000000000001</v>
      </c>
      <c r="EZ141" s="229">
        <v>0</v>
      </c>
      <c r="FA141" s="227" t="s">
        <v>555</v>
      </c>
      <c r="FB141" s="161">
        <f>BX214-CB214</f>
        <v>739800</v>
      </c>
    </row>
    <row r="142" spans="1:158" ht="17.25" hidden="1" thickBot="1" x14ac:dyDescent="0.3">
      <c r="A142" s="226">
        <v>46064</v>
      </c>
      <c r="B142" s="227" t="s">
        <v>227</v>
      </c>
      <c r="C142" s="227" t="s">
        <v>267</v>
      </c>
      <c r="D142" s="228">
        <v>6750</v>
      </c>
      <c r="E142" s="228">
        <v>85.69</v>
      </c>
      <c r="F142" s="228">
        <v>85.35</v>
      </c>
      <c r="G142" s="228">
        <v>0.34</v>
      </c>
      <c r="H142" s="229">
        <v>4.0000000000000001E-3</v>
      </c>
      <c r="I142" s="228">
        <v>85.46</v>
      </c>
      <c r="J142" s="228">
        <v>85.07</v>
      </c>
      <c r="K142" s="228">
        <v>0.39</v>
      </c>
      <c r="L142" s="229">
        <v>4.5999999999999999E-3</v>
      </c>
      <c r="M142" s="228">
        <v>85.69</v>
      </c>
      <c r="N142" s="228">
        <v>85.35</v>
      </c>
      <c r="O142" s="228">
        <v>0.34</v>
      </c>
      <c r="P142" s="229">
        <v>4.0000000000000001E-3</v>
      </c>
      <c r="Q142" s="228">
        <v>86.18</v>
      </c>
      <c r="R142" s="228">
        <v>85.92</v>
      </c>
      <c r="S142" s="228">
        <v>0.26</v>
      </c>
      <c r="T142" s="229">
        <v>3.0000000000000001E-3</v>
      </c>
      <c r="U142" s="228">
        <v>86.88</v>
      </c>
      <c r="V142" s="228">
        <v>86.3</v>
      </c>
      <c r="W142" s="228">
        <v>0.57999999999999996</v>
      </c>
      <c r="X142" s="229">
        <v>6.7000000000000002E-3</v>
      </c>
      <c r="Y142" s="228">
        <v>0.23</v>
      </c>
      <c r="Z142" s="228">
        <v>0.28000000000000003</v>
      </c>
      <c r="AA142" s="228">
        <v>-0.05</v>
      </c>
      <c r="AB142" s="229">
        <v>2.7000000000000001E-3</v>
      </c>
      <c r="AC142" s="228">
        <v>0.23</v>
      </c>
      <c r="AD142" s="228">
        <v>0.28000000000000003</v>
      </c>
      <c r="AE142" s="228">
        <v>-0.05</v>
      </c>
      <c r="AF142" s="229">
        <v>2.7000000000000001E-3</v>
      </c>
      <c r="AG142" s="228">
        <v>0.72</v>
      </c>
      <c r="AH142" s="228">
        <v>0.85</v>
      </c>
      <c r="AI142" s="228">
        <v>-0.13</v>
      </c>
      <c r="AJ142" s="229">
        <v>8.3999999999999995E-3</v>
      </c>
      <c r="AK142" s="228">
        <v>1.42</v>
      </c>
      <c r="AL142" s="228">
        <v>1.23</v>
      </c>
      <c r="AM142" s="228">
        <v>0.19</v>
      </c>
      <c r="AN142" s="229">
        <v>1.66E-2</v>
      </c>
      <c r="AO142" s="228">
        <v>85.32</v>
      </c>
      <c r="AP142" s="228">
        <v>85.94</v>
      </c>
      <c r="AQ142" s="228">
        <v>0</v>
      </c>
      <c r="AR142" s="230">
        <v>50544000</v>
      </c>
      <c r="AS142" s="230">
        <v>52906500</v>
      </c>
      <c r="AT142" s="230">
        <v>-2362500</v>
      </c>
      <c r="AU142" s="229">
        <v>-4.4699999999999997E-2</v>
      </c>
      <c r="AV142" s="230">
        <v>44651250</v>
      </c>
      <c r="AW142" s="230">
        <v>45717750</v>
      </c>
      <c r="AX142" s="230">
        <v>-1066500</v>
      </c>
      <c r="AY142" s="229">
        <v>-2.3300000000000001E-2</v>
      </c>
      <c r="AZ142" s="230">
        <v>5184000</v>
      </c>
      <c r="BA142" s="230">
        <v>6723000</v>
      </c>
      <c r="BB142" s="230">
        <v>-1539000</v>
      </c>
      <c r="BC142" s="229">
        <v>-0.22889999999999999</v>
      </c>
      <c r="BD142" s="230">
        <v>708750</v>
      </c>
      <c r="BE142" s="230">
        <v>465750</v>
      </c>
      <c r="BF142" s="230">
        <v>243000</v>
      </c>
      <c r="BG142" s="229">
        <v>0.52170000000000005</v>
      </c>
      <c r="BH142" s="230">
        <v>131895000</v>
      </c>
      <c r="BI142" s="230">
        <v>130349250</v>
      </c>
      <c r="BJ142" s="230">
        <v>1545750</v>
      </c>
      <c r="BK142" s="229">
        <v>1.1900000000000001E-2</v>
      </c>
      <c r="BL142" s="230">
        <v>47884500</v>
      </c>
      <c r="BM142" s="230">
        <v>41472000</v>
      </c>
      <c r="BN142" s="230">
        <v>6412500</v>
      </c>
      <c r="BO142" s="229">
        <v>0.15459999999999999</v>
      </c>
      <c r="BP142" s="230">
        <v>230323500</v>
      </c>
      <c r="BQ142" s="230">
        <v>224727750</v>
      </c>
      <c r="BR142" s="230">
        <v>5595750</v>
      </c>
      <c r="BS142" s="229">
        <v>2.4899999999999999E-2</v>
      </c>
      <c r="BT142" s="230">
        <v>40400716</v>
      </c>
      <c r="BU142" s="230">
        <v>48843370</v>
      </c>
      <c r="BV142" s="230">
        <v>-8442654</v>
      </c>
      <c r="BW142" s="229">
        <v>-0.1729</v>
      </c>
      <c r="BX142" s="230">
        <v>349893000</v>
      </c>
      <c r="BY142" s="230">
        <v>351756000</v>
      </c>
      <c r="BZ142" s="230">
        <v>-1863000</v>
      </c>
      <c r="CA142" s="229">
        <v>-5.3E-3</v>
      </c>
      <c r="CB142" s="230">
        <v>335157750</v>
      </c>
      <c r="CC142" s="230">
        <v>337662000</v>
      </c>
      <c r="CD142" s="230">
        <v>-2504250</v>
      </c>
      <c r="CE142" s="229">
        <v>-7.4000000000000003E-3</v>
      </c>
      <c r="CF142" s="230">
        <v>13135500</v>
      </c>
      <c r="CG142" s="230">
        <v>12642750</v>
      </c>
      <c r="CH142" s="230">
        <v>492750</v>
      </c>
      <c r="CI142" s="229">
        <v>3.9E-2</v>
      </c>
      <c r="CJ142" s="230">
        <v>1599750</v>
      </c>
      <c r="CK142" s="230">
        <v>1451250</v>
      </c>
      <c r="CL142" s="230">
        <v>148500</v>
      </c>
      <c r="CM142" s="229">
        <v>0.1023</v>
      </c>
      <c r="CN142" s="230">
        <v>116802000</v>
      </c>
      <c r="CO142" s="230">
        <v>120210750</v>
      </c>
      <c r="CP142" s="230">
        <v>-3408750</v>
      </c>
      <c r="CQ142" s="229">
        <v>-2.8400000000000002E-2</v>
      </c>
      <c r="CR142" s="230">
        <v>58191750</v>
      </c>
      <c r="CS142" s="230">
        <v>58009500</v>
      </c>
      <c r="CT142" s="230">
        <v>182250</v>
      </c>
      <c r="CU142" s="229">
        <v>3.0999999999999999E-3</v>
      </c>
      <c r="CV142" s="230">
        <v>524886750</v>
      </c>
      <c r="CW142" s="230">
        <v>529976250</v>
      </c>
      <c r="CX142" s="230">
        <v>-5089500</v>
      </c>
      <c r="CY142" s="229">
        <v>-9.5999999999999992E-3</v>
      </c>
      <c r="CZ142" s="228">
        <v>38.57</v>
      </c>
      <c r="DA142" s="228">
        <v>38.44</v>
      </c>
      <c r="DB142" s="228">
        <v>0.13</v>
      </c>
      <c r="DC142" s="228">
        <v>0.13</v>
      </c>
      <c r="DD142" s="228">
        <v>38.54</v>
      </c>
      <c r="DE142" s="228">
        <v>38.630000000000003</v>
      </c>
      <c r="DF142" s="228">
        <v>0.03</v>
      </c>
      <c r="DG142" s="228">
        <v>-0.09</v>
      </c>
      <c r="DH142" s="228">
        <v>38.22</v>
      </c>
      <c r="DI142" s="228">
        <v>37.99</v>
      </c>
      <c r="DJ142" s="228">
        <v>0.23</v>
      </c>
      <c r="DK142" s="228">
        <v>0.23</v>
      </c>
      <c r="DL142" s="228">
        <v>39.53</v>
      </c>
      <c r="DM142" s="228">
        <v>39.85</v>
      </c>
      <c r="DN142" s="228">
        <v>-0.32</v>
      </c>
      <c r="DO142" s="228">
        <v>-0.32</v>
      </c>
      <c r="DP142" s="228">
        <v>0.5</v>
      </c>
      <c r="DQ142" s="228">
        <v>0.48</v>
      </c>
      <c r="DR142" s="228">
        <v>0.02</v>
      </c>
      <c r="DS142" s="229">
        <v>4.1700000000000001E-2</v>
      </c>
      <c r="DT142" s="228">
        <v>85</v>
      </c>
      <c r="DU142" s="228">
        <v>70</v>
      </c>
      <c r="DV142" s="228">
        <v>0.36</v>
      </c>
      <c r="DW142" s="228">
        <v>0.32</v>
      </c>
      <c r="DX142" s="228">
        <v>0.04</v>
      </c>
      <c r="DY142" s="229">
        <v>0.125</v>
      </c>
      <c r="DZ142" s="229">
        <v>4.2099999999999999E-2</v>
      </c>
      <c r="EA142" s="230">
        <v>14094000</v>
      </c>
      <c r="EB142" s="229">
        <v>5.7000000000000002E-3</v>
      </c>
      <c r="EC142" s="229">
        <v>4.2099999999999999E-2</v>
      </c>
      <c r="ED142" s="228">
        <v>0.62</v>
      </c>
      <c r="EE142" s="229">
        <v>7.3000000000000001E-3</v>
      </c>
      <c r="EF142" s="230">
        <v>17743725</v>
      </c>
      <c r="EG142" s="230">
        <v>17978547</v>
      </c>
      <c r="EH142" s="229">
        <v>-1.3100000000000001E-2</v>
      </c>
      <c r="EI142" s="229">
        <v>0.43919999999999998</v>
      </c>
      <c r="EJ142" s="231">
        <v>117484.71</v>
      </c>
      <c r="EK142" s="231">
        <v>40384.47</v>
      </c>
      <c r="EL142" s="231">
        <v>43165.4</v>
      </c>
      <c r="EM142" s="231">
        <v>8122</v>
      </c>
      <c r="EN142" s="231">
        <v>201034.58</v>
      </c>
      <c r="EO142" s="231">
        <v>195050.77</v>
      </c>
      <c r="EP142" s="231">
        <v>5983.81</v>
      </c>
      <c r="EQ142" s="229">
        <v>3.0700000000000002E-2</v>
      </c>
      <c r="ER142" s="231">
        <v>101592</v>
      </c>
      <c r="ES142" s="231">
        <v>46055</v>
      </c>
      <c r="ET142" s="231">
        <v>299907</v>
      </c>
      <c r="EU142" s="231">
        <v>517037525</v>
      </c>
      <c r="EV142" s="231">
        <v>447553</v>
      </c>
      <c r="EW142" s="231">
        <v>450747</v>
      </c>
      <c r="EX142" s="231">
        <v>-3194</v>
      </c>
      <c r="EY142" s="229">
        <v>-7.1000000000000004E-3</v>
      </c>
      <c r="EZ142" s="229">
        <v>1.0152000000000001</v>
      </c>
      <c r="FA142" s="227" t="s">
        <v>556</v>
      </c>
      <c r="FB142" s="161">
        <f t="shared" ref="FB142:FB161" si="3">BX215-CB215</f>
        <v>0</v>
      </c>
    </row>
    <row r="143" spans="1:158" ht="17.25" hidden="1" thickBot="1" x14ac:dyDescent="0.3">
      <c r="A143" s="226">
        <v>46064</v>
      </c>
      <c r="B143" s="227" t="s">
        <v>161</v>
      </c>
      <c r="C143" s="227" t="s">
        <v>268</v>
      </c>
      <c r="D143" s="228">
        <v>1500</v>
      </c>
      <c r="E143" s="228">
        <v>368.4</v>
      </c>
      <c r="F143" s="228">
        <v>367.15</v>
      </c>
      <c r="G143" s="228">
        <v>1.25</v>
      </c>
      <c r="H143" s="229">
        <v>3.3999999999999998E-3</v>
      </c>
      <c r="I143" s="228">
        <v>368.45</v>
      </c>
      <c r="J143" s="228">
        <v>366.9</v>
      </c>
      <c r="K143" s="228">
        <v>1.55</v>
      </c>
      <c r="L143" s="229">
        <v>4.1999999999999997E-3</v>
      </c>
      <c r="M143" s="228">
        <v>368.4</v>
      </c>
      <c r="N143" s="228">
        <v>367.15</v>
      </c>
      <c r="O143" s="228">
        <v>1.25</v>
      </c>
      <c r="P143" s="229">
        <v>3.3999999999999998E-3</v>
      </c>
      <c r="Q143" s="228">
        <v>370.8</v>
      </c>
      <c r="R143" s="228">
        <v>369.5</v>
      </c>
      <c r="S143" s="228">
        <v>1.3</v>
      </c>
      <c r="T143" s="229">
        <v>3.5000000000000001E-3</v>
      </c>
      <c r="U143" s="228">
        <v>373.45</v>
      </c>
      <c r="V143" s="228">
        <v>371.5</v>
      </c>
      <c r="W143" s="228">
        <v>1.95</v>
      </c>
      <c r="X143" s="229">
        <v>5.1999999999999998E-3</v>
      </c>
      <c r="Y143" s="228">
        <v>-0.05</v>
      </c>
      <c r="Z143" s="228">
        <v>0.25</v>
      </c>
      <c r="AA143" s="228">
        <v>-0.3</v>
      </c>
      <c r="AB143" s="229">
        <v>-1E-4</v>
      </c>
      <c r="AC143" s="228">
        <v>-0.05</v>
      </c>
      <c r="AD143" s="228">
        <v>0.25</v>
      </c>
      <c r="AE143" s="228">
        <v>-0.3</v>
      </c>
      <c r="AF143" s="229">
        <v>-1E-4</v>
      </c>
      <c r="AG143" s="228">
        <v>2.35</v>
      </c>
      <c r="AH143" s="228">
        <v>2.6</v>
      </c>
      <c r="AI143" s="228">
        <v>-0.25</v>
      </c>
      <c r="AJ143" s="229">
        <v>6.4000000000000003E-3</v>
      </c>
      <c r="AK143" s="228">
        <v>5</v>
      </c>
      <c r="AL143" s="228">
        <v>4.5999999999999996</v>
      </c>
      <c r="AM143" s="228">
        <v>0.4</v>
      </c>
      <c r="AN143" s="229">
        <v>1.3599999999999999E-2</v>
      </c>
      <c r="AO143" s="228">
        <v>367.68</v>
      </c>
      <c r="AP143" s="228">
        <v>370.02</v>
      </c>
      <c r="AQ143" s="228">
        <v>0</v>
      </c>
      <c r="AR143" s="230">
        <v>7953000</v>
      </c>
      <c r="AS143" s="230">
        <v>9484500</v>
      </c>
      <c r="AT143" s="230">
        <v>-1531500</v>
      </c>
      <c r="AU143" s="229">
        <v>-0.1615</v>
      </c>
      <c r="AV143" s="230">
        <v>7473000</v>
      </c>
      <c r="AW143" s="230">
        <v>8656500</v>
      </c>
      <c r="AX143" s="230">
        <v>-1183500</v>
      </c>
      <c r="AY143" s="229">
        <v>-0.13669999999999999</v>
      </c>
      <c r="AZ143" s="230">
        <v>429000</v>
      </c>
      <c r="BA143" s="230">
        <v>775500</v>
      </c>
      <c r="BB143" s="230">
        <v>-346500</v>
      </c>
      <c r="BC143" s="229">
        <v>-0.44679999999999997</v>
      </c>
      <c r="BD143" s="230">
        <v>51000</v>
      </c>
      <c r="BE143" s="230">
        <v>52500</v>
      </c>
      <c r="BF143" s="230">
        <v>-1500</v>
      </c>
      <c r="BG143" s="229">
        <v>-2.86E-2</v>
      </c>
      <c r="BH143" s="230">
        <v>60481500</v>
      </c>
      <c r="BI143" s="230">
        <v>72564000</v>
      </c>
      <c r="BJ143" s="230">
        <v>-12082500</v>
      </c>
      <c r="BK143" s="229">
        <v>-0.16650000000000001</v>
      </c>
      <c r="BL143" s="230">
        <v>26859000</v>
      </c>
      <c r="BM143" s="230">
        <v>37183500</v>
      </c>
      <c r="BN143" s="230">
        <v>-10324500</v>
      </c>
      <c r="BO143" s="229">
        <v>-0.2777</v>
      </c>
      <c r="BP143" s="230">
        <v>95293500</v>
      </c>
      <c r="BQ143" s="230">
        <v>119232000</v>
      </c>
      <c r="BR143" s="230">
        <v>-23938500</v>
      </c>
      <c r="BS143" s="229">
        <v>-0.20080000000000001</v>
      </c>
      <c r="BT143" s="230">
        <v>5942180</v>
      </c>
      <c r="BU143" s="230">
        <v>8587592</v>
      </c>
      <c r="BV143" s="230">
        <v>-2645412</v>
      </c>
      <c r="BW143" s="229">
        <v>-0.30809999999999998</v>
      </c>
      <c r="BX143" s="230">
        <v>83593500</v>
      </c>
      <c r="BY143" s="230">
        <v>83947500</v>
      </c>
      <c r="BZ143" s="230">
        <v>-354000</v>
      </c>
      <c r="CA143" s="229">
        <v>-4.1999999999999997E-3</v>
      </c>
      <c r="CB143" s="230">
        <v>80425500</v>
      </c>
      <c r="CC143" s="230">
        <v>80881500</v>
      </c>
      <c r="CD143" s="230">
        <v>-456000</v>
      </c>
      <c r="CE143" s="229">
        <v>-5.5999999999999999E-3</v>
      </c>
      <c r="CF143" s="230">
        <v>2704500</v>
      </c>
      <c r="CG143" s="230">
        <v>2601000</v>
      </c>
      <c r="CH143" s="230">
        <v>103500</v>
      </c>
      <c r="CI143" s="229">
        <v>3.9800000000000002E-2</v>
      </c>
      <c r="CJ143" s="230">
        <v>463500</v>
      </c>
      <c r="CK143" s="230">
        <v>465000</v>
      </c>
      <c r="CL143" s="230">
        <v>-1500</v>
      </c>
      <c r="CM143" s="229">
        <v>-3.2000000000000002E-3</v>
      </c>
      <c r="CN143" s="230">
        <v>94392000</v>
      </c>
      <c r="CO143" s="230">
        <v>90712500</v>
      </c>
      <c r="CP143" s="230">
        <v>3679500</v>
      </c>
      <c r="CQ143" s="229">
        <v>4.0599999999999997E-2</v>
      </c>
      <c r="CR143" s="230">
        <v>42552000</v>
      </c>
      <c r="CS143" s="230">
        <v>40789500</v>
      </c>
      <c r="CT143" s="230">
        <v>1762500</v>
      </c>
      <c r="CU143" s="229">
        <v>4.3200000000000002E-2</v>
      </c>
      <c r="CV143" s="230">
        <v>220537500</v>
      </c>
      <c r="CW143" s="230">
        <v>215449500</v>
      </c>
      <c r="CX143" s="230">
        <v>5088000</v>
      </c>
      <c r="CY143" s="229">
        <v>2.3599999999999999E-2</v>
      </c>
      <c r="CZ143" s="228">
        <v>16.47</v>
      </c>
      <c r="DA143" s="228">
        <v>17.07</v>
      </c>
      <c r="DB143" s="228">
        <v>-0.6</v>
      </c>
      <c r="DC143" s="228">
        <v>-0.6</v>
      </c>
      <c r="DD143" s="228">
        <v>27.43</v>
      </c>
      <c r="DE143" s="228">
        <v>27.5</v>
      </c>
      <c r="DF143" s="228">
        <v>-10.96</v>
      </c>
      <c r="DG143" s="228">
        <v>-7.0000000000000007E-2</v>
      </c>
      <c r="DH143" s="228">
        <v>15.63</v>
      </c>
      <c r="DI143" s="228">
        <v>16.440000000000001</v>
      </c>
      <c r="DJ143" s="228">
        <v>-0.81</v>
      </c>
      <c r="DK143" s="228">
        <v>-0.81</v>
      </c>
      <c r="DL143" s="228">
        <v>18.36</v>
      </c>
      <c r="DM143" s="228">
        <v>18.3</v>
      </c>
      <c r="DN143" s="228">
        <v>0.06</v>
      </c>
      <c r="DO143" s="228">
        <v>0.06</v>
      </c>
      <c r="DP143" s="228">
        <v>0.45</v>
      </c>
      <c r="DQ143" s="228">
        <v>0.45</v>
      </c>
      <c r="DR143" s="228">
        <v>0</v>
      </c>
      <c r="DS143" s="229">
        <v>0</v>
      </c>
      <c r="DT143" s="228">
        <v>370</v>
      </c>
      <c r="DU143" s="228">
        <v>370</v>
      </c>
      <c r="DV143" s="228">
        <v>0.44</v>
      </c>
      <c r="DW143" s="228">
        <v>0.51</v>
      </c>
      <c r="DX143" s="228">
        <v>-7.0000000000000007E-2</v>
      </c>
      <c r="DY143" s="229">
        <v>-0.13730000000000001</v>
      </c>
      <c r="DZ143" s="229">
        <v>3.7900000000000003E-2</v>
      </c>
      <c r="EA143" s="230">
        <v>3066000</v>
      </c>
      <c r="EB143" s="229">
        <v>6.4999999999999997E-3</v>
      </c>
      <c r="EC143" s="229">
        <v>3.7900000000000003E-2</v>
      </c>
      <c r="ED143" s="228">
        <v>2.34</v>
      </c>
      <c r="EE143" s="229">
        <v>6.4000000000000003E-3</v>
      </c>
      <c r="EF143" s="230">
        <v>4137901</v>
      </c>
      <c r="EG143" s="230">
        <v>5376984</v>
      </c>
      <c r="EH143" s="229">
        <v>-0.23039999999999999</v>
      </c>
      <c r="EI143" s="229">
        <v>0.69640000000000002</v>
      </c>
      <c r="EJ143" s="231">
        <v>227484.19</v>
      </c>
      <c r="EK143" s="231">
        <v>97141.88</v>
      </c>
      <c r="EL143" s="231">
        <v>29253.81</v>
      </c>
      <c r="EM143" s="231">
        <v>8649</v>
      </c>
      <c r="EN143" s="231">
        <v>353879.88</v>
      </c>
      <c r="EO143" s="231">
        <v>441546.25</v>
      </c>
      <c r="EP143" s="231">
        <v>-87666.37</v>
      </c>
      <c r="EQ143" s="229">
        <v>-0.19850000000000001</v>
      </c>
      <c r="ER143" s="231">
        <v>347799</v>
      </c>
      <c r="ES143" s="231">
        <v>149013</v>
      </c>
      <c r="ET143" s="231">
        <v>308047</v>
      </c>
      <c r="EU143" s="231">
        <v>474131988</v>
      </c>
      <c r="EV143" s="231">
        <v>804859</v>
      </c>
      <c r="EW143" s="231">
        <v>784774</v>
      </c>
      <c r="EX143" s="231">
        <v>20085</v>
      </c>
      <c r="EY143" s="229">
        <v>2.5600000000000001E-2</v>
      </c>
      <c r="EZ143" s="229">
        <v>0.46510000000000001</v>
      </c>
      <c r="FA143" s="227" t="s">
        <v>556</v>
      </c>
      <c r="FB143" s="161">
        <f t="shared" si="3"/>
        <v>0</v>
      </c>
    </row>
    <row r="144" spans="1:158" ht="17.25" hidden="1" thickBot="1" x14ac:dyDescent="0.3">
      <c r="A144" s="226">
        <v>46064</v>
      </c>
      <c r="B144" s="227" t="s">
        <v>175</v>
      </c>
      <c r="C144" s="227" t="s">
        <v>684</v>
      </c>
      <c r="D144" s="228">
        <v>500</v>
      </c>
      <c r="E144" s="231">
        <v>1323.5</v>
      </c>
      <c r="F144" s="231">
        <v>1387.3</v>
      </c>
      <c r="G144" s="228">
        <v>-63.8</v>
      </c>
      <c r="H144" s="229">
        <v>-4.5999999999999999E-2</v>
      </c>
      <c r="I144" s="231">
        <v>1324.2</v>
      </c>
      <c r="J144" s="231">
        <v>1386</v>
      </c>
      <c r="K144" s="228">
        <v>-61.8</v>
      </c>
      <c r="L144" s="229">
        <v>-4.4600000000000001E-2</v>
      </c>
      <c r="M144" s="231">
        <v>1323.5</v>
      </c>
      <c r="N144" s="231">
        <v>1387.3</v>
      </c>
      <c r="O144" s="228">
        <v>-63.8</v>
      </c>
      <c r="P144" s="229">
        <v>-4.5999999999999999E-2</v>
      </c>
      <c r="Q144" s="231">
        <v>1326.3</v>
      </c>
      <c r="R144" s="231">
        <v>1386.6</v>
      </c>
      <c r="S144" s="228">
        <v>-60.3</v>
      </c>
      <c r="T144" s="229">
        <v>-4.3499999999999997E-2</v>
      </c>
      <c r="U144" s="231">
        <v>1330.6</v>
      </c>
      <c r="V144" s="231">
        <v>1406.9</v>
      </c>
      <c r="W144" s="228">
        <v>-76.3</v>
      </c>
      <c r="X144" s="229">
        <v>-5.4199999999999998E-2</v>
      </c>
      <c r="Y144" s="228">
        <v>-0.7</v>
      </c>
      <c r="Z144" s="228">
        <v>1.3</v>
      </c>
      <c r="AA144" s="228">
        <v>-2</v>
      </c>
      <c r="AB144" s="229">
        <v>-5.0000000000000001E-4</v>
      </c>
      <c r="AC144" s="228">
        <v>-0.7</v>
      </c>
      <c r="AD144" s="228">
        <v>1.3</v>
      </c>
      <c r="AE144" s="228">
        <v>-2</v>
      </c>
      <c r="AF144" s="229">
        <v>-5.0000000000000001E-4</v>
      </c>
      <c r="AG144" s="228">
        <v>2.1</v>
      </c>
      <c r="AH144" s="228">
        <v>0.6</v>
      </c>
      <c r="AI144" s="228">
        <v>1.5</v>
      </c>
      <c r="AJ144" s="229">
        <v>1.6000000000000001E-3</v>
      </c>
      <c r="AK144" s="228">
        <v>6.4</v>
      </c>
      <c r="AL144" s="228">
        <v>20.9</v>
      </c>
      <c r="AM144" s="228">
        <v>-14.5</v>
      </c>
      <c r="AN144" s="229">
        <v>4.7999999999999996E-3</v>
      </c>
      <c r="AO144" s="231">
        <v>1350.96</v>
      </c>
      <c r="AP144" s="231">
        <v>1345.52</v>
      </c>
      <c r="AQ144" s="228">
        <v>0</v>
      </c>
      <c r="AR144" s="230">
        <v>1846500</v>
      </c>
      <c r="AS144" s="230">
        <v>1005000</v>
      </c>
      <c r="AT144" s="230">
        <v>841500</v>
      </c>
      <c r="AU144" s="229">
        <v>0.83730000000000004</v>
      </c>
      <c r="AV144" s="230">
        <v>1729000</v>
      </c>
      <c r="AW144" s="230">
        <v>942000</v>
      </c>
      <c r="AX144" s="230">
        <v>787000</v>
      </c>
      <c r="AY144" s="229">
        <v>0.83550000000000002</v>
      </c>
      <c r="AZ144" s="230">
        <v>114500</v>
      </c>
      <c r="BA144" s="230">
        <v>61000</v>
      </c>
      <c r="BB144" s="230">
        <v>53500</v>
      </c>
      <c r="BC144" s="229">
        <v>0.877</v>
      </c>
      <c r="BD144" s="230">
        <v>3000</v>
      </c>
      <c r="BE144" s="230">
        <v>2000</v>
      </c>
      <c r="BF144" s="230">
        <v>1000</v>
      </c>
      <c r="BG144" s="229">
        <v>0.5</v>
      </c>
      <c r="BH144" s="230">
        <v>2777500</v>
      </c>
      <c r="BI144" s="230">
        <v>1866500</v>
      </c>
      <c r="BJ144" s="230">
        <v>911000</v>
      </c>
      <c r="BK144" s="229">
        <v>0.48809999999999998</v>
      </c>
      <c r="BL144" s="230">
        <v>1961000</v>
      </c>
      <c r="BM144" s="230">
        <v>545500</v>
      </c>
      <c r="BN144" s="230">
        <v>1415500</v>
      </c>
      <c r="BO144" s="229">
        <v>2.5949</v>
      </c>
      <c r="BP144" s="230">
        <v>6585000</v>
      </c>
      <c r="BQ144" s="230">
        <v>3417000</v>
      </c>
      <c r="BR144" s="230">
        <v>3168000</v>
      </c>
      <c r="BS144" s="229">
        <v>0.92710000000000004</v>
      </c>
      <c r="BT144" s="230">
        <v>614743</v>
      </c>
      <c r="BU144" s="230">
        <v>284570</v>
      </c>
      <c r="BV144" s="230">
        <v>330173</v>
      </c>
      <c r="BW144" s="229">
        <v>1.1603000000000001</v>
      </c>
      <c r="BX144" s="230">
        <v>1938500</v>
      </c>
      <c r="BY144" s="230">
        <v>2120000</v>
      </c>
      <c r="BZ144" s="230">
        <v>-181500</v>
      </c>
      <c r="CA144" s="229">
        <v>-8.5599999999999996E-2</v>
      </c>
      <c r="CB144" s="230">
        <v>1801000</v>
      </c>
      <c r="CC144" s="230">
        <v>2015000</v>
      </c>
      <c r="CD144" s="230">
        <v>-214000</v>
      </c>
      <c r="CE144" s="229">
        <v>-0.1062</v>
      </c>
      <c r="CF144" s="230">
        <v>128500</v>
      </c>
      <c r="CG144" s="230">
        <v>97000</v>
      </c>
      <c r="CH144" s="230">
        <v>31500</v>
      </c>
      <c r="CI144" s="229">
        <v>0.32469999999999999</v>
      </c>
      <c r="CJ144" s="230">
        <v>9000</v>
      </c>
      <c r="CK144" s="230">
        <v>8000</v>
      </c>
      <c r="CL144" s="230">
        <v>1000</v>
      </c>
      <c r="CM144" s="229">
        <v>0.125</v>
      </c>
      <c r="CN144" s="230">
        <v>1651000</v>
      </c>
      <c r="CO144" s="230">
        <v>1574000</v>
      </c>
      <c r="CP144" s="230">
        <v>77000</v>
      </c>
      <c r="CQ144" s="229">
        <v>4.8899999999999999E-2</v>
      </c>
      <c r="CR144" s="230">
        <v>1255500</v>
      </c>
      <c r="CS144" s="230">
        <v>1025000</v>
      </c>
      <c r="CT144" s="230">
        <v>230500</v>
      </c>
      <c r="CU144" s="229">
        <v>0.22489999999999999</v>
      </c>
      <c r="CV144" s="230">
        <v>4845000</v>
      </c>
      <c r="CW144" s="230">
        <v>4719000</v>
      </c>
      <c r="CX144" s="230">
        <v>126000</v>
      </c>
      <c r="CY144" s="229">
        <v>2.6700000000000002E-2</v>
      </c>
      <c r="CZ144" s="228">
        <v>45.96</v>
      </c>
      <c r="DA144" s="228">
        <v>38.35</v>
      </c>
      <c r="DB144" s="228">
        <v>7.61</v>
      </c>
      <c r="DC144" s="228">
        <v>7.61</v>
      </c>
      <c r="DD144" s="228">
        <v>49.85</v>
      </c>
      <c r="DE144" s="228">
        <v>49.57</v>
      </c>
      <c r="DF144" s="228">
        <v>-3.89</v>
      </c>
      <c r="DG144" s="228">
        <v>0.28000000000000003</v>
      </c>
      <c r="DH144" s="228">
        <v>43.79</v>
      </c>
      <c r="DI144" s="228">
        <v>37.49</v>
      </c>
      <c r="DJ144" s="228">
        <v>6.3</v>
      </c>
      <c r="DK144" s="228">
        <v>6.3</v>
      </c>
      <c r="DL144" s="228">
        <v>49.03</v>
      </c>
      <c r="DM144" s="228">
        <v>41.29</v>
      </c>
      <c r="DN144" s="228">
        <v>7.74</v>
      </c>
      <c r="DO144" s="228">
        <v>7.74</v>
      </c>
      <c r="DP144" s="228">
        <v>0.76</v>
      </c>
      <c r="DQ144" s="228">
        <v>0.65</v>
      </c>
      <c r="DR144" s="228">
        <v>0.11</v>
      </c>
      <c r="DS144" s="229">
        <v>0.16919999999999999</v>
      </c>
      <c r="DT144" s="231">
        <v>1500</v>
      </c>
      <c r="DU144" s="231">
        <v>1300</v>
      </c>
      <c r="DV144" s="228">
        <v>0.71</v>
      </c>
      <c r="DW144" s="228">
        <v>0.28999999999999998</v>
      </c>
      <c r="DX144" s="228">
        <v>0.42</v>
      </c>
      <c r="DY144" s="229">
        <v>1.4482999999999999</v>
      </c>
      <c r="DZ144" s="229">
        <v>7.0900000000000005E-2</v>
      </c>
      <c r="EA144" s="230">
        <v>105000</v>
      </c>
      <c r="EB144" s="229">
        <v>2.0999999999999999E-3</v>
      </c>
      <c r="EC144" s="229">
        <v>7.0900000000000005E-2</v>
      </c>
      <c r="ED144" s="228">
        <v>-5.44</v>
      </c>
      <c r="EE144" s="229">
        <v>-4.0000000000000001E-3</v>
      </c>
      <c r="EF144" s="230">
        <v>261916</v>
      </c>
      <c r="EG144" s="230">
        <v>100128</v>
      </c>
      <c r="EH144" s="229">
        <v>1.6157999999999999</v>
      </c>
      <c r="EI144" s="229">
        <v>0.42609999999999998</v>
      </c>
      <c r="EJ144" s="231">
        <v>40368.04</v>
      </c>
      <c r="EK144" s="231">
        <v>26157.99</v>
      </c>
      <c r="EL144" s="231">
        <v>24938.73</v>
      </c>
      <c r="EM144" s="231">
        <v>1505</v>
      </c>
      <c r="EN144" s="231">
        <v>91464.76</v>
      </c>
      <c r="EO144" s="231">
        <v>48683.23</v>
      </c>
      <c r="EP144" s="231">
        <v>42781.53</v>
      </c>
      <c r="EQ144" s="229">
        <v>0.87880000000000003</v>
      </c>
      <c r="ER144" s="231">
        <v>23386</v>
      </c>
      <c r="ES144" s="231">
        <v>16215</v>
      </c>
      <c r="ET144" s="231">
        <v>25660</v>
      </c>
      <c r="EU144" s="231">
        <v>12267678</v>
      </c>
      <c r="EV144" s="231">
        <v>65261</v>
      </c>
      <c r="EW144" s="231">
        <v>64923</v>
      </c>
      <c r="EX144" s="228">
        <v>338</v>
      </c>
      <c r="EY144" s="229">
        <v>5.1999999999999998E-3</v>
      </c>
      <c r="EZ144" s="229">
        <v>0.39489999999999997</v>
      </c>
      <c r="FA144" s="227" t="s">
        <v>568</v>
      </c>
      <c r="FB144" s="161">
        <f t="shared" si="3"/>
        <v>0</v>
      </c>
    </row>
    <row r="145" spans="1:158" ht="17.25" hidden="1" thickBot="1" x14ac:dyDescent="0.3">
      <c r="A145" s="226">
        <v>46064</v>
      </c>
      <c r="B145" s="227" t="s">
        <v>615</v>
      </c>
      <c r="C145" s="227" t="s">
        <v>613</v>
      </c>
      <c r="D145" s="228">
        <v>3125</v>
      </c>
      <c r="E145" s="228">
        <v>278.36</v>
      </c>
      <c r="F145" s="228">
        <v>281.73</v>
      </c>
      <c r="G145" s="228">
        <v>-3.37</v>
      </c>
      <c r="H145" s="229">
        <v>-1.2E-2</v>
      </c>
      <c r="I145" s="228">
        <v>277.54000000000002</v>
      </c>
      <c r="J145" s="228">
        <v>280.69</v>
      </c>
      <c r="K145" s="228">
        <v>-3.15</v>
      </c>
      <c r="L145" s="229">
        <v>-1.12E-2</v>
      </c>
      <c r="M145" s="228">
        <v>278.36</v>
      </c>
      <c r="N145" s="228">
        <v>281.73</v>
      </c>
      <c r="O145" s="228">
        <v>-3.37</v>
      </c>
      <c r="P145" s="229">
        <v>-1.2E-2</v>
      </c>
      <c r="Q145" s="228">
        <v>278.66000000000003</v>
      </c>
      <c r="R145" s="228">
        <v>282.17</v>
      </c>
      <c r="S145" s="228">
        <v>-3.51</v>
      </c>
      <c r="T145" s="229">
        <v>-1.24E-2</v>
      </c>
      <c r="U145" s="228">
        <v>278.08</v>
      </c>
      <c r="V145" s="228">
        <v>280.89999999999998</v>
      </c>
      <c r="W145" s="228">
        <v>-2.82</v>
      </c>
      <c r="X145" s="229">
        <v>-0.01</v>
      </c>
      <c r="Y145" s="228">
        <v>0.82</v>
      </c>
      <c r="Z145" s="228">
        <v>1.04</v>
      </c>
      <c r="AA145" s="228">
        <v>-0.22</v>
      </c>
      <c r="AB145" s="229">
        <v>3.0000000000000001E-3</v>
      </c>
      <c r="AC145" s="228">
        <v>0.82</v>
      </c>
      <c r="AD145" s="228">
        <v>1.04</v>
      </c>
      <c r="AE145" s="228">
        <v>-0.22</v>
      </c>
      <c r="AF145" s="229">
        <v>3.0000000000000001E-3</v>
      </c>
      <c r="AG145" s="228">
        <v>1.1200000000000001</v>
      </c>
      <c r="AH145" s="228">
        <v>1.48</v>
      </c>
      <c r="AI145" s="228">
        <v>-0.36</v>
      </c>
      <c r="AJ145" s="229">
        <v>4.0000000000000001E-3</v>
      </c>
      <c r="AK145" s="228">
        <v>0.54</v>
      </c>
      <c r="AL145" s="228">
        <v>0.21</v>
      </c>
      <c r="AM145" s="228">
        <v>0.33</v>
      </c>
      <c r="AN145" s="229">
        <v>1.9E-3</v>
      </c>
      <c r="AO145" s="228">
        <v>280.67</v>
      </c>
      <c r="AP145" s="228">
        <v>281.35000000000002</v>
      </c>
      <c r="AQ145" s="228">
        <v>0</v>
      </c>
      <c r="AR145" s="230">
        <v>7665625</v>
      </c>
      <c r="AS145" s="230">
        <v>11612500</v>
      </c>
      <c r="AT145" s="230">
        <v>-3946875</v>
      </c>
      <c r="AU145" s="229">
        <v>-0.33989999999999998</v>
      </c>
      <c r="AV145" s="230">
        <v>7003125</v>
      </c>
      <c r="AW145" s="230">
        <v>10531250</v>
      </c>
      <c r="AX145" s="230">
        <v>-3528125</v>
      </c>
      <c r="AY145" s="229">
        <v>-0.33500000000000002</v>
      </c>
      <c r="AZ145" s="230">
        <v>596875</v>
      </c>
      <c r="BA145" s="230">
        <v>1006250</v>
      </c>
      <c r="BB145" s="230">
        <v>-409375</v>
      </c>
      <c r="BC145" s="229">
        <v>-0.40679999999999999</v>
      </c>
      <c r="BD145" s="230">
        <v>65625</v>
      </c>
      <c r="BE145" s="230">
        <v>75000</v>
      </c>
      <c r="BF145" s="230">
        <v>-9375</v>
      </c>
      <c r="BG145" s="229">
        <v>-0.125</v>
      </c>
      <c r="BH145" s="230">
        <v>24937500</v>
      </c>
      <c r="BI145" s="230">
        <v>33125000</v>
      </c>
      <c r="BJ145" s="230">
        <v>-8187500</v>
      </c>
      <c r="BK145" s="229">
        <v>-0.2472</v>
      </c>
      <c r="BL145" s="230">
        <v>16093750</v>
      </c>
      <c r="BM145" s="230">
        <v>15343750</v>
      </c>
      <c r="BN145" s="230">
        <v>750000</v>
      </c>
      <c r="BO145" s="229">
        <v>4.8899999999999999E-2</v>
      </c>
      <c r="BP145" s="230">
        <v>48696875</v>
      </c>
      <c r="BQ145" s="230">
        <v>60081250</v>
      </c>
      <c r="BR145" s="230">
        <v>-11384375</v>
      </c>
      <c r="BS145" s="229">
        <v>-0.1895</v>
      </c>
      <c r="BT145" s="230">
        <v>9162382</v>
      </c>
      <c r="BU145" s="230">
        <v>15598976</v>
      </c>
      <c r="BV145" s="230">
        <v>-6436594</v>
      </c>
      <c r="BW145" s="229">
        <v>-0.41260000000000002</v>
      </c>
      <c r="BX145" s="230">
        <v>43475000</v>
      </c>
      <c r="BY145" s="230">
        <v>43437500</v>
      </c>
      <c r="BZ145" s="230">
        <v>37500</v>
      </c>
      <c r="CA145" s="229">
        <v>8.9999999999999998E-4</v>
      </c>
      <c r="CB145" s="230">
        <v>41840625</v>
      </c>
      <c r="CC145" s="230">
        <v>41884375</v>
      </c>
      <c r="CD145" s="230">
        <v>-43750</v>
      </c>
      <c r="CE145" s="229">
        <v>-1E-3</v>
      </c>
      <c r="CF145" s="230">
        <v>1456250</v>
      </c>
      <c r="CG145" s="230">
        <v>1384375</v>
      </c>
      <c r="CH145" s="230">
        <v>71875</v>
      </c>
      <c r="CI145" s="229">
        <v>5.1900000000000002E-2</v>
      </c>
      <c r="CJ145" s="230">
        <v>178125</v>
      </c>
      <c r="CK145" s="230">
        <v>168750</v>
      </c>
      <c r="CL145" s="230">
        <v>9375</v>
      </c>
      <c r="CM145" s="229">
        <v>5.5599999999999997E-2</v>
      </c>
      <c r="CN145" s="230">
        <v>17953125</v>
      </c>
      <c r="CO145" s="230">
        <v>18528125</v>
      </c>
      <c r="CP145" s="230">
        <v>-575000</v>
      </c>
      <c r="CQ145" s="229">
        <v>-3.1E-2</v>
      </c>
      <c r="CR145" s="230">
        <v>22112500</v>
      </c>
      <c r="CS145" s="230">
        <v>22487500</v>
      </c>
      <c r="CT145" s="230">
        <v>-375000</v>
      </c>
      <c r="CU145" s="229">
        <v>-1.67E-2</v>
      </c>
      <c r="CV145" s="230">
        <v>83540625</v>
      </c>
      <c r="CW145" s="230">
        <v>84453125</v>
      </c>
      <c r="CX145" s="230">
        <v>-912500</v>
      </c>
      <c r="CY145" s="229">
        <v>-1.0800000000000001E-2</v>
      </c>
      <c r="CZ145" s="228">
        <v>34.729999999999997</v>
      </c>
      <c r="DA145" s="228">
        <v>35.49</v>
      </c>
      <c r="DB145" s="228">
        <v>-0.76</v>
      </c>
      <c r="DC145" s="228">
        <v>-0.76</v>
      </c>
      <c r="DD145" s="228">
        <v>36.049999999999997</v>
      </c>
      <c r="DE145" s="228">
        <v>36.11</v>
      </c>
      <c r="DF145" s="228">
        <v>-1.32</v>
      </c>
      <c r="DG145" s="228">
        <v>-0.06</v>
      </c>
      <c r="DH145" s="228">
        <v>33.46</v>
      </c>
      <c r="DI145" s="228">
        <v>34.43</v>
      </c>
      <c r="DJ145" s="228">
        <v>-0.97</v>
      </c>
      <c r="DK145" s="228">
        <v>-0.97</v>
      </c>
      <c r="DL145" s="228">
        <v>36.71</v>
      </c>
      <c r="DM145" s="228">
        <v>37.75</v>
      </c>
      <c r="DN145" s="228">
        <v>-1.04</v>
      </c>
      <c r="DO145" s="228">
        <v>-1.04</v>
      </c>
      <c r="DP145" s="228">
        <v>1.23</v>
      </c>
      <c r="DQ145" s="228">
        <v>1.21</v>
      </c>
      <c r="DR145" s="228">
        <v>0.02</v>
      </c>
      <c r="DS145" s="229">
        <v>1.6500000000000001E-2</v>
      </c>
      <c r="DT145" s="228">
        <v>300</v>
      </c>
      <c r="DU145" s="228">
        <v>235</v>
      </c>
      <c r="DV145" s="228">
        <v>0.65</v>
      </c>
      <c r="DW145" s="228">
        <v>0.46</v>
      </c>
      <c r="DX145" s="228">
        <v>0.19</v>
      </c>
      <c r="DY145" s="229">
        <v>0.41299999999999998</v>
      </c>
      <c r="DZ145" s="229">
        <v>3.7600000000000001E-2</v>
      </c>
      <c r="EA145" s="230">
        <v>1553125</v>
      </c>
      <c r="EB145" s="229">
        <v>1.1000000000000001E-3</v>
      </c>
      <c r="EC145" s="229">
        <v>3.7600000000000001E-2</v>
      </c>
      <c r="ED145" s="228">
        <v>0.68</v>
      </c>
      <c r="EE145" s="229">
        <v>2.3999999999999998E-3</v>
      </c>
      <c r="EF145" s="230">
        <v>4949145</v>
      </c>
      <c r="EG145" s="230">
        <v>9157081</v>
      </c>
      <c r="EH145" s="229">
        <v>-0.45950000000000002</v>
      </c>
      <c r="EI145" s="229">
        <v>0.54020000000000001</v>
      </c>
      <c r="EJ145" s="231">
        <v>73274.789999999994</v>
      </c>
      <c r="EK145" s="231">
        <v>43830.5</v>
      </c>
      <c r="EL145" s="231">
        <v>21518.31</v>
      </c>
      <c r="EM145" s="231">
        <v>6818</v>
      </c>
      <c r="EN145" s="231">
        <v>138623.6</v>
      </c>
      <c r="EO145" s="231">
        <v>171024.95</v>
      </c>
      <c r="EP145" s="231">
        <v>-32401.35</v>
      </c>
      <c r="EQ145" s="229">
        <v>-0.1895</v>
      </c>
      <c r="ER145" s="231">
        <v>50280</v>
      </c>
      <c r="ES145" s="231">
        <v>56068</v>
      </c>
      <c r="ET145" s="231">
        <v>121021</v>
      </c>
      <c r="EU145" s="231">
        <v>205483040</v>
      </c>
      <c r="EV145" s="231">
        <v>227370</v>
      </c>
      <c r="EW145" s="231">
        <v>231047</v>
      </c>
      <c r="EX145" s="231">
        <v>-3677</v>
      </c>
      <c r="EY145" s="229">
        <v>-1.5900000000000001E-2</v>
      </c>
      <c r="EZ145" s="229">
        <v>0.40660000000000002</v>
      </c>
      <c r="FA145" s="227" t="s">
        <v>567</v>
      </c>
      <c r="FB145" s="161">
        <f t="shared" si="3"/>
        <v>0</v>
      </c>
    </row>
    <row r="146" spans="1:158" ht="17.25" hidden="1" thickBot="1" x14ac:dyDescent="0.3">
      <c r="A146" s="226">
        <v>46064</v>
      </c>
      <c r="B146" s="227" t="s">
        <v>206</v>
      </c>
      <c r="C146" s="227" t="s">
        <v>528</v>
      </c>
      <c r="D146" s="228">
        <v>350</v>
      </c>
      <c r="E146" s="231">
        <v>1578.9</v>
      </c>
      <c r="F146" s="231">
        <v>1571.5</v>
      </c>
      <c r="G146" s="228">
        <v>7.4</v>
      </c>
      <c r="H146" s="229">
        <v>4.7000000000000002E-3</v>
      </c>
      <c r="I146" s="231">
        <v>1577.3</v>
      </c>
      <c r="J146" s="231">
        <v>1568.9</v>
      </c>
      <c r="K146" s="228">
        <v>8.4</v>
      </c>
      <c r="L146" s="229">
        <v>5.4000000000000003E-3</v>
      </c>
      <c r="M146" s="231">
        <v>1578.9</v>
      </c>
      <c r="N146" s="231">
        <v>1571.5</v>
      </c>
      <c r="O146" s="228">
        <v>7.4</v>
      </c>
      <c r="P146" s="229">
        <v>4.7000000000000002E-3</v>
      </c>
      <c r="Q146" s="231">
        <v>1575.4</v>
      </c>
      <c r="R146" s="231">
        <v>1566.8</v>
      </c>
      <c r="S146" s="228">
        <v>8.6</v>
      </c>
      <c r="T146" s="229">
        <v>5.4999999999999997E-3</v>
      </c>
      <c r="U146" s="231">
        <v>1576.5</v>
      </c>
      <c r="V146" s="231">
        <v>1565.4</v>
      </c>
      <c r="W146" s="228">
        <v>11.1</v>
      </c>
      <c r="X146" s="229">
        <v>7.1000000000000004E-3</v>
      </c>
      <c r="Y146" s="228">
        <v>1.6</v>
      </c>
      <c r="Z146" s="228">
        <v>2.6</v>
      </c>
      <c r="AA146" s="228">
        <v>-1</v>
      </c>
      <c r="AB146" s="229">
        <v>1E-3</v>
      </c>
      <c r="AC146" s="228">
        <v>1.6</v>
      </c>
      <c r="AD146" s="228">
        <v>2.6</v>
      </c>
      <c r="AE146" s="228">
        <v>-1</v>
      </c>
      <c r="AF146" s="229">
        <v>1E-3</v>
      </c>
      <c r="AG146" s="228">
        <v>-1.9</v>
      </c>
      <c r="AH146" s="228">
        <v>-2.1</v>
      </c>
      <c r="AI146" s="228">
        <v>0.2</v>
      </c>
      <c r="AJ146" s="229">
        <v>-1.1999999999999999E-3</v>
      </c>
      <c r="AK146" s="228">
        <v>-0.8</v>
      </c>
      <c r="AL146" s="228">
        <v>-3.5</v>
      </c>
      <c r="AM146" s="228">
        <v>2.7</v>
      </c>
      <c r="AN146" s="229">
        <v>-5.0000000000000001E-4</v>
      </c>
      <c r="AO146" s="231">
        <v>1570.4</v>
      </c>
      <c r="AP146" s="231">
        <v>1571.57</v>
      </c>
      <c r="AQ146" s="228">
        <v>0</v>
      </c>
      <c r="AR146" s="230">
        <v>506100</v>
      </c>
      <c r="AS146" s="230">
        <v>571200</v>
      </c>
      <c r="AT146" s="230">
        <v>-65100</v>
      </c>
      <c r="AU146" s="229">
        <v>-0.114</v>
      </c>
      <c r="AV146" s="230">
        <v>468300</v>
      </c>
      <c r="AW146" s="230">
        <v>512400</v>
      </c>
      <c r="AX146" s="230">
        <v>-44100</v>
      </c>
      <c r="AY146" s="229">
        <v>-8.6099999999999996E-2</v>
      </c>
      <c r="AZ146" s="230">
        <v>34300</v>
      </c>
      <c r="BA146" s="230">
        <v>57050</v>
      </c>
      <c r="BB146" s="230">
        <v>-22750</v>
      </c>
      <c r="BC146" s="229">
        <v>-0.39879999999999999</v>
      </c>
      <c r="BD146" s="230">
        <v>3500</v>
      </c>
      <c r="BE146" s="230">
        <v>1750</v>
      </c>
      <c r="BF146" s="230">
        <v>1750</v>
      </c>
      <c r="BG146" s="229">
        <v>1</v>
      </c>
      <c r="BH146" s="230">
        <v>1319850</v>
      </c>
      <c r="BI146" s="230">
        <v>1556100</v>
      </c>
      <c r="BJ146" s="230">
        <v>-236250</v>
      </c>
      <c r="BK146" s="229">
        <v>-0.15179999999999999</v>
      </c>
      <c r="BL146" s="230">
        <v>513450</v>
      </c>
      <c r="BM146" s="230">
        <v>821100</v>
      </c>
      <c r="BN146" s="230">
        <v>-307650</v>
      </c>
      <c r="BO146" s="229">
        <v>-0.37469999999999998</v>
      </c>
      <c r="BP146" s="230">
        <v>2339400</v>
      </c>
      <c r="BQ146" s="230">
        <v>2948400</v>
      </c>
      <c r="BR146" s="230">
        <v>-609000</v>
      </c>
      <c r="BS146" s="229">
        <v>-0.20660000000000001</v>
      </c>
      <c r="BT146" s="230">
        <v>180904</v>
      </c>
      <c r="BU146" s="230">
        <v>266837</v>
      </c>
      <c r="BV146" s="230">
        <v>-85933</v>
      </c>
      <c r="BW146" s="229">
        <v>-0.32200000000000001</v>
      </c>
      <c r="BX146" s="230">
        <v>5720400</v>
      </c>
      <c r="BY146" s="230">
        <v>5777800</v>
      </c>
      <c r="BZ146" s="230">
        <v>-57400</v>
      </c>
      <c r="CA146" s="229">
        <v>-9.9000000000000008E-3</v>
      </c>
      <c r="CB146" s="230">
        <v>5552400</v>
      </c>
      <c r="CC146" s="230">
        <v>5614000</v>
      </c>
      <c r="CD146" s="230">
        <v>-61600</v>
      </c>
      <c r="CE146" s="229">
        <v>-1.0999999999999999E-2</v>
      </c>
      <c r="CF146" s="230">
        <v>158550</v>
      </c>
      <c r="CG146" s="230">
        <v>155400</v>
      </c>
      <c r="CH146" s="230">
        <v>3150</v>
      </c>
      <c r="CI146" s="229">
        <v>2.0299999999999999E-2</v>
      </c>
      <c r="CJ146" s="230">
        <v>9450</v>
      </c>
      <c r="CK146" s="230">
        <v>8400</v>
      </c>
      <c r="CL146" s="230">
        <v>1050</v>
      </c>
      <c r="CM146" s="229">
        <v>0.125</v>
      </c>
      <c r="CN146" s="230">
        <v>2107000</v>
      </c>
      <c r="CO146" s="230">
        <v>1965250</v>
      </c>
      <c r="CP146" s="230">
        <v>141750</v>
      </c>
      <c r="CQ146" s="229">
        <v>7.2099999999999997E-2</v>
      </c>
      <c r="CR146" s="230">
        <v>1781500</v>
      </c>
      <c r="CS146" s="230">
        <v>1826650</v>
      </c>
      <c r="CT146" s="230">
        <v>-45150</v>
      </c>
      <c r="CU146" s="229">
        <v>-2.47E-2</v>
      </c>
      <c r="CV146" s="230">
        <v>9608900</v>
      </c>
      <c r="CW146" s="230">
        <v>9569700</v>
      </c>
      <c r="CX146" s="230">
        <v>39200</v>
      </c>
      <c r="CY146" s="229">
        <v>4.1000000000000003E-3</v>
      </c>
      <c r="CZ146" s="228">
        <v>28.76</v>
      </c>
      <c r="DA146" s="228">
        <v>29.23</v>
      </c>
      <c r="DB146" s="228">
        <v>-0.47</v>
      </c>
      <c r="DC146" s="228">
        <v>-0.47</v>
      </c>
      <c r="DD146" s="228">
        <v>36.99</v>
      </c>
      <c r="DE146" s="228">
        <v>37.07</v>
      </c>
      <c r="DF146" s="228">
        <v>-8.23</v>
      </c>
      <c r="DG146" s="228">
        <v>-0.08</v>
      </c>
      <c r="DH146" s="228">
        <v>28.52</v>
      </c>
      <c r="DI146" s="228">
        <v>28.62</v>
      </c>
      <c r="DJ146" s="228">
        <v>-0.1</v>
      </c>
      <c r="DK146" s="228">
        <v>-0.1</v>
      </c>
      <c r="DL146" s="228">
        <v>29.36</v>
      </c>
      <c r="DM146" s="228">
        <v>30.39</v>
      </c>
      <c r="DN146" s="228">
        <v>-1.03</v>
      </c>
      <c r="DO146" s="228">
        <v>-1.03</v>
      </c>
      <c r="DP146" s="228">
        <v>0.85</v>
      </c>
      <c r="DQ146" s="228">
        <v>0.93</v>
      </c>
      <c r="DR146" s="228">
        <v>-0.08</v>
      </c>
      <c r="DS146" s="229">
        <v>-8.5999999999999993E-2</v>
      </c>
      <c r="DT146" s="231">
        <v>1700</v>
      </c>
      <c r="DU146" s="231">
        <v>1340</v>
      </c>
      <c r="DV146" s="228">
        <v>0.39</v>
      </c>
      <c r="DW146" s="228">
        <v>0.53</v>
      </c>
      <c r="DX146" s="228">
        <v>-0.14000000000000001</v>
      </c>
      <c r="DY146" s="229">
        <v>-0.26419999999999999</v>
      </c>
      <c r="DZ146" s="229">
        <v>2.9399999999999999E-2</v>
      </c>
      <c r="EA146" s="230">
        <v>163800</v>
      </c>
      <c r="EB146" s="229">
        <v>-2.2000000000000001E-3</v>
      </c>
      <c r="EC146" s="229">
        <v>2.9399999999999999E-2</v>
      </c>
      <c r="ED146" s="228">
        <v>1.17</v>
      </c>
      <c r="EE146" s="229">
        <v>6.9999999999999999E-4</v>
      </c>
      <c r="EF146" s="230">
        <v>64171</v>
      </c>
      <c r="EG146" s="230">
        <v>105521</v>
      </c>
      <c r="EH146" s="229">
        <v>-0.39190000000000003</v>
      </c>
      <c r="EI146" s="229">
        <v>0.35470000000000002</v>
      </c>
      <c r="EJ146" s="231">
        <v>21593.46</v>
      </c>
      <c r="EK146" s="231">
        <v>7878.48</v>
      </c>
      <c r="EL146" s="231">
        <v>7948.15</v>
      </c>
      <c r="EM146" s="231">
        <v>2474</v>
      </c>
      <c r="EN146" s="231">
        <v>37420.089999999997</v>
      </c>
      <c r="EO146" s="231">
        <v>46714.09</v>
      </c>
      <c r="EP146" s="231">
        <v>-9294</v>
      </c>
      <c r="EQ146" s="229">
        <v>-0.19900000000000001</v>
      </c>
      <c r="ER146" s="231">
        <v>33346</v>
      </c>
      <c r="ES146" s="231">
        <v>25937</v>
      </c>
      <c r="ET146" s="231">
        <v>90314</v>
      </c>
      <c r="EU146" s="231">
        <v>17614093</v>
      </c>
      <c r="EV146" s="231">
        <v>149597</v>
      </c>
      <c r="EW146" s="231">
        <v>148393</v>
      </c>
      <c r="EX146" s="231">
        <v>1204</v>
      </c>
      <c r="EY146" s="229">
        <v>8.0999999999999996E-3</v>
      </c>
      <c r="EZ146" s="229">
        <v>0.54549999999999998</v>
      </c>
      <c r="FA146" s="227" t="s">
        <v>556</v>
      </c>
      <c r="FB146" s="161">
        <f t="shared" si="3"/>
        <v>0</v>
      </c>
    </row>
    <row r="147" spans="1:158" ht="17.25" hidden="1" thickBot="1" x14ac:dyDescent="0.3">
      <c r="A147" s="226">
        <v>46064</v>
      </c>
      <c r="B147" s="227" t="s">
        <v>221</v>
      </c>
      <c r="C147" s="227" t="s">
        <v>518</v>
      </c>
      <c r="D147" s="228">
        <v>75</v>
      </c>
      <c r="E147" s="231">
        <v>7210.5</v>
      </c>
      <c r="F147" s="231">
        <v>7366</v>
      </c>
      <c r="G147" s="228">
        <v>-155.5</v>
      </c>
      <c r="H147" s="229">
        <v>-2.1100000000000001E-2</v>
      </c>
      <c r="I147" s="231">
        <v>7217.5</v>
      </c>
      <c r="J147" s="231">
        <v>7342</v>
      </c>
      <c r="K147" s="228">
        <v>-124.5</v>
      </c>
      <c r="L147" s="229">
        <v>-1.7000000000000001E-2</v>
      </c>
      <c r="M147" s="231">
        <v>7210.5</v>
      </c>
      <c r="N147" s="231">
        <v>7366</v>
      </c>
      <c r="O147" s="228">
        <v>-155.5</v>
      </c>
      <c r="P147" s="229">
        <v>-2.1100000000000001E-2</v>
      </c>
      <c r="Q147" s="231">
        <v>7227.5</v>
      </c>
      <c r="R147" s="231">
        <v>7388</v>
      </c>
      <c r="S147" s="228">
        <v>-160.5</v>
      </c>
      <c r="T147" s="229">
        <v>-2.1700000000000001E-2</v>
      </c>
      <c r="U147" s="231">
        <v>7263</v>
      </c>
      <c r="V147" s="231">
        <v>7425.5</v>
      </c>
      <c r="W147" s="228">
        <v>-162.5</v>
      </c>
      <c r="X147" s="229">
        <v>-2.1899999999999999E-2</v>
      </c>
      <c r="Y147" s="228">
        <v>-7</v>
      </c>
      <c r="Z147" s="228">
        <v>24</v>
      </c>
      <c r="AA147" s="228">
        <v>-31</v>
      </c>
      <c r="AB147" s="229">
        <v>-1E-3</v>
      </c>
      <c r="AC147" s="228">
        <v>-7</v>
      </c>
      <c r="AD147" s="228">
        <v>24</v>
      </c>
      <c r="AE147" s="228">
        <v>-31</v>
      </c>
      <c r="AF147" s="229">
        <v>-1E-3</v>
      </c>
      <c r="AG147" s="228">
        <v>10</v>
      </c>
      <c r="AH147" s="228">
        <v>46</v>
      </c>
      <c r="AI147" s="228">
        <v>-36</v>
      </c>
      <c r="AJ147" s="229">
        <v>1.4E-3</v>
      </c>
      <c r="AK147" s="228">
        <v>45.5</v>
      </c>
      <c r="AL147" s="228">
        <v>83.5</v>
      </c>
      <c r="AM147" s="228">
        <v>-38</v>
      </c>
      <c r="AN147" s="229">
        <v>6.3E-3</v>
      </c>
      <c r="AO147" s="231">
        <v>7260.15</v>
      </c>
      <c r="AP147" s="231">
        <v>7273.73</v>
      </c>
      <c r="AQ147" s="228">
        <v>0</v>
      </c>
      <c r="AR147" s="230">
        <v>153000</v>
      </c>
      <c r="AS147" s="230">
        <v>159150</v>
      </c>
      <c r="AT147" s="230">
        <v>-6150</v>
      </c>
      <c r="AU147" s="229">
        <v>-3.8600000000000002E-2</v>
      </c>
      <c r="AV147" s="230">
        <v>122925</v>
      </c>
      <c r="AW147" s="230">
        <v>143775</v>
      </c>
      <c r="AX147" s="230">
        <v>-20850</v>
      </c>
      <c r="AY147" s="229">
        <v>-0.14499999999999999</v>
      </c>
      <c r="AZ147" s="230">
        <v>26775</v>
      </c>
      <c r="BA147" s="230">
        <v>13875</v>
      </c>
      <c r="BB147" s="230">
        <v>12900</v>
      </c>
      <c r="BC147" s="229">
        <v>0.92969999999999997</v>
      </c>
      <c r="BD147" s="230">
        <v>3300</v>
      </c>
      <c r="BE147" s="230">
        <v>1500</v>
      </c>
      <c r="BF147" s="230">
        <v>1800</v>
      </c>
      <c r="BG147" s="229">
        <v>1.2</v>
      </c>
      <c r="BH147" s="230">
        <v>562650</v>
      </c>
      <c r="BI147" s="230">
        <v>597825</v>
      </c>
      <c r="BJ147" s="230">
        <v>-35175</v>
      </c>
      <c r="BK147" s="229">
        <v>-5.8799999999999998E-2</v>
      </c>
      <c r="BL147" s="230">
        <v>268950</v>
      </c>
      <c r="BM147" s="230">
        <v>176400</v>
      </c>
      <c r="BN147" s="230">
        <v>92550</v>
      </c>
      <c r="BO147" s="229">
        <v>0.52470000000000006</v>
      </c>
      <c r="BP147" s="230">
        <v>984600</v>
      </c>
      <c r="BQ147" s="230">
        <v>933375</v>
      </c>
      <c r="BR147" s="230">
        <v>51225</v>
      </c>
      <c r="BS147" s="229">
        <v>5.4899999999999997E-2</v>
      </c>
      <c r="BT147" s="230">
        <v>77639</v>
      </c>
      <c r="BU147" s="230">
        <v>127930</v>
      </c>
      <c r="BV147" s="230">
        <v>-50291</v>
      </c>
      <c r="BW147" s="229">
        <v>-0.3931</v>
      </c>
      <c r="BX147" s="230">
        <v>1305825</v>
      </c>
      <c r="BY147" s="230">
        <v>1282650</v>
      </c>
      <c r="BZ147" s="230">
        <v>23175</v>
      </c>
      <c r="CA147" s="229">
        <v>1.8100000000000002E-2</v>
      </c>
      <c r="CB147" s="230">
        <v>1229925</v>
      </c>
      <c r="CC147" s="230">
        <v>1217700</v>
      </c>
      <c r="CD147" s="230">
        <v>12225</v>
      </c>
      <c r="CE147" s="229">
        <v>0.01</v>
      </c>
      <c r="CF147" s="230">
        <v>64425</v>
      </c>
      <c r="CG147" s="230">
        <v>55125</v>
      </c>
      <c r="CH147" s="230">
        <v>9300</v>
      </c>
      <c r="CI147" s="229">
        <v>0.16869999999999999</v>
      </c>
      <c r="CJ147" s="230">
        <v>11475</v>
      </c>
      <c r="CK147" s="230">
        <v>9825</v>
      </c>
      <c r="CL147" s="230">
        <v>1650</v>
      </c>
      <c r="CM147" s="229">
        <v>0.16789999999999999</v>
      </c>
      <c r="CN147" s="230">
        <v>696375</v>
      </c>
      <c r="CO147" s="230">
        <v>643800</v>
      </c>
      <c r="CP147" s="230">
        <v>52575</v>
      </c>
      <c r="CQ147" s="229">
        <v>8.1699999999999995E-2</v>
      </c>
      <c r="CR147" s="230">
        <v>405450</v>
      </c>
      <c r="CS147" s="230">
        <v>392250</v>
      </c>
      <c r="CT147" s="230">
        <v>13200</v>
      </c>
      <c r="CU147" s="229">
        <v>3.3700000000000001E-2</v>
      </c>
      <c r="CV147" s="230">
        <v>2407650</v>
      </c>
      <c r="CW147" s="230">
        <v>2318700</v>
      </c>
      <c r="CX147" s="230">
        <v>88950</v>
      </c>
      <c r="CY147" s="229">
        <v>3.8399999999999997E-2</v>
      </c>
      <c r="CZ147" s="228">
        <v>39.49</v>
      </c>
      <c r="DA147" s="228">
        <v>36.58</v>
      </c>
      <c r="DB147" s="228">
        <v>2.91</v>
      </c>
      <c r="DC147" s="228">
        <v>2.91</v>
      </c>
      <c r="DD147" s="228">
        <v>38.36</v>
      </c>
      <c r="DE147" s="228">
        <v>38.35</v>
      </c>
      <c r="DF147" s="228">
        <v>1.1299999999999999</v>
      </c>
      <c r="DG147" s="228">
        <v>0.01</v>
      </c>
      <c r="DH147" s="228">
        <v>40.39</v>
      </c>
      <c r="DI147" s="228">
        <v>35.99</v>
      </c>
      <c r="DJ147" s="228">
        <v>4.4000000000000004</v>
      </c>
      <c r="DK147" s="228">
        <v>4.4000000000000004</v>
      </c>
      <c r="DL147" s="228">
        <v>37.61</v>
      </c>
      <c r="DM147" s="228">
        <v>38.58</v>
      </c>
      <c r="DN147" s="228">
        <v>-0.97</v>
      </c>
      <c r="DO147" s="228">
        <v>-0.97</v>
      </c>
      <c r="DP147" s="228">
        <v>0.57999999999999996</v>
      </c>
      <c r="DQ147" s="228">
        <v>0.61</v>
      </c>
      <c r="DR147" s="228">
        <v>-0.03</v>
      </c>
      <c r="DS147" s="229">
        <v>-4.9200000000000001E-2</v>
      </c>
      <c r="DT147" s="231">
        <v>8000</v>
      </c>
      <c r="DU147" s="231">
        <v>7000</v>
      </c>
      <c r="DV147" s="228">
        <v>0.48</v>
      </c>
      <c r="DW147" s="228">
        <v>0.3</v>
      </c>
      <c r="DX147" s="228">
        <v>0.18</v>
      </c>
      <c r="DY147" s="229">
        <v>0.6</v>
      </c>
      <c r="DZ147" s="229">
        <v>5.8099999999999999E-2</v>
      </c>
      <c r="EA147" s="230">
        <v>64950</v>
      </c>
      <c r="EB147" s="229">
        <v>2.3999999999999998E-3</v>
      </c>
      <c r="EC147" s="229">
        <v>5.8099999999999999E-2</v>
      </c>
      <c r="ED147" s="228">
        <v>13.58</v>
      </c>
      <c r="EE147" s="229">
        <v>1.9E-3</v>
      </c>
      <c r="EF147" s="230">
        <v>36079</v>
      </c>
      <c r="EG147" s="230">
        <v>64252</v>
      </c>
      <c r="EH147" s="229">
        <v>-0.4385</v>
      </c>
      <c r="EI147" s="229">
        <v>0.4647</v>
      </c>
      <c r="EJ147" s="231">
        <v>44409.52</v>
      </c>
      <c r="EK147" s="231">
        <v>19115.21</v>
      </c>
      <c r="EL147" s="231">
        <v>11113.06</v>
      </c>
      <c r="EM147" s="231">
        <v>3366</v>
      </c>
      <c r="EN147" s="231">
        <v>74637.789999999994</v>
      </c>
      <c r="EO147" s="231">
        <v>70843.64</v>
      </c>
      <c r="EP147" s="231">
        <v>3794.15</v>
      </c>
      <c r="EQ147" s="229">
        <v>5.3600000000000002E-2</v>
      </c>
      <c r="ER147" s="231">
        <v>54963</v>
      </c>
      <c r="ES147" s="231">
        <v>29953</v>
      </c>
      <c r="ET147" s="231">
        <v>94173</v>
      </c>
      <c r="EU147" s="231">
        <v>3582756</v>
      </c>
      <c r="EV147" s="231">
        <v>179090</v>
      </c>
      <c r="EW147" s="231">
        <v>174812</v>
      </c>
      <c r="EX147" s="231">
        <v>4278</v>
      </c>
      <c r="EY147" s="229">
        <v>2.4500000000000001E-2</v>
      </c>
      <c r="EZ147" s="229">
        <v>0.67200000000000004</v>
      </c>
      <c r="FA147" s="227" t="s">
        <v>567</v>
      </c>
      <c r="FB147" s="161">
        <f t="shared" si="3"/>
        <v>0</v>
      </c>
    </row>
    <row r="148" spans="1:158" ht="17.25" hidden="1" thickBot="1" x14ac:dyDescent="0.3">
      <c r="A148" s="226">
        <v>46064</v>
      </c>
      <c r="B148" s="227" t="s">
        <v>193</v>
      </c>
      <c r="C148" s="227" t="s">
        <v>587</v>
      </c>
      <c r="D148" s="228">
        <v>1400</v>
      </c>
      <c r="E148" s="228">
        <v>473.8</v>
      </c>
      <c r="F148" s="228">
        <v>483.8</v>
      </c>
      <c r="G148" s="228">
        <v>-10</v>
      </c>
      <c r="H148" s="229">
        <v>-2.07E-2</v>
      </c>
      <c r="I148" s="228">
        <v>479.25</v>
      </c>
      <c r="J148" s="228">
        <v>488.85</v>
      </c>
      <c r="K148" s="228">
        <v>-9.6</v>
      </c>
      <c r="L148" s="229">
        <v>-1.9599999999999999E-2</v>
      </c>
      <c r="M148" s="228">
        <v>473.8</v>
      </c>
      <c r="N148" s="228">
        <v>483.8</v>
      </c>
      <c r="O148" s="228">
        <v>-10</v>
      </c>
      <c r="P148" s="229">
        <v>-2.07E-2</v>
      </c>
      <c r="Q148" s="228">
        <v>475.05</v>
      </c>
      <c r="R148" s="228">
        <v>484.95</v>
      </c>
      <c r="S148" s="228">
        <v>-9.9</v>
      </c>
      <c r="T148" s="229">
        <v>-2.0400000000000001E-2</v>
      </c>
      <c r="U148" s="228">
        <v>476.45</v>
      </c>
      <c r="V148" s="228">
        <v>486.1</v>
      </c>
      <c r="W148" s="228">
        <v>-9.65</v>
      </c>
      <c r="X148" s="229">
        <v>-1.9900000000000001E-2</v>
      </c>
      <c r="Y148" s="228">
        <v>-5.45</v>
      </c>
      <c r="Z148" s="228">
        <v>-5.05</v>
      </c>
      <c r="AA148" s="228">
        <v>-0.4</v>
      </c>
      <c r="AB148" s="229">
        <v>-1.14E-2</v>
      </c>
      <c r="AC148" s="228">
        <v>-5.45</v>
      </c>
      <c r="AD148" s="228">
        <v>-5.05</v>
      </c>
      <c r="AE148" s="228">
        <v>-0.4</v>
      </c>
      <c r="AF148" s="229">
        <v>-1.14E-2</v>
      </c>
      <c r="AG148" s="228">
        <v>-4.2</v>
      </c>
      <c r="AH148" s="228">
        <v>-3.9</v>
      </c>
      <c r="AI148" s="228">
        <v>-0.3</v>
      </c>
      <c r="AJ148" s="229">
        <v>-8.8000000000000005E-3</v>
      </c>
      <c r="AK148" s="228">
        <v>-2.8</v>
      </c>
      <c r="AL148" s="228">
        <v>-2.75</v>
      </c>
      <c r="AM148" s="228">
        <v>-0.05</v>
      </c>
      <c r="AN148" s="229">
        <v>-5.7999999999999996E-3</v>
      </c>
      <c r="AO148" s="228">
        <v>475.78</v>
      </c>
      <c r="AP148" s="228">
        <v>477.59</v>
      </c>
      <c r="AQ148" s="228">
        <v>0</v>
      </c>
      <c r="AR148" s="230">
        <v>12908000</v>
      </c>
      <c r="AS148" s="230">
        <v>5892600</v>
      </c>
      <c r="AT148" s="230">
        <v>7015400</v>
      </c>
      <c r="AU148" s="229">
        <v>1.1904999999999999</v>
      </c>
      <c r="AV148" s="230">
        <v>12385800</v>
      </c>
      <c r="AW148" s="230">
        <v>5495000</v>
      </c>
      <c r="AX148" s="230">
        <v>6890800</v>
      </c>
      <c r="AY148" s="229">
        <v>1.254</v>
      </c>
      <c r="AZ148" s="230">
        <v>474600</v>
      </c>
      <c r="BA148" s="230">
        <v>359800</v>
      </c>
      <c r="BB148" s="230">
        <v>114800</v>
      </c>
      <c r="BC148" s="229">
        <v>0.31909999999999999</v>
      </c>
      <c r="BD148" s="230">
        <v>47600</v>
      </c>
      <c r="BE148" s="230">
        <v>37800</v>
      </c>
      <c r="BF148" s="230">
        <v>9800</v>
      </c>
      <c r="BG148" s="229">
        <v>0.25929999999999997</v>
      </c>
      <c r="BH148" s="230">
        <v>31932600</v>
      </c>
      <c r="BI148" s="230">
        <v>17848600</v>
      </c>
      <c r="BJ148" s="230">
        <v>14084000</v>
      </c>
      <c r="BK148" s="229">
        <v>0.78910000000000002</v>
      </c>
      <c r="BL148" s="230">
        <v>13549200</v>
      </c>
      <c r="BM148" s="230">
        <v>6584200</v>
      </c>
      <c r="BN148" s="230">
        <v>6965000</v>
      </c>
      <c r="BO148" s="229">
        <v>1.0578000000000001</v>
      </c>
      <c r="BP148" s="230">
        <v>58389800</v>
      </c>
      <c r="BQ148" s="230">
        <v>30325400</v>
      </c>
      <c r="BR148" s="230">
        <v>28064400</v>
      </c>
      <c r="BS148" s="229">
        <v>0.9254</v>
      </c>
      <c r="BT148" s="230">
        <v>9412439</v>
      </c>
      <c r="BU148" s="230">
        <v>2152926</v>
      </c>
      <c r="BV148" s="230">
        <v>7259513</v>
      </c>
      <c r="BW148" s="229">
        <v>3.3719000000000001</v>
      </c>
      <c r="BX148" s="230">
        <v>19846400</v>
      </c>
      <c r="BY148" s="230">
        <v>18519200</v>
      </c>
      <c r="BZ148" s="230">
        <v>1327200</v>
      </c>
      <c r="CA148" s="229">
        <v>7.17E-2</v>
      </c>
      <c r="CB148" s="230">
        <v>18862200</v>
      </c>
      <c r="CC148" s="230">
        <v>17651200</v>
      </c>
      <c r="CD148" s="230">
        <v>1211000</v>
      </c>
      <c r="CE148" s="229">
        <v>6.8599999999999994E-2</v>
      </c>
      <c r="CF148" s="230">
        <v>756000</v>
      </c>
      <c r="CG148" s="230">
        <v>660800</v>
      </c>
      <c r="CH148" s="230">
        <v>95200</v>
      </c>
      <c r="CI148" s="229">
        <v>0.14410000000000001</v>
      </c>
      <c r="CJ148" s="230">
        <v>228200</v>
      </c>
      <c r="CK148" s="230">
        <v>207200</v>
      </c>
      <c r="CL148" s="230">
        <v>21000</v>
      </c>
      <c r="CM148" s="229">
        <v>0.1014</v>
      </c>
      <c r="CN148" s="230">
        <v>15059800</v>
      </c>
      <c r="CO148" s="230">
        <v>14805000</v>
      </c>
      <c r="CP148" s="230">
        <v>254800</v>
      </c>
      <c r="CQ148" s="229">
        <v>1.72E-2</v>
      </c>
      <c r="CR148" s="230">
        <v>7457800</v>
      </c>
      <c r="CS148" s="230">
        <v>7767200</v>
      </c>
      <c r="CT148" s="230">
        <v>-309400</v>
      </c>
      <c r="CU148" s="229">
        <v>-3.9800000000000002E-2</v>
      </c>
      <c r="CV148" s="230">
        <v>42364000</v>
      </c>
      <c r="CW148" s="230">
        <v>41091400</v>
      </c>
      <c r="CX148" s="230">
        <v>1272600</v>
      </c>
      <c r="CY148" s="229">
        <v>3.1E-2</v>
      </c>
      <c r="CZ148" s="228">
        <v>41.23</v>
      </c>
      <c r="DA148" s="228">
        <v>46.16</v>
      </c>
      <c r="DB148" s="228">
        <v>-4.93</v>
      </c>
      <c r="DC148" s="228">
        <v>-4.93</v>
      </c>
      <c r="DD148" s="228">
        <v>42.77</v>
      </c>
      <c r="DE148" s="228">
        <v>42.79</v>
      </c>
      <c r="DF148" s="228">
        <v>-1.54</v>
      </c>
      <c r="DG148" s="228">
        <v>-0.02</v>
      </c>
      <c r="DH148" s="228">
        <v>42.51</v>
      </c>
      <c r="DI148" s="228">
        <v>46.96</v>
      </c>
      <c r="DJ148" s="228">
        <v>-4.45</v>
      </c>
      <c r="DK148" s="228">
        <v>-4.45</v>
      </c>
      <c r="DL148" s="228">
        <v>38.22</v>
      </c>
      <c r="DM148" s="228">
        <v>43.99</v>
      </c>
      <c r="DN148" s="228">
        <v>-5.77</v>
      </c>
      <c r="DO148" s="228">
        <v>-5.77</v>
      </c>
      <c r="DP148" s="228">
        <v>0.5</v>
      </c>
      <c r="DQ148" s="228">
        <v>0.52</v>
      </c>
      <c r="DR148" s="228">
        <v>-0.02</v>
      </c>
      <c r="DS148" s="229">
        <v>-3.85E-2</v>
      </c>
      <c r="DT148" s="228">
        <v>520</v>
      </c>
      <c r="DU148" s="228">
        <v>450</v>
      </c>
      <c r="DV148" s="228">
        <v>0.42</v>
      </c>
      <c r="DW148" s="228">
        <v>0.37</v>
      </c>
      <c r="DX148" s="228">
        <v>0.05</v>
      </c>
      <c r="DY148" s="229">
        <v>0.1351</v>
      </c>
      <c r="DZ148" s="229">
        <v>4.9599999999999998E-2</v>
      </c>
      <c r="EA148" s="230">
        <v>868000</v>
      </c>
      <c r="EB148" s="229">
        <v>2.5999999999999999E-3</v>
      </c>
      <c r="EC148" s="229">
        <v>4.9599999999999998E-2</v>
      </c>
      <c r="ED148" s="228">
        <v>1.81</v>
      </c>
      <c r="EE148" s="229">
        <v>3.8E-3</v>
      </c>
      <c r="EF148" s="230">
        <v>5456402</v>
      </c>
      <c r="EG148" s="230">
        <v>842771</v>
      </c>
      <c r="EH148" s="229">
        <v>5.4744000000000002</v>
      </c>
      <c r="EI148" s="229">
        <v>0.57969999999999999</v>
      </c>
      <c r="EJ148" s="231">
        <v>163551.22</v>
      </c>
      <c r="EK148" s="231">
        <v>64428.32</v>
      </c>
      <c r="EL148" s="231">
        <v>61423.58</v>
      </c>
      <c r="EM148" s="231">
        <v>4449</v>
      </c>
      <c r="EN148" s="231">
        <v>289403.12</v>
      </c>
      <c r="EO148" s="231">
        <v>153056.62</v>
      </c>
      <c r="EP148" s="231">
        <v>136346.5</v>
      </c>
      <c r="EQ148" s="229">
        <v>0.89080000000000004</v>
      </c>
      <c r="ER148" s="231">
        <v>77682</v>
      </c>
      <c r="ES148" s="231">
        <v>34721</v>
      </c>
      <c r="ET148" s="231">
        <v>94048</v>
      </c>
      <c r="EU148" s="231">
        <v>102006452</v>
      </c>
      <c r="EV148" s="231">
        <v>206451</v>
      </c>
      <c r="EW148" s="231">
        <v>202800</v>
      </c>
      <c r="EX148" s="231">
        <v>3651</v>
      </c>
      <c r="EY148" s="229">
        <v>1.7999999999999999E-2</v>
      </c>
      <c r="EZ148" s="229">
        <v>0.4153</v>
      </c>
      <c r="FA148" s="227" t="s">
        <v>567</v>
      </c>
      <c r="FB148" s="161">
        <f t="shared" si="3"/>
        <v>0</v>
      </c>
    </row>
    <row r="149" spans="1:158" ht="17.25" hidden="1" thickBot="1" x14ac:dyDescent="0.3">
      <c r="A149" s="226">
        <v>46064</v>
      </c>
      <c r="B149" s="227" t="s">
        <v>193</v>
      </c>
      <c r="C149" s="227" t="s">
        <v>269</v>
      </c>
      <c r="D149" s="228">
        <v>2250</v>
      </c>
      <c r="E149" s="228">
        <v>272</v>
      </c>
      <c r="F149" s="228">
        <v>269.85000000000002</v>
      </c>
      <c r="G149" s="228">
        <v>2.15</v>
      </c>
      <c r="H149" s="229">
        <v>8.0000000000000002E-3</v>
      </c>
      <c r="I149" s="228">
        <v>274.60000000000002</v>
      </c>
      <c r="J149" s="228">
        <v>272.14999999999998</v>
      </c>
      <c r="K149" s="228">
        <v>2.4500000000000002</v>
      </c>
      <c r="L149" s="229">
        <v>8.9999999999999993E-3</v>
      </c>
      <c r="M149" s="228">
        <v>272</v>
      </c>
      <c r="N149" s="228">
        <v>269.85000000000002</v>
      </c>
      <c r="O149" s="228">
        <v>2.15</v>
      </c>
      <c r="P149" s="229">
        <v>8.0000000000000002E-3</v>
      </c>
      <c r="Q149" s="228">
        <v>273.7</v>
      </c>
      <c r="R149" s="228">
        <v>271.45</v>
      </c>
      <c r="S149" s="228">
        <v>2.25</v>
      </c>
      <c r="T149" s="229">
        <v>8.3000000000000001E-3</v>
      </c>
      <c r="U149" s="228">
        <v>275.2</v>
      </c>
      <c r="V149" s="228">
        <v>273</v>
      </c>
      <c r="W149" s="228">
        <v>2.2000000000000002</v>
      </c>
      <c r="X149" s="229">
        <v>8.0999999999999996E-3</v>
      </c>
      <c r="Y149" s="228">
        <v>-2.6</v>
      </c>
      <c r="Z149" s="228">
        <v>-2.2999999999999998</v>
      </c>
      <c r="AA149" s="228">
        <v>-0.3</v>
      </c>
      <c r="AB149" s="229">
        <v>-9.4999999999999998E-3</v>
      </c>
      <c r="AC149" s="228">
        <v>-2.6</v>
      </c>
      <c r="AD149" s="228">
        <v>-2.2999999999999998</v>
      </c>
      <c r="AE149" s="228">
        <v>-0.3</v>
      </c>
      <c r="AF149" s="229">
        <v>-9.4999999999999998E-3</v>
      </c>
      <c r="AG149" s="228">
        <v>-0.9</v>
      </c>
      <c r="AH149" s="228">
        <v>-0.7</v>
      </c>
      <c r="AI149" s="228">
        <v>-0.2</v>
      </c>
      <c r="AJ149" s="229">
        <v>-3.3E-3</v>
      </c>
      <c r="AK149" s="228">
        <v>0.6</v>
      </c>
      <c r="AL149" s="228">
        <v>0.85</v>
      </c>
      <c r="AM149" s="228">
        <v>-0.25</v>
      </c>
      <c r="AN149" s="229">
        <v>2.2000000000000001E-3</v>
      </c>
      <c r="AO149" s="228">
        <v>268.70999999999998</v>
      </c>
      <c r="AP149" s="228">
        <v>269.64999999999998</v>
      </c>
      <c r="AQ149" s="228">
        <v>0</v>
      </c>
      <c r="AR149" s="230">
        <v>26084250</v>
      </c>
      <c r="AS149" s="230">
        <v>14575500</v>
      </c>
      <c r="AT149" s="230">
        <v>11508750</v>
      </c>
      <c r="AU149" s="229">
        <v>0.78959999999999997</v>
      </c>
      <c r="AV149" s="230">
        <v>23134500</v>
      </c>
      <c r="AW149" s="230">
        <v>13225500</v>
      </c>
      <c r="AX149" s="230">
        <v>9909000</v>
      </c>
      <c r="AY149" s="229">
        <v>0.74919999999999998</v>
      </c>
      <c r="AZ149" s="230">
        <v>2736000</v>
      </c>
      <c r="BA149" s="230">
        <v>1084500</v>
      </c>
      <c r="BB149" s="230">
        <v>1651500</v>
      </c>
      <c r="BC149" s="229">
        <v>1.5227999999999999</v>
      </c>
      <c r="BD149" s="230">
        <v>213750</v>
      </c>
      <c r="BE149" s="230">
        <v>265500</v>
      </c>
      <c r="BF149" s="230">
        <v>-51750</v>
      </c>
      <c r="BG149" s="229">
        <v>-0.19489999999999999</v>
      </c>
      <c r="BH149" s="230">
        <v>102609000</v>
      </c>
      <c r="BI149" s="230">
        <v>55919250</v>
      </c>
      <c r="BJ149" s="230">
        <v>46689750</v>
      </c>
      <c r="BK149" s="229">
        <v>0.83489999999999998</v>
      </c>
      <c r="BL149" s="230">
        <v>34314750</v>
      </c>
      <c r="BM149" s="230">
        <v>18573750</v>
      </c>
      <c r="BN149" s="230">
        <v>15741000</v>
      </c>
      <c r="BO149" s="229">
        <v>0.84750000000000003</v>
      </c>
      <c r="BP149" s="230">
        <v>163008000</v>
      </c>
      <c r="BQ149" s="230">
        <v>89068500</v>
      </c>
      <c r="BR149" s="230">
        <v>73939500</v>
      </c>
      <c r="BS149" s="229">
        <v>0.83009999999999995</v>
      </c>
      <c r="BT149" s="230">
        <v>18865271</v>
      </c>
      <c r="BU149" s="230">
        <v>13820769</v>
      </c>
      <c r="BV149" s="230">
        <v>5044502</v>
      </c>
      <c r="BW149" s="229">
        <v>0.36499999999999999</v>
      </c>
      <c r="BX149" s="230">
        <v>99094500</v>
      </c>
      <c r="BY149" s="230">
        <v>98066250</v>
      </c>
      <c r="BZ149" s="230">
        <v>1028250</v>
      </c>
      <c r="CA149" s="229">
        <v>1.0500000000000001E-2</v>
      </c>
      <c r="CB149" s="230">
        <v>94896000</v>
      </c>
      <c r="CC149" s="230">
        <v>94441500</v>
      </c>
      <c r="CD149" s="230">
        <v>454500</v>
      </c>
      <c r="CE149" s="229">
        <v>4.7999999999999996E-3</v>
      </c>
      <c r="CF149" s="230">
        <v>3636000</v>
      </c>
      <c r="CG149" s="230">
        <v>3093750</v>
      </c>
      <c r="CH149" s="230">
        <v>542250</v>
      </c>
      <c r="CI149" s="229">
        <v>0.17530000000000001</v>
      </c>
      <c r="CJ149" s="230">
        <v>562500</v>
      </c>
      <c r="CK149" s="230">
        <v>531000</v>
      </c>
      <c r="CL149" s="230">
        <v>31500</v>
      </c>
      <c r="CM149" s="229">
        <v>5.9299999999999999E-2</v>
      </c>
      <c r="CN149" s="230">
        <v>93638250</v>
      </c>
      <c r="CO149" s="230">
        <v>87491250</v>
      </c>
      <c r="CP149" s="230">
        <v>6147000</v>
      </c>
      <c r="CQ149" s="229">
        <v>7.0300000000000001E-2</v>
      </c>
      <c r="CR149" s="230">
        <v>39872250</v>
      </c>
      <c r="CS149" s="230">
        <v>36666000</v>
      </c>
      <c r="CT149" s="230">
        <v>3206250</v>
      </c>
      <c r="CU149" s="229">
        <v>8.7400000000000005E-2</v>
      </c>
      <c r="CV149" s="230">
        <v>232605000</v>
      </c>
      <c r="CW149" s="230">
        <v>222223500</v>
      </c>
      <c r="CX149" s="230">
        <v>10381500</v>
      </c>
      <c r="CY149" s="229">
        <v>4.6699999999999998E-2</v>
      </c>
      <c r="CZ149" s="228">
        <v>33.67</v>
      </c>
      <c r="DA149" s="228">
        <v>32.22</v>
      </c>
      <c r="DB149" s="228">
        <v>1.45</v>
      </c>
      <c r="DC149" s="228">
        <v>1.45</v>
      </c>
      <c r="DD149" s="228">
        <v>32.43</v>
      </c>
      <c r="DE149" s="228">
        <v>32.49</v>
      </c>
      <c r="DF149" s="228">
        <v>1.24</v>
      </c>
      <c r="DG149" s="228">
        <v>-0.06</v>
      </c>
      <c r="DH149" s="228">
        <v>33.590000000000003</v>
      </c>
      <c r="DI149" s="228">
        <v>32.07</v>
      </c>
      <c r="DJ149" s="228">
        <v>1.52</v>
      </c>
      <c r="DK149" s="228">
        <v>1.52</v>
      </c>
      <c r="DL149" s="228">
        <v>33.93</v>
      </c>
      <c r="DM149" s="228">
        <v>32.68</v>
      </c>
      <c r="DN149" s="228">
        <v>1.25</v>
      </c>
      <c r="DO149" s="228">
        <v>1.25</v>
      </c>
      <c r="DP149" s="228">
        <v>0.43</v>
      </c>
      <c r="DQ149" s="228">
        <v>0.42</v>
      </c>
      <c r="DR149" s="228">
        <v>0.01</v>
      </c>
      <c r="DS149" s="229">
        <v>2.3800000000000002E-2</v>
      </c>
      <c r="DT149" s="228">
        <v>280</v>
      </c>
      <c r="DU149" s="228">
        <v>250</v>
      </c>
      <c r="DV149" s="228">
        <v>0.33</v>
      </c>
      <c r="DW149" s="228">
        <v>0.33</v>
      </c>
      <c r="DX149" s="228">
        <v>0</v>
      </c>
      <c r="DY149" s="229">
        <v>0</v>
      </c>
      <c r="DZ149" s="229">
        <v>4.24E-2</v>
      </c>
      <c r="EA149" s="230">
        <v>3624750</v>
      </c>
      <c r="EB149" s="229">
        <v>6.1999999999999998E-3</v>
      </c>
      <c r="EC149" s="229">
        <v>4.24E-2</v>
      </c>
      <c r="ED149" s="228">
        <v>0.94</v>
      </c>
      <c r="EE149" s="229">
        <v>3.5000000000000001E-3</v>
      </c>
      <c r="EF149" s="230">
        <v>10071839</v>
      </c>
      <c r="EG149" s="230">
        <v>7670216</v>
      </c>
      <c r="EH149" s="229">
        <v>0.31309999999999999</v>
      </c>
      <c r="EI149" s="229">
        <v>0.53390000000000004</v>
      </c>
      <c r="EJ149" s="231">
        <v>289437.49</v>
      </c>
      <c r="EK149" s="231">
        <v>90885.85</v>
      </c>
      <c r="EL149" s="231">
        <v>70123.3</v>
      </c>
      <c r="EM149" s="231">
        <v>7576</v>
      </c>
      <c r="EN149" s="231">
        <v>450446.64</v>
      </c>
      <c r="EO149" s="231">
        <v>243961.32</v>
      </c>
      <c r="EP149" s="231">
        <v>206485.32</v>
      </c>
      <c r="EQ149" s="229">
        <v>0.84640000000000004</v>
      </c>
      <c r="ER149" s="231">
        <v>255760</v>
      </c>
      <c r="ES149" s="231">
        <v>100469</v>
      </c>
      <c r="ET149" s="231">
        <v>269617</v>
      </c>
      <c r="EU149" s="231">
        <v>517141211</v>
      </c>
      <c r="EV149" s="231">
        <v>625846</v>
      </c>
      <c r="EW149" s="231">
        <v>594426</v>
      </c>
      <c r="EX149" s="231">
        <v>31420</v>
      </c>
      <c r="EY149" s="229">
        <v>5.2900000000000003E-2</v>
      </c>
      <c r="EZ149" s="229">
        <v>0.44979999999999998</v>
      </c>
      <c r="FA149" s="227" t="s">
        <v>555</v>
      </c>
      <c r="FB149" s="161">
        <f t="shared" si="3"/>
        <v>0</v>
      </c>
    </row>
    <row r="150" spans="1:158" ht="17.25" thickBot="1" x14ac:dyDescent="0.3">
      <c r="A150" s="226">
        <v>46064</v>
      </c>
      <c r="B150" s="227" t="s">
        <v>197</v>
      </c>
      <c r="C150" s="227" t="s">
        <v>270</v>
      </c>
      <c r="D150" s="228">
        <v>15</v>
      </c>
      <c r="E150" s="231">
        <v>34485</v>
      </c>
      <c r="F150" s="231">
        <v>34595</v>
      </c>
      <c r="G150" s="228">
        <v>-110</v>
      </c>
      <c r="H150" s="229">
        <v>-3.2000000000000002E-3</v>
      </c>
      <c r="I150" s="231">
        <v>34360</v>
      </c>
      <c r="J150" s="231">
        <v>34600</v>
      </c>
      <c r="K150" s="228">
        <v>-240</v>
      </c>
      <c r="L150" s="229">
        <v>-6.8999999999999999E-3</v>
      </c>
      <c r="M150" s="231">
        <v>34485</v>
      </c>
      <c r="N150" s="231">
        <v>34595</v>
      </c>
      <c r="O150" s="228">
        <v>-110</v>
      </c>
      <c r="P150" s="229">
        <v>-3.2000000000000002E-3</v>
      </c>
      <c r="Q150" s="231">
        <v>33975</v>
      </c>
      <c r="R150" s="231">
        <v>34105</v>
      </c>
      <c r="S150" s="228">
        <v>-130</v>
      </c>
      <c r="T150" s="229">
        <v>-3.8E-3</v>
      </c>
      <c r="U150" s="231">
        <v>33880</v>
      </c>
      <c r="V150" s="231">
        <v>33980</v>
      </c>
      <c r="W150" s="228">
        <v>-100</v>
      </c>
      <c r="X150" s="229">
        <v>-2.8999999999999998E-3</v>
      </c>
      <c r="Y150" s="228">
        <v>125</v>
      </c>
      <c r="Z150" s="228">
        <v>-5</v>
      </c>
      <c r="AA150" s="228">
        <v>130</v>
      </c>
      <c r="AB150" s="229">
        <v>3.5999999999999999E-3</v>
      </c>
      <c r="AC150" s="228">
        <v>125</v>
      </c>
      <c r="AD150" s="228">
        <v>-5</v>
      </c>
      <c r="AE150" s="228">
        <v>130</v>
      </c>
      <c r="AF150" s="229">
        <v>3.5999999999999999E-3</v>
      </c>
      <c r="AG150" s="228">
        <v>-385</v>
      </c>
      <c r="AH150" s="228">
        <v>-495</v>
      </c>
      <c r="AI150" s="228">
        <v>110</v>
      </c>
      <c r="AJ150" s="229">
        <v>-1.12E-2</v>
      </c>
      <c r="AK150" s="228">
        <v>-480</v>
      </c>
      <c r="AL150" s="228">
        <v>-620</v>
      </c>
      <c r="AM150" s="228">
        <v>140</v>
      </c>
      <c r="AN150" s="229">
        <v>-1.4E-2</v>
      </c>
      <c r="AO150" s="231">
        <v>34420.019999999997</v>
      </c>
      <c r="AP150" s="231">
        <v>33936.92</v>
      </c>
      <c r="AQ150" s="228">
        <v>0</v>
      </c>
      <c r="AR150" s="230">
        <v>68490</v>
      </c>
      <c r="AS150" s="230">
        <v>34770</v>
      </c>
      <c r="AT150" s="230">
        <v>33720</v>
      </c>
      <c r="AU150" s="229">
        <v>0.9698</v>
      </c>
      <c r="AV150" s="230">
        <v>62475</v>
      </c>
      <c r="AW150" s="230">
        <v>29400</v>
      </c>
      <c r="AX150" s="230">
        <v>33075</v>
      </c>
      <c r="AY150" s="229">
        <v>1.125</v>
      </c>
      <c r="AZ150" s="230">
        <v>5025</v>
      </c>
      <c r="BA150" s="230">
        <v>4920</v>
      </c>
      <c r="BB150" s="228">
        <v>105</v>
      </c>
      <c r="BC150" s="229">
        <v>2.1299999999999999E-2</v>
      </c>
      <c r="BD150" s="228">
        <v>990</v>
      </c>
      <c r="BE150" s="228">
        <v>450</v>
      </c>
      <c r="BF150" s="228">
        <v>540</v>
      </c>
      <c r="BG150" s="229">
        <v>1.2</v>
      </c>
      <c r="BH150" s="230">
        <v>216945</v>
      </c>
      <c r="BI150" s="230">
        <v>196965</v>
      </c>
      <c r="BJ150" s="230">
        <v>19980</v>
      </c>
      <c r="BK150" s="229">
        <v>0.1014</v>
      </c>
      <c r="BL150" s="230">
        <v>76935</v>
      </c>
      <c r="BM150" s="230">
        <v>67215</v>
      </c>
      <c r="BN150" s="230">
        <v>9720</v>
      </c>
      <c r="BO150" s="229">
        <v>0.14460000000000001</v>
      </c>
      <c r="BP150" s="230">
        <v>362370</v>
      </c>
      <c r="BQ150" s="230">
        <v>298950</v>
      </c>
      <c r="BR150" s="230">
        <v>63420</v>
      </c>
      <c r="BS150" s="229">
        <v>0.21210000000000001</v>
      </c>
      <c r="BT150" s="230">
        <v>36066</v>
      </c>
      <c r="BU150" s="230">
        <v>14475</v>
      </c>
      <c r="BV150" s="230">
        <v>21591</v>
      </c>
      <c r="BW150" s="229">
        <v>1.4916</v>
      </c>
      <c r="BX150" s="230">
        <v>286590</v>
      </c>
      <c r="BY150" s="230">
        <v>282930</v>
      </c>
      <c r="BZ150" s="230">
        <v>3660</v>
      </c>
      <c r="CA150" s="229">
        <v>1.29E-2</v>
      </c>
      <c r="CB150" s="230">
        <v>259245</v>
      </c>
      <c r="CC150" s="230">
        <v>256980</v>
      </c>
      <c r="CD150" s="230">
        <v>2265</v>
      </c>
      <c r="CE150" s="229">
        <v>8.8000000000000005E-3</v>
      </c>
      <c r="CF150" s="230">
        <v>24345</v>
      </c>
      <c r="CG150" s="230">
        <v>23490</v>
      </c>
      <c r="CH150" s="228">
        <v>855</v>
      </c>
      <c r="CI150" s="229">
        <v>3.6400000000000002E-2</v>
      </c>
      <c r="CJ150" s="230">
        <v>3000</v>
      </c>
      <c r="CK150" s="230">
        <v>2460</v>
      </c>
      <c r="CL150" s="228">
        <v>540</v>
      </c>
      <c r="CM150" s="229">
        <v>0.2195</v>
      </c>
      <c r="CN150" s="230">
        <v>147120</v>
      </c>
      <c r="CO150" s="230">
        <v>139815</v>
      </c>
      <c r="CP150" s="230">
        <v>7305</v>
      </c>
      <c r="CQ150" s="229">
        <v>5.2200000000000003E-2</v>
      </c>
      <c r="CR150" s="230">
        <v>67515</v>
      </c>
      <c r="CS150" s="230">
        <v>67665</v>
      </c>
      <c r="CT150" s="228">
        <v>-150</v>
      </c>
      <c r="CU150" s="229">
        <v>-2.2000000000000001E-3</v>
      </c>
      <c r="CV150" s="230">
        <v>501225</v>
      </c>
      <c r="CW150" s="230">
        <v>490410</v>
      </c>
      <c r="CX150" s="230">
        <v>10815</v>
      </c>
      <c r="CY150" s="229">
        <v>2.2100000000000002E-2</v>
      </c>
      <c r="CZ150" s="228">
        <v>29.17</v>
      </c>
      <c r="DA150" s="228">
        <v>30.64</v>
      </c>
      <c r="DB150" s="228">
        <v>-1.47</v>
      </c>
      <c r="DC150" s="228">
        <v>-1.47</v>
      </c>
      <c r="DD150" s="228">
        <v>27.63</v>
      </c>
      <c r="DE150" s="228">
        <v>27.69</v>
      </c>
      <c r="DF150" s="228">
        <v>1.54</v>
      </c>
      <c r="DG150" s="228">
        <v>-0.06</v>
      </c>
      <c r="DH150" s="228">
        <v>29.74</v>
      </c>
      <c r="DI150" s="228">
        <v>31.61</v>
      </c>
      <c r="DJ150" s="228">
        <v>-1.87</v>
      </c>
      <c r="DK150" s="228">
        <v>-1.87</v>
      </c>
      <c r="DL150" s="228">
        <v>27.55</v>
      </c>
      <c r="DM150" s="228">
        <v>27.78</v>
      </c>
      <c r="DN150" s="228">
        <v>-0.23</v>
      </c>
      <c r="DO150" s="228">
        <v>-0.23</v>
      </c>
      <c r="DP150" s="228">
        <v>0.46</v>
      </c>
      <c r="DQ150" s="228">
        <v>0.48</v>
      </c>
      <c r="DR150" s="228">
        <v>-0.02</v>
      </c>
      <c r="DS150" s="229">
        <v>-4.1700000000000001E-2</v>
      </c>
      <c r="DT150" s="231">
        <v>40000</v>
      </c>
      <c r="DU150" s="231">
        <v>32000</v>
      </c>
      <c r="DV150" s="228">
        <v>0.35</v>
      </c>
      <c r="DW150" s="228">
        <v>0.34</v>
      </c>
      <c r="DX150" s="228">
        <v>0.01</v>
      </c>
      <c r="DY150" s="229">
        <v>2.9399999999999999E-2</v>
      </c>
      <c r="DZ150" s="229">
        <v>9.5399999999999999E-2</v>
      </c>
      <c r="EA150" s="230">
        <v>25950</v>
      </c>
      <c r="EB150" s="229">
        <v>-1.4800000000000001E-2</v>
      </c>
      <c r="EC150" s="229">
        <v>9.5399999999999999E-2</v>
      </c>
      <c r="ED150" s="228">
        <v>-483.1</v>
      </c>
      <c r="EE150" s="229">
        <v>-1.4E-2</v>
      </c>
      <c r="EF150" s="230">
        <v>20607</v>
      </c>
      <c r="EG150" s="230">
        <v>7671</v>
      </c>
      <c r="EH150" s="229">
        <v>1.6863999999999999</v>
      </c>
      <c r="EI150" s="229">
        <v>0.57140000000000002</v>
      </c>
      <c r="EJ150" s="231">
        <v>80310.710000000006</v>
      </c>
      <c r="EK150" s="231">
        <v>25575.5</v>
      </c>
      <c r="EL150" s="231">
        <v>23543.22</v>
      </c>
      <c r="EM150" s="231">
        <v>6371</v>
      </c>
      <c r="EN150" s="231">
        <v>129429.43</v>
      </c>
      <c r="EO150" s="231">
        <v>109264.59</v>
      </c>
      <c r="EP150" s="231">
        <v>20164.84</v>
      </c>
      <c r="EQ150" s="229">
        <v>0.18459999999999999</v>
      </c>
      <c r="ER150" s="231">
        <v>54433</v>
      </c>
      <c r="ES150" s="231">
        <v>22551</v>
      </c>
      <c r="ET150" s="231">
        <v>98688</v>
      </c>
      <c r="EU150" s="231">
        <v>955549</v>
      </c>
      <c r="EV150" s="231">
        <v>175672</v>
      </c>
      <c r="EW150" s="231">
        <v>172079</v>
      </c>
      <c r="EX150" s="231">
        <v>3593</v>
      </c>
      <c r="EY150" s="229">
        <v>2.0899999999999998E-2</v>
      </c>
      <c r="EZ150" s="229">
        <v>0.52449999999999997</v>
      </c>
      <c r="FA150" s="227" t="s">
        <v>567</v>
      </c>
      <c r="FB150" s="161">
        <f t="shared" si="3"/>
        <v>0</v>
      </c>
    </row>
    <row r="151" spans="1:158" ht="17.25" thickBot="1" x14ac:dyDescent="0.3">
      <c r="A151" s="226">
        <v>46064</v>
      </c>
      <c r="B151" s="227" t="s">
        <v>168</v>
      </c>
      <c r="C151" s="227" t="s">
        <v>665</v>
      </c>
      <c r="D151" s="228">
        <v>900</v>
      </c>
      <c r="E151" s="228">
        <v>521.95000000000005</v>
      </c>
      <c r="F151" s="228">
        <v>521.45000000000005</v>
      </c>
      <c r="G151" s="228">
        <v>0.5</v>
      </c>
      <c r="H151" s="229">
        <v>1E-3</v>
      </c>
      <c r="I151" s="228">
        <v>521.75</v>
      </c>
      <c r="J151" s="228">
        <v>521.54999999999995</v>
      </c>
      <c r="K151" s="228">
        <v>0.2</v>
      </c>
      <c r="L151" s="229">
        <v>4.0000000000000002E-4</v>
      </c>
      <c r="M151" s="228">
        <v>521.95000000000005</v>
      </c>
      <c r="N151" s="228">
        <v>521.45000000000005</v>
      </c>
      <c r="O151" s="228">
        <v>0.5</v>
      </c>
      <c r="P151" s="229">
        <v>1E-3</v>
      </c>
      <c r="Q151" s="228">
        <v>524.79999999999995</v>
      </c>
      <c r="R151" s="228">
        <v>523.35</v>
      </c>
      <c r="S151" s="228">
        <v>1.45</v>
      </c>
      <c r="T151" s="229">
        <v>2.8E-3</v>
      </c>
      <c r="U151" s="228">
        <v>529.95000000000005</v>
      </c>
      <c r="V151" s="228">
        <v>526.95000000000005</v>
      </c>
      <c r="W151" s="228">
        <v>3</v>
      </c>
      <c r="X151" s="229">
        <v>5.7000000000000002E-3</v>
      </c>
      <c r="Y151" s="228">
        <v>0.2</v>
      </c>
      <c r="Z151" s="228">
        <v>-0.1</v>
      </c>
      <c r="AA151" s="228">
        <v>0.3</v>
      </c>
      <c r="AB151" s="229">
        <v>4.0000000000000002E-4</v>
      </c>
      <c r="AC151" s="228">
        <v>0.2</v>
      </c>
      <c r="AD151" s="228">
        <v>-0.1</v>
      </c>
      <c r="AE151" s="228">
        <v>0.3</v>
      </c>
      <c r="AF151" s="229">
        <v>4.0000000000000002E-4</v>
      </c>
      <c r="AG151" s="228">
        <v>3.05</v>
      </c>
      <c r="AH151" s="228">
        <v>1.8</v>
      </c>
      <c r="AI151" s="228">
        <v>1.25</v>
      </c>
      <c r="AJ151" s="229">
        <v>5.7999999999999996E-3</v>
      </c>
      <c r="AK151" s="228">
        <v>8.1999999999999993</v>
      </c>
      <c r="AL151" s="228">
        <v>5.4</v>
      </c>
      <c r="AM151" s="228">
        <v>2.8</v>
      </c>
      <c r="AN151" s="229">
        <v>1.5699999999999999E-2</v>
      </c>
      <c r="AO151" s="228">
        <v>522.41</v>
      </c>
      <c r="AP151" s="228">
        <v>527.25</v>
      </c>
      <c r="AQ151" s="228">
        <v>0</v>
      </c>
      <c r="AR151" s="230">
        <v>3051000</v>
      </c>
      <c r="AS151" s="230">
        <v>4460400</v>
      </c>
      <c r="AT151" s="230">
        <v>-1409400</v>
      </c>
      <c r="AU151" s="229">
        <v>-0.316</v>
      </c>
      <c r="AV151" s="230">
        <v>2907900</v>
      </c>
      <c r="AW151" s="230">
        <v>4319100</v>
      </c>
      <c r="AX151" s="230">
        <v>-1411200</v>
      </c>
      <c r="AY151" s="229">
        <v>-0.32669999999999999</v>
      </c>
      <c r="AZ151" s="230">
        <v>137700</v>
      </c>
      <c r="BA151" s="230">
        <v>130500</v>
      </c>
      <c r="BB151" s="230">
        <v>7200</v>
      </c>
      <c r="BC151" s="229">
        <v>5.5199999999999999E-2</v>
      </c>
      <c r="BD151" s="230">
        <v>5400</v>
      </c>
      <c r="BE151" s="230">
        <v>10800</v>
      </c>
      <c r="BF151" s="230">
        <v>-5400</v>
      </c>
      <c r="BG151" s="229">
        <v>-0.5</v>
      </c>
      <c r="BH151" s="230">
        <v>7825500</v>
      </c>
      <c r="BI151" s="230">
        <v>6510600</v>
      </c>
      <c r="BJ151" s="230">
        <v>1314900</v>
      </c>
      <c r="BK151" s="229">
        <v>0.20200000000000001</v>
      </c>
      <c r="BL151" s="230">
        <v>4179600</v>
      </c>
      <c r="BM151" s="230">
        <v>5223600</v>
      </c>
      <c r="BN151" s="230">
        <v>-1044000</v>
      </c>
      <c r="BO151" s="229">
        <v>-0.19989999999999999</v>
      </c>
      <c r="BP151" s="230">
        <v>15056100</v>
      </c>
      <c r="BQ151" s="230">
        <v>16194600</v>
      </c>
      <c r="BR151" s="230">
        <v>-1138500</v>
      </c>
      <c r="BS151" s="229">
        <v>-7.0300000000000001E-2</v>
      </c>
      <c r="BT151" s="230">
        <v>2214056</v>
      </c>
      <c r="BU151" s="230">
        <v>2895911</v>
      </c>
      <c r="BV151" s="230">
        <v>-681855</v>
      </c>
      <c r="BW151" s="229">
        <v>-0.23549999999999999</v>
      </c>
      <c r="BX151" s="230">
        <v>37269000</v>
      </c>
      <c r="BY151" s="230">
        <v>37428300</v>
      </c>
      <c r="BZ151" s="230">
        <v>-159300</v>
      </c>
      <c r="CA151" s="229">
        <v>-4.3E-3</v>
      </c>
      <c r="CB151" s="230">
        <v>36943200</v>
      </c>
      <c r="CC151" s="230">
        <v>37153800</v>
      </c>
      <c r="CD151" s="230">
        <v>-210600</v>
      </c>
      <c r="CE151" s="229">
        <v>-5.7000000000000002E-3</v>
      </c>
      <c r="CF151" s="230">
        <v>299700</v>
      </c>
      <c r="CG151" s="230">
        <v>244800</v>
      </c>
      <c r="CH151" s="230">
        <v>54900</v>
      </c>
      <c r="CI151" s="229">
        <v>0.2243</v>
      </c>
      <c r="CJ151" s="230">
        <v>26100</v>
      </c>
      <c r="CK151" s="230">
        <v>29700</v>
      </c>
      <c r="CL151" s="230">
        <v>-3600</v>
      </c>
      <c r="CM151" s="229">
        <v>-0.1212</v>
      </c>
      <c r="CN151" s="230">
        <v>5442300</v>
      </c>
      <c r="CO151" s="230">
        <v>3807000</v>
      </c>
      <c r="CP151" s="230">
        <v>1635300</v>
      </c>
      <c r="CQ151" s="229">
        <v>0.42959999999999998</v>
      </c>
      <c r="CR151" s="230">
        <v>5663700</v>
      </c>
      <c r="CS151" s="230">
        <v>4443300</v>
      </c>
      <c r="CT151" s="230">
        <v>1220400</v>
      </c>
      <c r="CU151" s="229">
        <v>0.2747</v>
      </c>
      <c r="CV151" s="230">
        <v>48375000</v>
      </c>
      <c r="CW151" s="230">
        <v>45678600</v>
      </c>
      <c r="CX151" s="230">
        <v>2696400</v>
      </c>
      <c r="CY151" s="229">
        <v>5.8999999999999997E-2</v>
      </c>
      <c r="CZ151" s="228">
        <v>44.59</v>
      </c>
      <c r="DA151" s="228">
        <v>43.43</v>
      </c>
      <c r="DB151" s="228">
        <v>1.1599999999999999</v>
      </c>
      <c r="DC151" s="228">
        <v>1.1599999999999999</v>
      </c>
      <c r="DD151" s="228">
        <v>32.729999999999997</v>
      </c>
      <c r="DE151" s="228">
        <v>32.81</v>
      </c>
      <c r="DF151" s="228">
        <v>11.86</v>
      </c>
      <c r="DG151" s="228">
        <v>-0.08</v>
      </c>
      <c r="DH151" s="228">
        <v>45.02</v>
      </c>
      <c r="DI151" s="228">
        <v>43.31</v>
      </c>
      <c r="DJ151" s="228">
        <v>1.71</v>
      </c>
      <c r="DK151" s="228">
        <v>1.71</v>
      </c>
      <c r="DL151" s="228">
        <v>43.79</v>
      </c>
      <c r="DM151" s="228">
        <v>43.59</v>
      </c>
      <c r="DN151" s="228">
        <v>0.2</v>
      </c>
      <c r="DO151" s="228">
        <v>0.2</v>
      </c>
      <c r="DP151" s="228">
        <v>1.04</v>
      </c>
      <c r="DQ151" s="228">
        <v>1.17</v>
      </c>
      <c r="DR151" s="228">
        <v>-0.13</v>
      </c>
      <c r="DS151" s="229">
        <v>-0.1111</v>
      </c>
      <c r="DT151" s="228">
        <v>550</v>
      </c>
      <c r="DU151" s="228">
        <v>510</v>
      </c>
      <c r="DV151" s="228">
        <v>0.53</v>
      </c>
      <c r="DW151" s="228">
        <v>0.8</v>
      </c>
      <c r="DX151" s="228">
        <v>-0.27</v>
      </c>
      <c r="DY151" s="229">
        <v>-0.33750000000000002</v>
      </c>
      <c r="DZ151" s="229">
        <v>8.6999999999999994E-3</v>
      </c>
      <c r="EA151" s="230">
        <v>274500</v>
      </c>
      <c r="EB151" s="229">
        <v>5.4999999999999997E-3</v>
      </c>
      <c r="EC151" s="229">
        <v>8.6999999999999994E-3</v>
      </c>
      <c r="ED151" s="228">
        <v>4.84</v>
      </c>
      <c r="EE151" s="229">
        <v>9.2999999999999992E-3</v>
      </c>
      <c r="EF151" s="230">
        <v>1452799</v>
      </c>
      <c r="EG151" s="230">
        <v>1464258</v>
      </c>
      <c r="EH151" s="229">
        <v>-7.7999999999999996E-3</v>
      </c>
      <c r="EI151" s="229">
        <v>0.65620000000000001</v>
      </c>
      <c r="EJ151" s="231">
        <v>43388.160000000003</v>
      </c>
      <c r="EK151" s="231">
        <v>21617.439999999999</v>
      </c>
      <c r="EL151" s="231">
        <v>15945.79</v>
      </c>
      <c r="EM151" s="231">
        <v>6499</v>
      </c>
      <c r="EN151" s="231">
        <v>80951.39</v>
      </c>
      <c r="EO151" s="231">
        <v>87623.73</v>
      </c>
      <c r="EP151" s="231">
        <v>-6672.34</v>
      </c>
      <c r="EQ151" s="229">
        <v>-7.6100000000000001E-2</v>
      </c>
      <c r="ER151" s="231">
        <v>29583</v>
      </c>
      <c r="ES151" s="231">
        <v>28912</v>
      </c>
      <c r="ET151" s="231">
        <v>194536</v>
      </c>
      <c r="EU151" s="231">
        <v>50886533</v>
      </c>
      <c r="EV151" s="231">
        <v>253031</v>
      </c>
      <c r="EW151" s="231">
        <v>238517</v>
      </c>
      <c r="EX151" s="231">
        <v>14514</v>
      </c>
      <c r="EY151" s="229">
        <v>6.0900000000000003E-2</v>
      </c>
      <c r="EZ151" s="229">
        <v>0.9506</v>
      </c>
      <c r="FA151" s="227" t="s">
        <v>556</v>
      </c>
      <c r="FB151" s="161">
        <f t="shared" si="3"/>
        <v>0</v>
      </c>
    </row>
    <row r="152" spans="1:158" ht="17.25" thickBot="1" x14ac:dyDescent="0.3">
      <c r="A152" s="226">
        <v>46064</v>
      </c>
      <c r="B152" s="227" t="s">
        <v>615</v>
      </c>
      <c r="C152" s="227" t="s">
        <v>575</v>
      </c>
      <c r="D152" s="228">
        <v>725</v>
      </c>
      <c r="E152" s="231">
        <v>1163.2</v>
      </c>
      <c r="F152" s="231">
        <v>1164.3</v>
      </c>
      <c r="G152" s="228">
        <v>-1.1000000000000001</v>
      </c>
      <c r="H152" s="229">
        <v>-8.9999999999999998E-4</v>
      </c>
      <c r="I152" s="231">
        <v>1160</v>
      </c>
      <c r="J152" s="231">
        <v>1161.3</v>
      </c>
      <c r="K152" s="228">
        <v>-1.3</v>
      </c>
      <c r="L152" s="229">
        <v>-1.1000000000000001E-3</v>
      </c>
      <c r="M152" s="231">
        <v>1163.2</v>
      </c>
      <c r="N152" s="231">
        <v>1164.3</v>
      </c>
      <c r="O152" s="228">
        <v>-1.1000000000000001</v>
      </c>
      <c r="P152" s="229">
        <v>-8.9999999999999998E-4</v>
      </c>
      <c r="Q152" s="231">
        <v>1170.5999999999999</v>
      </c>
      <c r="R152" s="231">
        <v>1173.0999999999999</v>
      </c>
      <c r="S152" s="228">
        <v>-2.5</v>
      </c>
      <c r="T152" s="229">
        <v>-2.0999999999999999E-3</v>
      </c>
      <c r="U152" s="231">
        <v>1179.3</v>
      </c>
      <c r="V152" s="231">
        <v>1181.2</v>
      </c>
      <c r="W152" s="228">
        <v>-1.9</v>
      </c>
      <c r="X152" s="229">
        <v>-1.6000000000000001E-3</v>
      </c>
      <c r="Y152" s="228">
        <v>3.2</v>
      </c>
      <c r="Z152" s="228">
        <v>3</v>
      </c>
      <c r="AA152" s="228">
        <v>0.2</v>
      </c>
      <c r="AB152" s="229">
        <v>2.8E-3</v>
      </c>
      <c r="AC152" s="228">
        <v>3.2</v>
      </c>
      <c r="AD152" s="228">
        <v>3</v>
      </c>
      <c r="AE152" s="228">
        <v>0.2</v>
      </c>
      <c r="AF152" s="229">
        <v>2.8E-3</v>
      </c>
      <c r="AG152" s="228">
        <v>10.6</v>
      </c>
      <c r="AH152" s="228">
        <v>11.8</v>
      </c>
      <c r="AI152" s="228">
        <v>-1.2</v>
      </c>
      <c r="AJ152" s="229">
        <v>9.1000000000000004E-3</v>
      </c>
      <c r="AK152" s="228">
        <v>19.3</v>
      </c>
      <c r="AL152" s="228">
        <v>19.899999999999999</v>
      </c>
      <c r="AM152" s="228">
        <v>-0.6</v>
      </c>
      <c r="AN152" s="229">
        <v>1.66E-2</v>
      </c>
      <c r="AO152" s="231">
        <v>1162.45</v>
      </c>
      <c r="AP152" s="231">
        <v>1168.47</v>
      </c>
      <c r="AQ152" s="228">
        <v>0</v>
      </c>
      <c r="AR152" s="230">
        <v>3819300</v>
      </c>
      <c r="AS152" s="230">
        <v>6240800</v>
      </c>
      <c r="AT152" s="230">
        <v>-2421500</v>
      </c>
      <c r="AU152" s="229">
        <v>-0.38800000000000001</v>
      </c>
      <c r="AV152" s="230">
        <v>3433600</v>
      </c>
      <c r="AW152" s="230">
        <v>5787675</v>
      </c>
      <c r="AX152" s="230">
        <v>-2354075</v>
      </c>
      <c r="AY152" s="229">
        <v>-0.40670000000000001</v>
      </c>
      <c r="AZ152" s="230">
        <v>363225</v>
      </c>
      <c r="BA152" s="230">
        <v>416150</v>
      </c>
      <c r="BB152" s="230">
        <v>-52925</v>
      </c>
      <c r="BC152" s="229">
        <v>-0.12720000000000001</v>
      </c>
      <c r="BD152" s="230">
        <v>22475</v>
      </c>
      <c r="BE152" s="230">
        <v>36975</v>
      </c>
      <c r="BF152" s="230">
        <v>-14500</v>
      </c>
      <c r="BG152" s="229">
        <v>-0.39219999999999999</v>
      </c>
      <c r="BH152" s="230">
        <v>10616175</v>
      </c>
      <c r="BI152" s="230">
        <v>17477575</v>
      </c>
      <c r="BJ152" s="230">
        <v>-6861400</v>
      </c>
      <c r="BK152" s="229">
        <v>-0.3926</v>
      </c>
      <c r="BL152" s="230">
        <v>3666325</v>
      </c>
      <c r="BM152" s="230">
        <v>9075550</v>
      </c>
      <c r="BN152" s="230">
        <v>-5409225</v>
      </c>
      <c r="BO152" s="229">
        <v>-0.59599999999999997</v>
      </c>
      <c r="BP152" s="230">
        <v>18101800</v>
      </c>
      <c r="BQ152" s="230">
        <v>32793925</v>
      </c>
      <c r="BR152" s="230">
        <v>-14692125</v>
      </c>
      <c r="BS152" s="229">
        <v>-0.44800000000000001</v>
      </c>
      <c r="BT152" s="230">
        <v>2711811</v>
      </c>
      <c r="BU152" s="230">
        <v>4511360</v>
      </c>
      <c r="BV152" s="230">
        <v>-1799549</v>
      </c>
      <c r="BW152" s="229">
        <v>-0.39889999999999998</v>
      </c>
      <c r="BX152" s="230">
        <v>17669700</v>
      </c>
      <c r="BY152" s="230">
        <v>17114350</v>
      </c>
      <c r="BZ152" s="230">
        <v>555350</v>
      </c>
      <c r="CA152" s="229">
        <v>3.2399999999999998E-2</v>
      </c>
      <c r="CB152" s="230">
        <v>17067225</v>
      </c>
      <c r="CC152" s="230">
        <v>16617725</v>
      </c>
      <c r="CD152" s="230">
        <v>449500</v>
      </c>
      <c r="CE152" s="229">
        <v>2.7E-2</v>
      </c>
      <c r="CF152" s="230">
        <v>529975</v>
      </c>
      <c r="CG152" s="230">
        <v>429925</v>
      </c>
      <c r="CH152" s="230">
        <v>100050</v>
      </c>
      <c r="CI152" s="229">
        <v>0.23269999999999999</v>
      </c>
      <c r="CJ152" s="230">
        <v>72500</v>
      </c>
      <c r="CK152" s="230">
        <v>66700</v>
      </c>
      <c r="CL152" s="230">
        <v>5800</v>
      </c>
      <c r="CM152" s="229">
        <v>8.6999999999999994E-2</v>
      </c>
      <c r="CN152" s="230">
        <v>12724475</v>
      </c>
      <c r="CO152" s="230">
        <v>12256125</v>
      </c>
      <c r="CP152" s="230">
        <v>468350</v>
      </c>
      <c r="CQ152" s="229">
        <v>3.8199999999999998E-2</v>
      </c>
      <c r="CR152" s="230">
        <v>6119000</v>
      </c>
      <c r="CS152" s="230">
        <v>6058100</v>
      </c>
      <c r="CT152" s="230">
        <v>60900</v>
      </c>
      <c r="CU152" s="229">
        <v>1.01E-2</v>
      </c>
      <c r="CV152" s="230">
        <v>36513175</v>
      </c>
      <c r="CW152" s="230">
        <v>35428575</v>
      </c>
      <c r="CX152" s="230">
        <v>1084600</v>
      </c>
      <c r="CY152" s="229">
        <v>3.0599999999999999E-2</v>
      </c>
      <c r="CZ152" s="228">
        <v>39.47</v>
      </c>
      <c r="DA152" s="228">
        <v>40</v>
      </c>
      <c r="DB152" s="228">
        <v>-0.53</v>
      </c>
      <c r="DC152" s="228">
        <v>-0.53</v>
      </c>
      <c r="DD152" s="228">
        <v>51.52</v>
      </c>
      <c r="DE152" s="228">
        <v>51.65</v>
      </c>
      <c r="DF152" s="228">
        <v>-12.05</v>
      </c>
      <c r="DG152" s="228">
        <v>-0.13</v>
      </c>
      <c r="DH152" s="228">
        <v>39.520000000000003</v>
      </c>
      <c r="DI152" s="228">
        <v>40.17</v>
      </c>
      <c r="DJ152" s="228">
        <v>-0.65</v>
      </c>
      <c r="DK152" s="228">
        <v>-0.65</v>
      </c>
      <c r="DL152" s="228">
        <v>39.33</v>
      </c>
      <c r="DM152" s="228">
        <v>39.65</v>
      </c>
      <c r="DN152" s="228">
        <v>-0.32</v>
      </c>
      <c r="DO152" s="228">
        <v>-0.32</v>
      </c>
      <c r="DP152" s="228">
        <v>0.48</v>
      </c>
      <c r="DQ152" s="228">
        <v>0.49</v>
      </c>
      <c r="DR152" s="228">
        <v>-0.01</v>
      </c>
      <c r="DS152" s="229">
        <v>-2.0400000000000001E-2</v>
      </c>
      <c r="DT152" s="231">
        <v>1200</v>
      </c>
      <c r="DU152" s="231">
        <v>1100</v>
      </c>
      <c r="DV152" s="228">
        <v>0.35</v>
      </c>
      <c r="DW152" s="228">
        <v>0.52</v>
      </c>
      <c r="DX152" s="228">
        <v>-0.17</v>
      </c>
      <c r="DY152" s="229">
        <v>-0.32690000000000002</v>
      </c>
      <c r="DZ152" s="229">
        <v>3.4099999999999998E-2</v>
      </c>
      <c r="EA152" s="230">
        <v>496625</v>
      </c>
      <c r="EB152" s="229">
        <v>6.4000000000000003E-3</v>
      </c>
      <c r="EC152" s="229">
        <v>3.4099999999999998E-2</v>
      </c>
      <c r="ED152" s="228">
        <v>6.02</v>
      </c>
      <c r="EE152" s="229">
        <v>5.1999999999999998E-3</v>
      </c>
      <c r="EF152" s="230">
        <v>1306795</v>
      </c>
      <c r="EG152" s="230">
        <v>2224522</v>
      </c>
      <c r="EH152" s="229">
        <v>-0.41260000000000002</v>
      </c>
      <c r="EI152" s="229">
        <v>0.4819</v>
      </c>
      <c r="EJ152" s="231">
        <v>131109.82999999999</v>
      </c>
      <c r="EK152" s="231">
        <v>42569.440000000002</v>
      </c>
      <c r="EL152" s="231">
        <v>44422.84</v>
      </c>
      <c r="EM152" s="231">
        <v>4970</v>
      </c>
      <c r="EN152" s="231">
        <v>218102.11</v>
      </c>
      <c r="EO152" s="231">
        <v>393424.52</v>
      </c>
      <c r="EP152" s="231">
        <v>-175322.41</v>
      </c>
      <c r="EQ152" s="229">
        <v>-0.4456</v>
      </c>
      <c r="ER152" s="231">
        <v>159281</v>
      </c>
      <c r="ES152" s="231">
        <v>70005</v>
      </c>
      <c r="ET152" s="231">
        <v>205585</v>
      </c>
      <c r="EU152" s="231">
        <v>95799519</v>
      </c>
      <c r="EV152" s="231">
        <v>434871</v>
      </c>
      <c r="EW152" s="231">
        <v>422398</v>
      </c>
      <c r="EX152" s="231">
        <v>12473</v>
      </c>
      <c r="EY152" s="229">
        <v>2.9499999999999998E-2</v>
      </c>
      <c r="EZ152" s="229">
        <v>0.38109999999999999</v>
      </c>
      <c r="FA152" s="227" t="s">
        <v>567</v>
      </c>
      <c r="FB152" s="161">
        <f t="shared" si="3"/>
        <v>0</v>
      </c>
    </row>
    <row r="153" spans="1:158" ht="17.25" thickBot="1" x14ac:dyDescent="0.3">
      <c r="A153" s="226">
        <v>46064</v>
      </c>
      <c r="B153" s="227" t="s">
        <v>221</v>
      </c>
      <c r="C153" s="227" t="s">
        <v>529</v>
      </c>
      <c r="D153" s="228">
        <v>100</v>
      </c>
      <c r="E153" s="231">
        <v>5714</v>
      </c>
      <c r="F153" s="231">
        <v>5870</v>
      </c>
      <c r="G153" s="228">
        <v>-156</v>
      </c>
      <c r="H153" s="229">
        <v>-2.6599999999999999E-2</v>
      </c>
      <c r="I153" s="231">
        <v>5724</v>
      </c>
      <c r="J153" s="231">
        <v>5872.5</v>
      </c>
      <c r="K153" s="228">
        <v>-148.5</v>
      </c>
      <c r="L153" s="229">
        <v>-2.53E-2</v>
      </c>
      <c r="M153" s="231">
        <v>5714</v>
      </c>
      <c r="N153" s="231">
        <v>5870</v>
      </c>
      <c r="O153" s="228">
        <v>-156</v>
      </c>
      <c r="P153" s="229">
        <v>-2.6599999999999999E-2</v>
      </c>
      <c r="Q153" s="231">
        <v>5726.5</v>
      </c>
      <c r="R153" s="231">
        <v>5898</v>
      </c>
      <c r="S153" s="228">
        <v>-171.5</v>
      </c>
      <c r="T153" s="229">
        <v>-2.9100000000000001E-2</v>
      </c>
      <c r="U153" s="231">
        <v>5769.5</v>
      </c>
      <c r="V153" s="231">
        <v>5936</v>
      </c>
      <c r="W153" s="228">
        <v>-166.5</v>
      </c>
      <c r="X153" s="229">
        <v>-2.8000000000000001E-2</v>
      </c>
      <c r="Y153" s="228">
        <v>-10</v>
      </c>
      <c r="Z153" s="228">
        <v>-2.5</v>
      </c>
      <c r="AA153" s="228">
        <v>-7.5</v>
      </c>
      <c r="AB153" s="229">
        <v>-1.6999999999999999E-3</v>
      </c>
      <c r="AC153" s="228">
        <v>-10</v>
      </c>
      <c r="AD153" s="228">
        <v>-2.5</v>
      </c>
      <c r="AE153" s="228">
        <v>-7.5</v>
      </c>
      <c r="AF153" s="229">
        <v>-1.6999999999999999E-3</v>
      </c>
      <c r="AG153" s="228">
        <v>2.5</v>
      </c>
      <c r="AH153" s="228">
        <v>25.5</v>
      </c>
      <c r="AI153" s="228">
        <v>-23</v>
      </c>
      <c r="AJ153" s="229">
        <v>4.0000000000000002E-4</v>
      </c>
      <c r="AK153" s="228">
        <v>45.5</v>
      </c>
      <c r="AL153" s="228">
        <v>63.5</v>
      </c>
      <c r="AM153" s="228">
        <v>-18</v>
      </c>
      <c r="AN153" s="229">
        <v>7.9000000000000008E-3</v>
      </c>
      <c r="AO153" s="231">
        <v>5751.15</v>
      </c>
      <c r="AP153" s="231">
        <v>5768.45</v>
      </c>
      <c r="AQ153" s="228">
        <v>0</v>
      </c>
      <c r="AR153" s="230">
        <v>1206900</v>
      </c>
      <c r="AS153" s="230">
        <v>560300</v>
      </c>
      <c r="AT153" s="230">
        <v>646600</v>
      </c>
      <c r="AU153" s="229">
        <v>1.1539999999999999</v>
      </c>
      <c r="AV153" s="230">
        <v>1093400</v>
      </c>
      <c r="AW153" s="230">
        <v>509500</v>
      </c>
      <c r="AX153" s="230">
        <v>583900</v>
      </c>
      <c r="AY153" s="229">
        <v>1.1459999999999999</v>
      </c>
      <c r="AZ153" s="230">
        <v>103600</v>
      </c>
      <c r="BA153" s="230">
        <v>47700</v>
      </c>
      <c r="BB153" s="230">
        <v>55900</v>
      </c>
      <c r="BC153" s="229">
        <v>1.1718999999999999</v>
      </c>
      <c r="BD153" s="230">
        <v>9900</v>
      </c>
      <c r="BE153" s="230">
        <v>3100</v>
      </c>
      <c r="BF153" s="230">
        <v>6800</v>
      </c>
      <c r="BG153" s="229">
        <v>2.1934999999999998</v>
      </c>
      <c r="BH153" s="230">
        <v>3142700</v>
      </c>
      <c r="BI153" s="230">
        <v>1824000</v>
      </c>
      <c r="BJ153" s="230">
        <v>1318700</v>
      </c>
      <c r="BK153" s="229">
        <v>0.72299999999999998</v>
      </c>
      <c r="BL153" s="230">
        <v>2514600</v>
      </c>
      <c r="BM153" s="230">
        <v>740600</v>
      </c>
      <c r="BN153" s="230">
        <v>1774000</v>
      </c>
      <c r="BO153" s="229">
        <v>2.3954</v>
      </c>
      <c r="BP153" s="230">
        <v>6864200</v>
      </c>
      <c r="BQ153" s="230">
        <v>3124900</v>
      </c>
      <c r="BR153" s="230">
        <v>3739300</v>
      </c>
      <c r="BS153" s="229">
        <v>1.1966000000000001</v>
      </c>
      <c r="BT153" s="230">
        <v>1142555</v>
      </c>
      <c r="BU153" s="230">
        <v>384245</v>
      </c>
      <c r="BV153" s="230">
        <v>758310</v>
      </c>
      <c r="BW153" s="229">
        <v>1.9735</v>
      </c>
      <c r="BX153" s="230">
        <v>2448100</v>
      </c>
      <c r="BY153" s="230">
        <v>2185900</v>
      </c>
      <c r="BZ153" s="230">
        <v>262200</v>
      </c>
      <c r="CA153" s="229">
        <v>0.12</v>
      </c>
      <c r="CB153" s="230">
        <v>2331500</v>
      </c>
      <c r="CC153" s="230">
        <v>2101700</v>
      </c>
      <c r="CD153" s="230">
        <v>229800</v>
      </c>
      <c r="CE153" s="229">
        <v>0.10929999999999999</v>
      </c>
      <c r="CF153" s="230">
        <v>103800</v>
      </c>
      <c r="CG153" s="230">
        <v>73900</v>
      </c>
      <c r="CH153" s="230">
        <v>29900</v>
      </c>
      <c r="CI153" s="229">
        <v>0.40460000000000002</v>
      </c>
      <c r="CJ153" s="230">
        <v>12800</v>
      </c>
      <c r="CK153" s="230">
        <v>10300</v>
      </c>
      <c r="CL153" s="230">
        <v>2500</v>
      </c>
      <c r="CM153" s="229">
        <v>0.2427</v>
      </c>
      <c r="CN153" s="230">
        <v>1748300</v>
      </c>
      <c r="CO153" s="230">
        <v>1492200</v>
      </c>
      <c r="CP153" s="230">
        <v>256100</v>
      </c>
      <c r="CQ153" s="229">
        <v>0.1716</v>
      </c>
      <c r="CR153" s="230">
        <v>892600</v>
      </c>
      <c r="CS153" s="230">
        <v>824000</v>
      </c>
      <c r="CT153" s="230">
        <v>68600</v>
      </c>
      <c r="CU153" s="229">
        <v>8.3299999999999999E-2</v>
      </c>
      <c r="CV153" s="230">
        <v>5089000</v>
      </c>
      <c r="CW153" s="230">
        <v>4502100</v>
      </c>
      <c r="CX153" s="230">
        <v>586900</v>
      </c>
      <c r="CY153" s="229">
        <v>0.13039999999999999</v>
      </c>
      <c r="CZ153" s="228">
        <v>39.79</v>
      </c>
      <c r="DA153" s="228">
        <v>35.58</v>
      </c>
      <c r="DB153" s="228">
        <v>4.21</v>
      </c>
      <c r="DC153" s="228">
        <v>4.21</v>
      </c>
      <c r="DD153" s="228">
        <v>39.19</v>
      </c>
      <c r="DE153" s="228">
        <v>39.119999999999997</v>
      </c>
      <c r="DF153" s="228">
        <v>0.6</v>
      </c>
      <c r="DG153" s="228">
        <v>7.0000000000000007E-2</v>
      </c>
      <c r="DH153" s="228">
        <v>39.44</v>
      </c>
      <c r="DI153" s="228">
        <v>35.090000000000003</v>
      </c>
      <c r="DJ153" s="228">
        <v>4.3499999999999996</v>
      </c>
      <c r="DK153" s="228">
        <v>4.3499999999999996</v>
      </c>
      <c r="DL153" s="228">
        <v>40.229999999999997</v>
      </c>
      <c r="DM153" s="228">
        <v>36.78</v>
      </c>
      <c r="DN153" s="228">
        <v>3.45</v>
      </c>
      <c r="DO153" s="228">
        <v>3.45</v>
      </c>
      <c r="DP153" s="228">
        <v>0.51</v>
      </c>
      <c r="DQ153" s="228">
        <v>0.55000000000000004</v>
      </c>
      <c r="DR153" s="228">
        <v>-0.04</v>
      </c>
      <c r="DS153" s="229">
        <v>-7.2700000000000001E-2</v>
      </c>
      <c r="DT153" s="231">
        <v>6000</v>
      </c>
      <c r="DU153" s="231">
        <v>5700</v>
      </c>
      <c r="DV153" s="228">
        <v>0.8</v>
      </c>
      <c r="DW153" s="228">
        <v>0.41</v>
      </c>
      <c r="DX153" s="228">
        <v>0.39</v>
      </c>
      <c r="DY153" s="229">
        <v>0.95120000000000005</v>
      </c>
      <c r="DZ153" s="229">
        <v>4.7600000000000003E-2</v>
      </c>
      <c r="EA153" s="230">
        <v>84200</v>
      </c>
      <c r="EB153" s="229">
        <v>2.2000000000000001E-3</v>
      </c>
      <c r="EC153" s="229">
        <v>4.7600000000000003E-2</v>
      </c>
      <c r="ED153" s="228">
        <v>17.3</v>
      </c>
      <c r="EE153" s="229">
        <v>3.0000000000000001E-3</v>
      </c>
      <c r="EF153" s="230">
        <v>829347</v>
      </c>
      <c r="EG153" s="230">
        <v>170466</v>
      </c>
      <c r="EH153" s="229">
        <v>3.8652000000000002</v>
      </c>
      <c r="EI153" s="229">
        <v>0.72589999999999999</v>
      </c>
      <c r="EJ153" s="231">
        <v>192081.6</v>
      </c>
      <c r="EK153" s="231">
        <v>144512.4</v>
      </c>
      <c r="EL153" s="231">
        <v>69433.740000000005</v>
      </c>
      <c r="EM153" s="231">
        <v>8756</v>
      </c>
      <c r="EN153" s="231">
        <v>406027.74</v>
      </c>
      <c r="EO153" s="231">
        <v>188399.55</v>
      </c>
      <c r="EP153" s="231">
        <v>217628.19</v>
      </c>
      <c r="EQ153" s="229">
        <v>1.1551</v>
      </c>
      <c r="ER153" s="231">
        <v>109565</v>
      </c>
      <c r="ES153" s="231">
        <v>50415</v>
      </c>
      <c r="ET153" s="231">
        <v>139905</v>
      </c>
      <c r="EU153" s="231">
        <v>15732422</v>
      </c>
      <c r="EV153" s="231">
        <v>299885</v>
      </c>
      <c r="EW153" s="231">
        <v>269837</v>
      </c>
      <c r="EX153" s="231">
        <v>30048</v>
      </c>
      <c r="EY153" s="229">
        <v>0.1114</v>
      </c>
      <c r="EZ153" s="229">
        <v>0.32350000000000001</v>
      </c>
      <c r="FA153" s="227" t="s">
        <v>567</v>
      </c>
      <c r="FB153" s="161">
        <f>BX226-CB226</f>
        <v>0</v>
      </c>
    </row>
    <row r="154" spans="1:158" ht="17.25" thickBot="1" x14ac:dyDescent="0.3">
      <c r="A154" s="226">
        <v>46064</v>
      </c>
      <c r="B154" s="227" t="s">
        <v>193</v>
      </c>
      <c r="C154" s="227" t="s">
        <v>272</v>
      </c>
      <c r="D154" s="228">
        <v>1900</v>
      </c>
      <c r="E154" s="228">
        <v>304.05</v>
      </c>
      <c r="F154" s="228">
        <v>304.5</v>
      </c>
      <c r="G154" s="228">
        <v>-0.45</v>
      </c>
      <c r="H154" s="229">
        <v>-1.5E-3</v>
      </c>
      <c r="I154" s="228">
        <v>303.89999999999998</v>
      </c>
      <c r="J154" s="228">
        <v>303.7</v>
      </c>
      <c r="K154" s="228">
        <v>0.2</v>
      </c>
      <c r="L154" s="229">
        <v>6.9999999999999999E-4</v>
      </c>
      <c r="M154" s="228">
        <v>304.05</v>
      </c>
      <c r="N154" s="228">
        <v>304.5</v>
      </c>
      <c r="O154" s="228">
        <v>-0.45</v>
      </c>
      <c r="P154" s="229">
        <v>-1.5E-3</v>
      </c>
      <c r="Q154" s="228">
        <v>306.25</v>
      </c>
      <c r="R154" s="228">
        <v>306.10000000000002</v>
      </c>
      <c r="S154" s="228">
        <v>0.15</v>
      </c>
      <c r="T154" s="229">
        <v>5.0000000000000001E-4</v>
      </c>
      <c r="U154" s="228">
        <v>306</v>
      </c>
      <c r="V154" s="228">
        <v>308</v>
      </c>
      <c r="W154" s="228">
        <v>-2</v>
      </c>
      <c r="X154" s="229">
        <v>-6.4999999999999997E-3</v>
      </c>
      <c r="Y154" s="228">
        <v>0.15</v>
      </c>
      <c r="Z154" s="228">
        <v>0.8</v>
      </c>
      <c r="AA154" s="228">
        <v>-0.65</v>
      </c>
      <c r="AB154" s="229">
        <v>5.0000000000000001E-4</v>
      </c>
      <c r="AC154" s="228">
        <v>0.15</v>
      </c>
      <c r="AD154" s="228">
        <v>0.8</v>
      </c>
      <c r="AE154" s="228">
        <v>-0.65</v>
      </c>
      <c r="AF154" s="229">
        <v>5.0000000000000001E-4</v>
      </c>
      <c r="AG154" s="228">
        <v>2.35</v>
      </c>
      <c r="AH154" s="228">
        <v>2.4</v>
      </c>
      <c r="AI154" s="228">
        <v>-0.05</v>
      </c>
      <c r="AJ154" s="229">
        <v>7.7000000000000002E-3</v>
      </c>
      <c r="AK154" s="228">
        <v>2.1</v>
      </c>
      <c r="AL154" s="228">
        <v>4.3</v>
      </c>
      <c r="AM154" s="228">
        <v>-2.2000000000000002</v>
      </c>
      <c r="AN154" s="229">
        <v>6.8999999999999999E-3</v>
      </c>
      <c r="AO154" s="228">
        <v>303.29000000000002</v>
      </c>
      <c r="AP154" s="228">
        <v>305.2</v>
      </c>
      <c r="AQ154" s="228">
        <v>0</v>
      </c>
      <c r="AR154" s="230">
        <v>1884800</v>
      </c>
      <c r="AS154" s="230">
        <v>3883600</v>
      </c>
      <c r="AT154" s="230">
        <v>-1998800</v>
      </c>
      <c r="AU154" s="229">
        <v>-0.51470000000000005</v>
      </c>
      <c r="AV154" s="230">
        <v>1763200</v>
      </c>
      <c r="AW154" s="230">
        <v>3347800</v>
      </c>
      <c r="AX154" s="230">
        <v>-1584600</v>
      </c>
      <c r="AY154" s="229">
        <v>-0.4733</v>
      </c>
      <c r="AZ154" s="230">
        <v>117800</v>
      </c>
      <c r="BA154" s="230">
        <v>516800</v>
      </c>
      <c r="BB154" s="230">
        <v>-399000</v>
      </c>
      <c r="BC154" s="229">
        <v>-0.77210000000000001</v>
      </c>
      <c r="BD154" s="230">
        <v>3800</v>
      </c>
      <c r="BE154" s="230">
        <v>19000</v>
      </c>
      <c r="BF154" s="230">
        <v>-15200</v>
      </c>
      <c r="BG154" s="229">
        <v>-0.8</v>
      </c>
      <c r="BH154" s="230">
        <v>10206800</v>
      </c>
      <c r="BI154" s="230">
        <v>21546000</v>
      </c>
      <c r="BJ154" s="230">
        <v>-11339200</v>
      </c>
      <c r="BK154" s="229">
        <v>-0.52629999999999999</v>
      </c>
      <c r="BL154" s="230">
        <v>4656900</v>
      </c>
      <c r="BM154" s="230">
        <v>5010300</v>
      </c>
      <c r="BN154" s="230">
        <v>-353400</v>
      </c>
      <c r="BO154" s="229">
        <v>-7.0499999999999993E-2</v>
      </c>
      <c r="BP154" s="230">
        <v>16748500</v>
      </c>
      <c r="BQ154" s="230">
        <v>30439900</v>
      </c>
      <c r="BR154" s="230">
        <v>-13691400</v>
      </c>
      <c r="BS154" s="229">
        <v>-0.44979999999999998</v>
      </c>
      <c r="BT154" s="230">
        <v>1562225</v>
      </c>
      <c r="BU154" s="230">
        <v>2528596</v>
      </c>
      <c r="BV154" s="230">
        <v>-966371</v>
      </c>
      <c r="BW154" s="229">
        <v>-0.38219999999999998</v>
      </c>
      <c r="BX154" s="230">
        <v>42732900</v>
      </c>
      <c r="BY154" s="230">
        <v>42919100</v>
      </c>
      <c r="BZ154" s="230">
        <v>-186200</v>
      </c>
      <c r="CA154" s="229">
        <v>-4.3E-3</v>
      </c>
      <c r="CB154" s="230">
        <v>39153300</v>
      </c>
      <c r="CC154" s="230">
        <v>39347100</v>
      </c>
      <c r="CD154" s="230">
        <v>-193800</v>
      </c>
      <c r="CE154" s="229">
        <v>-4.8999999999999998E-3</v>
      </c>
      <c r="CF154" s="230">
        <v>3507400</v>
      </c>
      <c r="CG154" s="230">
        <v>3501700</v>
      </c>
      <c r="CH154" s="230">
        <v>5700</v>
      </c>
      <c r="CI154" s="229">
        <v>1.6000000000000001E-3</v>
      </c>
      <c r="CJ154" s="230">
        <v>72200</v>
      </c>
      <c r="CK154" s="230">
        <v>70300</v>
      </c>
      <c r="CL154" s="230">
        <v>1900</v>
      </c>
      <c r="CM154" s="229">
        <v>2.7E-2</v>
      </c>
      <c r="CN154" s="230">
        <v>16883400</v>
      </c>
      <c r="CO154" s="230">
        <v>15650300</v>
      </c>
      <c r="CP154" s="230">
        <v>1233100</v>
      </c>
      <c r="CQ154" s="229">
        <v>7.8799999999999995E-2</v>
      </c>
      <c r="CR154" s="230">
        <v>12716700</v>
      </c>
      <c r="CS154" s="230">
        <v>12484900</v>
      </c>
      <c r="CT154" s="230">
        <v>231800</v>
      </c>
      <c r="CU154" s="229">
        <v>1.8599999999999998E-2</v>
      </c>
      <c r="CV154" s="230">
        <v>72333000</v>
      </c>
      <c r="CW154" s="230">
        <v>71054300</v>
      </c>
      <c r="CX154" s="230">
        <v>1278700</v>
      </c>
      <c r="CY154" s="229">
        <v>1.7999999999999999E-2</v>
      </c>
      <c r="CZ154" s="228">
        <v>34.75</v>
      </c>
      <c r="DA154" s="228">
        <v>33.909999999999997</v>
      </c>
      <c r="DB154" s="228">
        <v>0.84</v>
      </c>
      <c r="DC154" s="228">
        <v>0.84</v>
      </c>
      <c r="DD154" s="228">
        <v>31.32</v>
      </c>
      <c r="DE154" s="228">
        <v>31.4</v>
      </c>
      <c r="DF154" s="228">
        <v>3.43</v>
      </c>
      <c r="DG154" s="228">
        <v>-0.08</v>
      </c>
      <c r="DH154" s="228">
        <v>34.28</v>
      </c>
      <c r="DI154" s="228">
        <v>33.659999999999997</v>
      </c>
      <c r="DJ154" s="228">
        <v>0.62</v>
      </c>
      <c r="DK154" s="228">
        <v>0.62</v>
      </c>
      <c r="DL154" s="228">
        <v>35.79</v>
      </c>
      <c r="DM154" s="228">
        <v>35.01</v>
      </c>
      <c r="DN154" s="228">
        <v>0.78</v>
      </c>
      <c r="DO154" s="228">
        <v>0.78</v>
      </c>
      <c r="DP154" s="228">
        <v>0.75</v>
      </c>
      <c r="DQ154" s="228">
        <v>0.8</v>
      </c>
      <c r="DR154" s="228">
        <v>-0.05</v>
      </c>
      <c r="DS154" s="229">
        <v>-6.25E-2</v>
      </c>
      <c r="DT154" s="228">
        <v>300</v>
      </c>
      <c r="DU154" s="228">
        <v>300</v>
      </c>
      <c r="DV154" s="228">
        <v>0.46</v>
      </c>
      <c r="DW154" s="228">
        <v>0.23</v>
      </c>
      <c r="DX154" s="228">
        <v>0.23</v>
      </c>
      <c r="DY154" s="229">
        <v>1</v>
      </c>
      <c r="DZ154" s="229">
        <v>8.3799999999999999E-2</v>
      </c>
      <c r="EA154" s="230">
        <v>3572000</v>
      </c>
      <c r="EB154" s="229">
        <v>7.1999999999999998E-3</v>
      </c>
      <c r="EC154" s="229">
        <v>8.3799999999999999E-2</v>
      </c>
      <c r="ED154" s="228">
        <v>1.91</v>
      </c>
      <c r="EE154" s="229">
        <v>6.3E-3</v>
      </c>
      <c r="EF154" s="230">
        <v>994257</v>
      </c>
      <c r="EG154" s="230">
        <v>1396401</v>
      </c>
      <c r="EH154" s="229">
        <v>-0.28799999999999998</v>
      </c>
      <c r="EI154" s="229">
        <v>0.63639999999999997</v>
      </c>
      <c r="EJ154" s="231">
        <v>32123.08</v>
      </c>
      <c r="EK154" s="231">
        <v>13786.17</v>
      </c>
      <c r="EL154" s="231">
        <v>5718.81</v>
      </c>
      <c r="EM154" s="231">
        <v>1883</v>
      </c>
      <c r="EN154" s="231">
        <v>51628.06</v>
      </c>
      <c r="EO154" s="231">
        <v>94364.04</v>
      </c>
      <c r="EP154" s="231">
        <v>-42735.98</v>
      </c>
      <c r="EQ154" s="229">
        <v>-0.45290000000000002</v>
      </c>
      <c r="ER154" s="231">
        <v>51404</v>
      </c>
      <c r="ES154" s="231">
        <v>35935</v>
      </c>
      <c r="ET154" s="231">
        <v>130008</v>
      </c>
      <c r="EU154" s="231">
        <v>108255733</v>
      </c>
      <c r="EV154" s="231">
        <v>217347</v>
      </c>
      <c r="EW154" s="231">
        <v>213437</v>
      </c>
      <c r="EX154" s="231">
        <v>3910</v>
      </c>
      <c r="EY154" s="229">
        <v>1.83E-2</v>
      </c>
      <c r="EZ154" s="229">
        <v>0.66820000000000002</v>
      </c>
      <c r="FA154" s="227" t="s">
        <v>568</v>
      </c>
      <c r="FB154" s="161">
        <f t="shared" si="3"/>
        <v>0</v>
      </c>
    </row>
    <row r="155" spans="1:158" ht="17.25" thickBot="1" x14ac:dyDescent="0.3">
      <c r="A155" s="226">
        <v>46064</v>
      </c>
      <c r="B155" s="227" t="s">
        <v>175</v>
      </c>
      <c r="C155" s="227" t="s">
        <v>273</v>
      </c>
      <c r="D155" s="228">
        <v>1300</v>
      </c>
      <c r="E155" s="228">
        <v>413.45</v>
      </c>
      <c r="F155" s="228">
        <v>410.65</v>
      </c>
      <c r="G155" s="228">
        <v>2.8</v>
      </c>
      <c r="H155" s="229">
        <v>6.7999999999999996E-3</v>
      </c>
      <c r="I155" s="228">
        <v>415.85</v>
      </c>
      <c r="J155" s="228">
        <v>413.25</v>
      </c>
      <c r="K155" s="228">
        <v>2.6</v>
      </c>
      <c r="L155" s="229">
        <v>6.3E-3</v>
      </c>
      <c r="M155" s="228">
        <v>413.45</v>
      </c>
      <c r="N155" s="228">
        <v>410.65</v>
      </c>
      <c r="O155" s="228">
        <v>2.8</v>
      </c>
      <c r="P155" s="229">
        <v>6.7999999999999996E-3</v>
      </c>
      <c r="Q155" s="228">
        <v>412.9</v>
      </c>
      <c r="R155" s="228">
        <v>410.25</v>
      </c>
      <c r="S155" s="228">
        <v>2.65</v>
      </c>
      <c r="T155" s="229">
        <v>6.4999999999999997E-3</v>
      </c>
      <c r="U155" s="228">
        <v>415.55</v>
      </c>
      <c r="V155" s="228">
        <v>413.6</v>
      </c>
      <c r="W155" s="228">
        <v>1.95</v>
      </c>
      <c r="X155" s="229">
        <v>4.7000000000000002E-3</v>
      </c>
      <c r="Y155" s="228">
        <v>-2.4</v>
      </c>
      <c r="Z155" s="228">
        <v>-2.6</v>
      </c>
      <c r="AA155" s="228">
        <v>0.2</v>
      </c>
      <c r="AB155" s="229">
        <v>-5.7999999999999996E-3</v>
      </c>
      <c r="AC155" s="228">
        <v>-2.4</v>
      </c>
      <c r="AD155" s="228">
        <v>-2.6</v>
      </c>
      <c r="AE155" s="228">
        <v>0.2</v>
      </c>
      <c r="AF155" s="229">
        <v>-5.7999999999999996E-3</v>
      </c>
      <c r="AG155" s="228">
        <v>-2.95</v>
      </c>
      <c r="AH155" s="228">
        <v>-3</v>
      </c>
      <c r="AI155" s="228">
        <v>0.05</v>
      </c>
      <c r="AJ155" s="229">
        <v>-7.1000000000000004E-3</v>
      </c>
      <c r="AK155" s="228">
        <v>-0.3</v>
      </c>
      <c r="AL155" s="228">
        <v>0.35</v>
      </c>
      <c r="AM155" s="228">
        <v>-0.65</v>
      </c>
      <c r="AN155" s="229">
        <v>-6.9999999999999999E-4</v>
      </c>
      <c r="AO155" s="228">
        <v>411.51</v>
      </c>
      <c r="AP155" s="228">
        <v>410.89</v>
      </c>
      <c r="AQ155" s="228">
        <v>0</v>
      </c>
      <c r="AR155" s="230">
        <v>8816600</v>
      </c>
      <c r="AS155" s="230">
        <v>14354600</v>
      </c>
      <c r="AT155" s="230">
        <v>-5538000</v>
      </c>
      <c r="AU155" s="229">
        <v>-0.38579999999999998</v>
      </c>
      <c r="AV155" s="230">
        <v>7694700</v>
      </c>
      <c r="AW155" s="230">
        <v>11349000</v>
      </c>
      <c r="AX155" s="230">
        <v>-3654300</v>
      </c>
      <c r="AY155" s="229">
        <v>-0.32200000000000001</v>
      </c>
      <c r="AZ155" s="230">
        <v>1047800</v>
      </c>
      <c r="BA155" s="230">
        <v>2914600</v>
      </c>
      <c r="BB155" s="230">
        <v>-1866800</v>
      </c>
      <c r="BC155" s="229">
        <v>-0.64049999999999996</v>
      </c>
      <c r="BD155" s="230">
        <v>74100</v>
      </c>
      <c r="BE155" s="230">
        <v>91000</v>
      </c>
      <c r="BF155" s="230">
        <v>-16900</v>
      </c>
      <c r="BG155" s="229">
        <v>-0.1857</v>
      </c>
      <c r="BH155" s="230">
        <v>26841100</v>
      </c>
      <c r="BI155" s="230">
        <v>41269800</v>
      </c>
      <c r="BJ155" s="230">
        <v>-14428700</v>
      </c>
      <c r="BK155" s="229">
        <v>-0.34960000000000002</v>
      </c>
      <c r="BL155" s="230">
        <v>13539500</v>
      </c>
      <c r="BM155" s="230">
        <v>20943000</v>
      </c>
      <c r="BN155" s="230">
        <v>-7403500</v>
      </c>
      <c r="BO155" s="229">
        <v>-0.35349999999999998</v>
      </c>
      <c r="BP155" s="230">
        <v>49197200</v>
      </c>
      <c r="BQ155" s="230">
        <v>76567400</v>
      </c>
      <c r="BR155" s="230">
        <v>-27370200</v>
      </c>
      <c r="BS155" s="229">
        <v>-0.35749999999999998</v>
      </c>
      <c r="BT155" s="230">
        <v>3707155</v>
      </c>
      <c r="BU155" s="230">
        <v>8951150</v>
      </c>
      <c r="BV155" s="230">
        <v>-5243995</v>
      </c>
      <c r="BW155" s="229">
        <v>-0.58579999999999999</v>
      </c>
      <c r="BX155" s="230">
        <v>68235700</v>
      </c>
      <c r="BY155" s="230">
        <v>68243500</v>
      </c>
      <c r="BZ155" s="230">
        <v>-7800</v>
      </c>
      <c r="CA155" s="229">
        <v>-1E-4</v>
      </c>
      <c r="CB155" s="230">
        <v>57723900</v>
      </c>
      <c r="CC155" s="230">
        <v>57870800</v>
      </c>
      <c r="CD155" s="230">
        <v>-146900</v>
      </c>
      <c r="CE155" s="229">
        <v>-2.5000000000000001E-3</v>
      </c>
      <c r="CF155" s="230">
        <v>10090600</v>
      </c>
      <c r="CG155" s="230">
        <v>9967100</v>
      </c>
      <c r="CH155" s="230">
        <v>123500</v>
      </c>
      <c r="CI155" s="229">
        <v>1.24E-2</v>
      </c>
      <c r="CJ155" s="230">
        <v>421200</v>
      </c>
      <c r="CK155" s="230">
        <v>405600</v>
      </c>
      <c r="CL155" s="230">
        <v>15600</v>
      </c>
      <c r="CM155" s="229">
        <v>3.85E-2</v>
      </c>
      <c r="CN155" s="230">
        <v>33541300</v>
      </c>
      <c r="CO155" s="230">
        <v>32957600</v>
      </c>
      <c r="CP155" s="230">
        <v>583700</v>
      </c>
      <c r="CQ155" s="229">
        <v>1.77E-2</v>
      </c>
      <c r="CR155" s="230">
        <v>23091900</v>
      </c>
      <c r="CS155" s="230">
        <v>23268700</v>
      </c>
      <c r="CT155" s="230">
        <v>-176800</v>
      </c>
      <c r="CU155" s="229">
        <v>-7.6E-3</v>
      </c>
      <c r="CV155" s="230">
        <v>124868900</v>
      </c>
      <c r="CW155" s="230">
        <v>124469800</v>
      </c>
      <c r="CX155" s="230">
        <v>399100</v>
      </c>
      <c r="CY155" s="229">
        <v>3.2000000000000002E-3</v>
      </c>
      <c r="CZ155" s="228">
        <v>31.07</v>
      </c>
      <c r="DA155" s="228">
        <v>32.72</v>
      </c>
      <c r="DB155" s="228">
        <v>-1.65</v>
      </c>
      <c r="DC155" s="228">
        <v>-1.65</v>
      </c>
      <c r="DD155" s="228">
        <v>41</v>
      </c>
      <c r="DE155" s="228">
        <v>41.09</v>
      </c>
      <c r="DF155" s="228">
        <v>-9.93</v>
      </c>
      <c r="DG155" s="228">
        <v>-0.09</v>
      </c>
      <c r="DH155" s="228">
        <v>30.61</v>
      </c>
      <c r="DI155" s="228">
        <v>32.729999999999997</v>
      </c>
      <c r="DJ155" s="228">
        <v>-2.12</v>
      </c>
      <c r="DK155" s="228">
        <v>-2.12</v>
      </c>
      <c r="DL155" s="228">
        <v>31.99</v>
      </c>
      <c r="DM155" s="228">
        <v>32.71</v>
      </c>
      <c r="DN155" s="228">
        <v>-0.72</v>
      </c>
      <c r="DO155" s="228">
        <v>-0.72</v>
      </c>
      <c r="DP155" s="228">
        <v>0.69</v>
      </c>
      <c r="DQ155" s="228">
        <v>0.71</v>
      </c>
      <c r="DR155" s="228">
        <v>-0.02</v>
      </c>
      <c r="DS155" s="229">
        <v>-2.8199999999999999E-2</v>
      </c>
      <c r="DT155" s="228">
        <v>420</v>
      </c>
      <c r="DU155" s="228">
        <v>400</v>
      </c>
      <c r="DV155" s="228">
        <v>0.5</v>
      </c>
      <c r="DW155" s="228">
        <v>0.51</v>
      </c>
      <c r="DX155" s="228">
        <v>-0.01</v>
      </c>
      <c r="DY155" s="229">
        <v>-1.9599999999999999E-2</v>
      </c>
      <c r="DZ155" s="229">
        <v>0.15409999999999999</v>
      </c>
      <c r="EA155" s="230">
        <v>10372700</v>
      </c>
      <c r="EB155" s="229">
        <v>-1.2999999999999999E-3</v>
      </c>
      <c r="EC155" s="229">
        <v>0.15409999999999999</v>
      </c>
      <c r="ED155" s="228">
        <v>-0.62</v>
      </c>
      <c r="EE155" s="229">
        <v>-1.5E-3</v>
      </c>
      <c r="EF155" s="230">
        <v>1586295</v>
      </c>
      <c r="EG155" s="230">
        <v>4316439</v>
      </c>
      <c r="EH155" s="229">
        <v>-0.63249999999999995</v>
      </c>
      <c r="EI155" s="229">
        <v>0.4279</v>
      </c>
      <c r="EJ155" s="231">
        <v>114834.99</v>
      </c>
      <c r="EK155" s="231">
        <v>55382.77</v>
      </c>
      <c r="EL155" s="231">
        <v>36277.19</v>
      </c>
      <c r="EM155" s="231">
        <v>18600</v>
      </c>
      <c r="EN155" s="231">
        <v>206494.95</v>
      </c>
      <c r="EO155" s="231">
        <v>321494.96999999997</v>
      </c>
      <c r="EP155" s="231">
        <v>-115000.02</v>
      </c>
      <c r="EQ155" s="229">
        <v>-0.35770000000000002</v>
      </c>
      <c r="ER155" s="231">
        <v>138633</v>
      </c>
      <c r="ES155" s="231">
        <v>88525</v>
      </c>
      <c r="ET155" s="231">
        <v>282074</v>
      </c>
      <c r="EU155" s="231">
        <v>217835555</v>
      </c>
      <c r="EV155" s="231">
        <v>509232</v>
      </c>
      <c r="EW155" s="231">
        <v>505397</v>
      </c>
      <c r="EX155" s="231">
        <v>3835</v>
      </c>
      <c r="EY155" s="229">
        <v>7.6E-3</v>
      </c>
      <c r="EZ155" s="229">
        <v>0.57320000000000004</v>
      </c>
      <c r="FA155" s="227" t="s">
        <v>556</v>
      </c>
      <c r="FB155" s="161">
        <f t="shared" si="3"/>
        <v>0</v>
      </c>
    </row>
    <row r="156" spans="1:158" ht="17.25" thickBot="1" x14ac:dyDescent="0.3">
      <c r="A156" s="226">
        <v>46064</v>
      </c>
      <c r="B156" s="227" t="s">
        <v>184</v>
      </c>
      <c r="C156" s="227" t="s">
        <v>679</v>
      </c>
      <c r="D156" s="228">
        <v>950</v>
      </c>
      <c r="E156" s="228">
        <v>618.15</v>
      </c>
      <c r="F156" s="228">
        <v>604.25</v>
      </c>
      <c r="G156" s="228">
        <v>13.9</v>
      </c>
      <c r="H156" s="229">
        <v>2.3E-2</v>
      </c>
      <c r="I156" s="228">
        <v>617.75</v>
      </c>
      <c r="J156" s="228">
        <v>601.79999999999995</v>
      </c>
      <c r="K156" s="228">
        <v>15.95</v>
      </c>
      <c r="L156" s="229">
        <v>2.6499999999999999E-2</v>
      </c>
      <c r="M156" s="228">
        <v>618.15</v>
      </c>
      <c r="N156" s="228">
        <v>604.25</v>
      </c>
      <c r="O156" s="228">
        <v>13.9</v>
      </c>
      <c r="P156" s="229">
        <v>2.3E-2</v>
      </c>
      <c r="Q156" s="228">
        <v>618.95000000000005</v>
      </c>
      <c r="R156" s="228">
        <v>605.54999999999995</v>
      </c>
      <c r="S156" s="228">
        <v>13.4</v>
      </c>
      <c r="T156" s="229">
        <v>2.2100000000000002E-2</v>
      </c>
      <c r="U156" s="228">
        <v>622</v>
      </c>
      <c r="V156" s="228">
        <v>605.20000000000005</v>
      </c>
      <c r="W156" s="228">
        <v>16.8</v>
      </c>
      <c r="X156" s="229">
        <v>2.7799999999999998E-2</v>
      </c>
      <c r="Y156" s="228">
        <v>0.4</v>
      </c>
      <c r="Z156" s="228">
        <v>2.4500000000000002</v>
      </c>
      <c r="AA156" s="228">
        <v>-2.0499999999999998</v>
      </c>
      <c r="AB156" s="229">
        <v>5.9999999999999995E-4</v>
      </c>
      <c r="AC156" s="228">
        <v>0.4</v>
      </c>
      <c r="AD156" s="228">
        <v>2.4500000000000002</v>
      </c>
      <c r="AE156" s="228">
        <v>-2.0499999999999998</v>
      </c>
      <c r="AF156" s="229">
        <v>5.9999999999999995E-4</v>
      </c>
      <c r="AG156" s="228">
        <v>1.2</v>
      </c>
      <c r="AH156" s="228">
        <v>3.75</v>
      </c>
      <c r="AI156" s="228">
        <v>-2.5499999999999998</v>
      </c>
      <c r="AJ156" s="229">
        <v>1.9E-3</v>
      </c>
      <c r="AK156" s="228">
        <v>4.25</v>
      </c>
      <c r="AL156" s="228">
        <v>3.4</v>
      </c>
      <c r="AM156" s="228">
        <v>0.85</v>
      </c>
      <c r="AN156" s="229">
        <v>6.8999999999999999E-3</v>
      </c>
      <c r="AO156" s="228">
        <v>616.65</v>
      </c>
      <c r="AP156" s="228">
        <v>618.04999999999995</v>
      </c>
      <c r="AQ156" s="228">
        <v>0</v>
      </c>
      <c r="AR156" s="230">
        <v>4466900</v>
      </c>
      <c r="AS156" s="230">
        <v>5179400</v>
      </c>
      <c r="AT156" s="230">
        <v>-712500</v>
      </c>
      <c r="AU156" s="229">
        <v>-0.1376</v>
      </c>
      <c r="AV156" s="230">
        <v>4160050</v>
      </c>
      <c r="AW156" s="230">
        <v>4820300</v>
      </c>
      <c r="AX156" s="230">
        <v>-660250</v>
      </c>
      <c r="AY156" s="229">
        <v>-0.13700000000000001</v>
      </c>
      <c r="AZ156" s="230">
        <v>292600</v>
      </c>
      <c r="BA156" s="230">
        <v>349600</v>
      </c>
      <c r="BB156" s="230">
        <v>-57000</v>
      </c>
      <c r="BC156" s="229">
        <v>-0.16300000000000001</v>
      </c>
      <c r="BD156" s="230">
        <v>14250</v>
      </c>
      <c r="BE156" s="230">
        <v>9500</v>
      </c>
      <c r="BF156" s="230">
        <v>4750</v>
      </c>
      <c r="BG156" s="229">
        <v>0.5</v>
      </c>
      <c r="BH156" s="230">
        <v>20808800</v>
      </c>
      <c r="BI156" s="230">
        <v>31119150</v>
      </c>
      <c r="BJ156" s="230">
        <v>-10310350</v>
      </c>
      <c r="BK156" s="229">
        <v>-0.33129999999999998</v>
      </c>
      <c r="BL156" s="230">
        <v>8612700</v>
      </c>
      <c r="BM156" s="230">
        <v>9835350</v>
      </c>
      <c r="BN156" s="230">
        <v>-1222650</v>
      </c>
      <c r="BO156" s="229">
        <v>-0.12429999999999999</v>
      </c>
      <c r="BP156" s="230">
        <v>33888400</v>
      </c>
      <c r="BQ156" s="230">
        <v>46133900</v>
      </c>
      <c r="BR156" s="230">
        <v>-12245500</v>
      </c>
      <c r="BS156" s="229">
        <v>-0.26540000000000002</v>
      </c>
      <c r="BT156" s="230">
        <v>2824464</v>
      </c>
      <c r="BU156" s="230">
        <v>3507682</v>
      </c>
      <c r="BV156" s="230">
        <v>-683218</v>
      </c>
      <c r="BW156" s="229">
        <v>-0.1948</v>
      </c>
      <c r="BX156" s="230">
        <v>10668500</v>
      </c>
      <c r="BY156" s="230">
        <v>11083650</v>
      </c>
      <c r="BZ156" s="230">
        <v>-415150</v>
      </c>
      <c r="CA156" s="229">
        <v>-3.7499999999999999E-2</v>
      </c>
      <c r="CB156" s="230">
        <v>9993050</v>
      </c>
      <c r="CC156" s="230">
        <v>10412950</v>
      </c>
      <c r="CD156" s="230">
        <v>-419900</v>
      </c>
      <c r="CE156" s="229">
        <v>-4.0300000000000002E-2</v>
      </c>
      <c r="CF156" s="230">
        <v>632700</v>
      </c>
      <c r="CG156" s="230">
        <v>629850</v>
      </c>
      <c r="CH156" s="230">
        <v>2850</v>
      </c>
      <c r="CI156" s="229">
        <v>4.4999999999999997E-3</v>
      </c>
      <c r="CJ156" s="230">
        <v>42750</v>
      </c>
      <c r="CK156" s="230">
        <v>40850</v>
      </c>
      <c r="CL156" s="230">
        <v>1900</v>
      </c>
      <c r="CM156" s="229">
        <v>4.65E-2</v>
      </c>
      <c r="CN156" s="230">
        <v>6990100</v>
      </c>
      <c r="CO156" s="230">
        <v>7917300</v>
      </c>
      <c r="CP156" s="230">
        <v>-927200</v>
      </c>
      <c r="CQ156" s="229">
        <v>-0.1171</v>
      </c>
      <c r="CR156" s="230">
        <v>5893800</v>
      </c>
      <c r="CS156" s="230">
        <v>5895700</v>
      </c>
      <c r="CT156" s="230">
        <v>-1900</v>
      </c>
      <c r="CU156" s="229">
        <v>-2.9999999999999997E-4</v>
      </c>
      <c r="CV156" s="230">
        <v>23552400</v>
      </c>
      <c r="CW156" s="230">
        <v>24896650</v>
      </c>
      <c r="CX156" s="230">
        <v>-1344250</v>
      </c>
      <c r="CY156" s="229">
        <v>-5.3999999999999999E-2</v>
      </c>
      <c r="CZ156" s="228">
        <v>41.36</v>
      </c>
      <c r="DA156" s="228">
        <v>42.06</v>
      </c>
      <c r="DB156" s="228">
        <v>-0.7</v>
      </c>
      <c r="DC156" s="228">
        <v>-0.7</v>
      </c>
      <c r="DD156" s="228">
        <v>63.25</v>
      </c>
      <c r="DE156" s="228">
        <v>63.33</v>
      </c>
      <c r="DF156" s="228">
        <v>-21.89</v>
      </c>
      <c r="DG156" s="228">
        <v>-0.08</v>
      </c>
      <c r="DH156" s="228">
        <v>40.799999999999997</v>
      </c>
      <c r="DI156" s="228">
        <v>42.1</v>
      </c>
      <c r="DJ156" s="228">
        <v>-1.3</v>
      </c>
      <c r="DK156" s="228">
        <v>-1.3</v>
      </c>
      <c r="DL156" s="228">
        <v>42.69</v>
      </c>
      <c r="DM156" s="228">
        <v>41.94</v>
      </c>
      <c r="DN156" s="228">
        <v>0.75</v>
      </c>
      <c r="DO156" s="228">
        <v>0.75</v>
      </c>
      <c r="DP156" s="228">
        <v>0.84</v>
      </c>
      <c r="DQ156" s="228">
        <v>0.74</v>
      </c>
      <c r="DR156" s="228">
        <v>0.1</v>
      </c>
      <c r="DS156" s="229">
        <v>0.1351</v>
      </c>
      <c r="DT156" s="228">
        <v>650</v>
      </c>
      <c r="DU156" s="228">
        <v>500</v>
      </c>
      <c r="DV156" s="228">
        <v>0.41</v>
      </c>
      <c r="DW156" s="228">
        <v>0.32</v>
      </c>
      <c r="DX156" s="228">
        <v>0.09</v>
      </c>
      <c r="DY156" s="229">
        <v>0.28120000000000001</v>
      </c>
      <c r="DZ156" s="229">
        <v>6.3299999999999995E-2</v>
      </c>
      <c r="EA156" s="230">
        <v>670700</v>
      </c>
      <c r="EB156" s="229">
        <v>1.2999999999999999E-3</v>
      </c>
      <c r="EC156" s="229">
        <v>6.3299999999999995E-2</v>
      </c>
      <c r="ED156" s="228">
        <v>1.4</v>
      </c>
      <c r="EE156" s="229">
        <v>2.3E-3</v>
      </c>
      <c r="EF156" s="230">
        <v>760449</v>
      </c>
      <c r="EG156" s="230">
        <v>985772</v>
      </c>
      <c r="EH156" s="229">
        <v>-0.2286</v>
      </c>
      <c r="EI156" s="229">
        <v>0.26919999999999999</v>
      </c>
      <c r="EJ156" s="231">
        <v>134513.9</v>
      </c>
      <c r="EK156" s="231">
        <v>50937.15</v>
      </c>
      <c r="EL156" s="231">
        <v>27549.95</v>
      </c>
      <c r="EM156" s="231">
        <v>4533</v>
      </c>
      <c r="EN156" s="231">
        <v>213001</v>
      </c>
      <c r="EO156" s="231">
        <v>287344.31</v>
      </c>
      <c r="EP156" s="231">
        <v>-74343.31</v>
      </c>
      <c r="EQ156" s="229">
        <v>-0.25869999999999999</v>
      </c>
      <c r="ER156" s="231">
        <v>43072</v>
      </c>
      <c r="ES156" s="231">
        <v>32515</v>
      </c>
      <c r="ET156" s="231">
        <v>65954</v>
      </c>
      <c r="EU156" s="231">
        <v>24030912</v>
      </c>
      <c r="EV156" s="231">
        <v>141542</v>
      </c>
      <c r="EW156" s="231">
        <v>147620</v>
      </c>
      <c r="EX156" s="231">
        <v>-6078</v>
      </c>
      <c r="EY156" s="229">
        <v>-4.1200000000000001E-2</v>
      </c>
      <c r="EZ156" s="229">
        <v>0.98009999999999997</v>
      </c>
      <c r="FA156" s="227" t="s">
        <v>556</v>
      </c>
      <c r="FB156" s="161">
        <f t="shared" si="3"/>
        <v>0</v>
      </c>
    </row>
    <row r="157" spans="1:158" ht="17.25" thickBot="1" x14ac:dyDescent="0.3">
      <c r="A157" s="226">
        <v>46064</v>
      </c>
      <c r="B157" s="227" t="s">
        <v>206</v>
      </c>
      <c r="C157" s="227" t="s">
        <v>645</v>
      </c>
      <c r="D157" s="228">
        <v>350</v>
      </c>
      <c r="E157" s="231">
        <v>1787.6</v>
      </c>
      <c r="F157" s="231">
        <v>1764.6</v>
      </c>
      <c r="G157" s="228">
        <v>23</v>
      </c>
      <c r="H157" s="229">
        <v>1.2999999999999999E-2</v>
      </c>
      <c r="I157" s="231">
        <v>1784</v>
      </c>
      <c r="J157" s="231">
        <v>1758.7</v>
      </c>
      <c r="K157" s="228">
        <v>25.3</v>
      </c>
      <c r="L157" s="229">
        <v>1.44E-2</v>
      </c>
      <c r="M157" s="231">
        <v>1787.6</v>
      </c>
      <c r="N157" s="231">
        <v>1764.6</v>
      </c>
      <c r="O157" s="228">
        <v>23</v>
      </c>
      <c r="P157" s="229">
        <v>1.2999999999999999E-2</v>
      </c>
      <c r="Q157" s="231">
        <v>1793.8</v>
      </c>
      <c r="R157" s="231">
        <v>1772.2</v>
      </c>
      <c r="S157" s="228">
        <v>21.6</v>
      </c>
      <c r="T157" s="229">
        <v>1.2200000000000001E-2</v>
      </c>
      <c r="U157" s="231">
        <v>1810.7</v>
      </c>
      <c r="V157" s="231">
        <v>1769.6</v>
      </c>
      <c r="W157" s="228">
        <v>41.1</v>
      </c>
      <c r="X157" s="229">
        <v>2.3199999999999998E-2</v>
      </c>
      <c r="Y157" s="228">
        <v>3.6</v>
      </c>
      <c r="Z157" s="228">
        <v>5.9</v>
      </c>
      <c r="AA157" s="228">
        <v>-2.2999999999999998</v>
      </c>
      <c r="AB157" s="229">
        <v>2E-3</v>
      </c>
      <c r="AC157" s="228">
        <v>3.6</v>
      </c>
      <c r="AD157" s="228">
        <v>5.9</v>
      </c>
      <c r="AE157" s="228">
        <v>-2.2999999999999998</v>
      </c>
      <c r="AF157" s="229">
        <v>2E-3</v>
      </c>
      <c r="AG157" s="228">
        <v>9.8000000000000007</v>
      </c>
      <c r="AH157" s="228">
        <v>13.5</v>
      </c>
      <c r="AI157" s="228">
        <v>-3.7</v>
      </c>
      <c r="AJ157" s="229">
        <v>5.4999999999999997E-3</v>
      </c>
      <c r="AK157" s="228">
        <v>26.7</v>
      </c>
      <c r="AL157" s="228">
        <v>10.9</v>
      </c>
      <c r="AM157" s="228">
        <v>15.8</v>
      </c>
      <c r="AN157" s="229">
        <v>1.4999999999999999E-2</v>
      </c>
      <c r="AO157" s="231">
        <v>1787.39</v>
      </c>
      <c r="AP157" s="231">
        <v>1792.36</v>
      </c>
      <c r="AQ157" s="228">
        <v>0</v>
      </c>
      <c r="AR157" s="230">
        <v>630350</v>
      </c>
      <c r="AS157" s="230">
        <v>259350</v>
      </c>
      <c r="AT157" s="230">
        <v>371000</v>
      </c>
      <c r="AU157" s="229">
        <v>1.4305000000000001</v>
      </c>
      <c r="AV157" s="230">
        <v>611800</v>
      </c>
      <c r="AW157" s="230">
        <v>247800</v>
      </c>
      <c r="AX157" s="230">
        <v>364000</v>
      </c>
      <c r="AY157" s="229">
        <v>1.4689000000000001</v>
      </c>
      <c r="AZ157" s="230">
        <v>15050</v>
      </c>
      <c r="BA157" s="230">
        <v>11550</v>
      </c>
      <c r="BB157" s="230">
        <v>3500</v>
      </c>
      <c r="BC157" s="229">
        <v>0.30299999999999999</v>
      </c>
      <c r="BD157" s="230">
        <v>3500</v>
      </c>
      <c r="BE157" s="228">
        <v>0</v>
      </c>
      <c r="BF157" s="230">
        <v>3500</v>
      </c>
      <c r="BG157" s="229">
        <v>0</v>
      </c>
      <c r="BH157" s="230">
        <v>3736250</v>
      </c>
      <c r="BI157" s="230">
        <v>1450400</v>
      </c>
      <c r="BJ157" s="230">
        <v>2285850</v>
      </c>
      <c r="BK157" s="229">
        <v>1.5760000000000001</v>
      </c>
      <c r="BL157" s="230">
        <v>2061150</v>
      </c>
      <c r="BM157" s="230">
        <v>644700</v>
      </c>
      <c r="BN157" s="230">
        <v>1416450</v>
      </c>
      <c r="BO157" s="229">
        <v>2.1970999999999998</v>
      </c>
      <c r="BP157" s="230">
        <v>6427750</v>
      </c>
      <c r="BQ157" s="230">
        <v>2354450</v>
      </c>
      <c r="BR157" s="230">
        <v>4073300</v>
      </c>
      <c r="BS157" s="229">
        <v>1.73</v>
      </c>
      <c r="BT157" s="230">
        <v>763672</v>
      </c>
      <c r="BU157" s="230">
        <v>238019</v>
      </c>
      <c r="BV157" s="230">
        <v>525653</v>
      </c>
      <c r="BW157" s="229">
        <v>2.2084000000000001</v>
      </c>
      <c r="BX157" s="230">
        <v>4910850</v>
      </c>
      <c r="BY157" s="230">
        <v>4734450</v>
      </c>
      <c r="BZ157" s="230">
        <v>176400</v>
      </c>
      <c r="CA157" s="229">
        <v>3.73E-2</v>
      </c>
      <c r="CB157" s="230">
        <v>4853800</v>
      </c>
      <c r="CC157" s="230">
        <v>4681600</v>
      </c>
      <c r="CD157" s="230">
        <v>172200</v>
      </c>
      <c r="CE157" s="229">
        <v>3.6799999999999999E-2</v>
      </c>
      <c r="CF157" s="230">
        <v>53900</v>
      </c>
      <c r="CG157" s="230">
        <v>50750</v>
      </c>
      <c r="CH157" s="230">
        <v>3150</v>
      </c>
      <c r="CI157" s="229">
        <v>6.2100000000000002E-2</v>
      </c>
      <c r="CJ157" s="230">
        <v>3150</v>
      </c>
      <c r="CK157" s="230">
        <v>2100</v>
      </c>
      <c r="CL157" s="230">
        <v>1050</v>
      </c>
      <c r="CM157" s="229">
        <v>0.5</v>
      </c>
      <c r="CN157" s="230">
        <v>1300250</v>
      </c>
      <c r="CO157" s="230">
        <v>1249150</v>
      </c>
      <c r="CP157" s="230">
        <v>51100</v>
      </c>
      <c r="CQ157" s="229">
        <v>4.0899999999999999E-2</v>
      </c>
      <c r="CR157" s="230">
        <v>940800</v>
      </c>
      <c r="CS157" s="230">
        <v>716800</v>
      </c>
      <c r="CT157" s="230">
        <v>224000</v>
      </c>
      <c r="CU157" s="229">
        <v>0.3125</v>
      </c>
      <c r="CV157" s="230">
        <v>7151900</v>
      </c>
      <c r="CW157" s="230">
        <v>6700400</v>
      </c>
      <c r="CX157" s="230">
        <v>451500</v>
      </c>
      <c r="CY157" s="229">
        <v>6.7400000000000002E-2</v>
      </c>
      <c r="CZ157" s="228">
        <v>24.92</v>
      </c>
      <c r="DA157" s="228">
        <v>24.51</v>
      </c>
      <c r="DB157" s="228">
        <v>0.41</v>
      </c>
      <c r="DC157" s="228">
        <v>0.41</v>
      </c>
      <c r="DD157" s="228">
        <v>39.07</v>
      </c>
      <c r="DE157" s="228">
        <v>39.119999999999997</v>
      </c>
      <c r="DF157" s="228">
        <v>-14.15</v>
      </c>
      <c r="DG157" s="228">
        <v>-0.05</v>
      </c>
      <c r="DH157" s="228">
        <v>24.49</v>
      </c>
      <c r="DI157" s="228">
        <v>23.85</v>
      </c>
      <c r="DJ157" s="228">
        <v>0.64</v>
      </c>
      <c r="DK157" s="228">
        <v>0.64</v>
      </c>
      <c r="DL157" s="228">
        <v>25.71</v>
      </c>
      <c r="DM157" s="228">
        <v>26.01</v>
      </c>
      <c r="DN157" s="228">
        <v>-0.3</v>
      </c>
      <c r="DO157" s="228">
        <v>-0.3</v>
      </c>
      <c r="DP157" s="228">
        <v>0.72</v>
      </c>
      <c r="DQ157" s="228">
        <v>0.56999999999999995</v>
      </c>
      <c r="DR157" s="228">
        <v>0.15</v>
      </c>
      <c r="DS157" s="229">
        <v>0.26319999999999999</v>
      </c>
      <c r="DT157" s="231">
        <v>1880</v>
      </c>
      <c r="DU157" s="231">
        <v>1700</v>
      </c>
      <c r="DV157" s="228">
        <v>0.55000000000000004</v>
      </c>
      <c r="DW157" s="228">
        <v>0.44</v>
      </c>
      <c r="DX157" s="228">
        <v>0.11</v>
      </c>
      <c r="DY157" s="229">
        <v>0.25</v>
      </c>
      <c r="DZ157" s="229">
        <v>1.1599999999999999E-2</v>
      </c>
      <c r="EA157" s="230">
        <v>52850</v>
      </c>
      <c r="EB157" s="229">
        <v>3.5000000000000001E-3</v>
      </c>
      <c r="EC157" s="229">
        <v>1.1599999999999999E-2</v>
      </c>
      <c r="ED157" s="228">
        <v>4.97</v>
      </c>
      <c r="EE157" s="229">
        <v>2.8E-3</v>
      </c>
      <c r="EF157" s="230">
        <v>509950</v>
      </c>
      <c r="EG157" s="230">
        <v>154714</v>
      </c>
      <c r="EH157" s="229">
        <v>2.2961</v>
      </c>
      <c r="EI157" s="229">
        <v>0.66779999999999995</v>
      </c>
      <c r="EJ157" s="231">
        <v>69508.25</v>
      </c>
      <c r="EK157" s="231">
        <v>35395.64</v>
      </c>
      <c r="EL157" s="231">
        <v>11268.19</v>
      </c>
      <c r="EM157" s="231">
        <v>1442</v>
      </c>
      <c r="EN157" s="231">
        <v>116172.08</v>
      </c>
      <c r="EO157" s="231">
        <v>42269.36</v>
      </c>
      <c r="EP157" s="231">
        <v>73902.720000000001</v>
      </c>
      <c r="EQ157" s="229">
        <v>1.7484</v>
      </c>
      <c r="ER157" s="231">
        <v>23941</v>
      </c>
      <c r="ES157" s="231">
        <v>15839</v>
      </c>
      <c r="ET157" s="231">
        <v>87790</v>
      </c>
      <c r="EU157" s="231">
        <v>19533471</v>
      </c>
      <c r="EV157" s="231">
        <v>127570</v>
      </c>
      <c r="EW157" s="231">
        <v>118302</v>
      </c>
      <c r="EX157" s="231">
        <v>9268</v>
      </c>
      <c r="EY157" s="229">
        <v>7.8299999999999995E-2</v>
      </c>
      <c r="EZ157" s="229">
        <v>0.36609999999999998</v>
      </c>
      <c r="FA157" s="227" t="s">
        <v>555</v>
      </c>
      <c r="FB157" s="161">
        <f t="shared" si="3"/>
        <v>0</v>
      </c>
    </row>
    <row r="158" spans="1:158" ht="17.25" thickBot="1" x14ac:dyDescent="0.3">
      <c r="A158" s="226">
        <v>46064</v>
      </c>
      <c r="B158" s="227" t="s">
        <v>168</v>
      </c>
      <c r="C158" s="227" t="s">
        <v>274</v>
      </c>
      <c r="D158" s="228">
        <v>500</v>
      </c>
      <c r="E158" s="231">
        <v>1480.5</v>
      </c>
      <c r="F158" s="231">
        <v>1479.8</v>
      </c>
      <c r="G158" s="228">
        <v>0.7</v>
      </c>
      <c r="H158" s="229">
        <v>5.0000000000000001E-4</v>
      </c>
      <c r="I158" s="231">
        <v>1480.1</v>
      </c>
      <c r="J158" s="231">
        <v>1478.9</v>
      </c>
      <c r="K158" s="228">
        <v>1.2</v>
      </c>
      <c r="L158" s="229">
        <v>8.0000000000000004E-4</v>
      </c>
      <c r="M158" s="231">
        <v>1480.5</v>
      </c>
      <c r="N158" s="231">
        <v>1479.8</v>
      </c>
      <c r="O158" s="228">
        <v>0.7</v>
      </c>
      <c r="P158" s="229">
        <v>5.0000000000000001E-4</v>
      </c>
      <c r="Q158" s="231">
        <v>1488.1</v>
      </c>
      <c r="R158" s="231">
        <v>1488.5</v>
      </c>
      <c r="S158" s="228">
        <v>-0.4</v>
      </c>
      <c r="T158" s="229">
        <v>-2.9999999999999997E-4</v>
      </c>
      <c r="U158" s="231">
        <v>1500.2</v>
      </c>
      <c r="V158" s="231">
        <v>1497.5</v>
      </c>
      <c r="W158" s="228">
        <v>2.7</v>
      </c>
      <c r="X158" s="229">
        <v>1.8E-3</v>
      </c>
      <c r="Y158" s="228">
        <v>0.4</v>
      </c>
      <c r="Z158" s="228">
        <v>0.9</v>
      </c>
      <c r="AA158" s="228">
        <v>-0.5</v>
      </c>
      <c r="AB158" s="229">
        <v>2.9999999999999997E-4</v>
      </c>
      <c r="AC158" s="228">
        <v>0.4</v>
      </c>
      <c r="AD158" s="228">
        <v>0.9</v>
      </c>
      <c r="AE158" s="228">
        <v>-0.5</v>
      </c>
      <c r="AF158" s="229">
        <v>2.9999999999999997E-4</v>
      </c>
      <c r="AG158" s="228">
        <v>8</v>
      </c>
      <c r="AH158" s="228">
        <v>9.6</v>
      </c>
      <c r="AI158" s="228">
        <v>-1.6</v>
      </c>
      <c r="AJ158" s="229">
        <v>5.4000000000000003E-3</v>
      </c>
      <c r="AK158" s="228">
        <v>20.100000000000001</v>
      </c>
      <c r="AL158" s="228">
        <v>18.600000000000001</v>
      </c>
      <c r="AM158" s="228">
        <v>1.5</v>
      </c>
      <c r="AN158" s="229">
        <v>1.3599999999999999E-2</v>
      </c>
      <c r="AO158" s="231">
        <v>1484.03</v>
      </c>
      <c r="AP158" s="231">
        <v>1494.56</v>
      </c>
      <c r="AQ158" s="228">
        <v>0</v>
      </c>
      <c r="AR158" s="230">
        <v>1051500</v>
      </c>
      <c r="AS158" s="230">
        <v>748500</v>
      </c>
      <c r="AT158" s="230">
        <v>303000</v>
      </c>
      <c r="AU158" s="229">
        <v>0.40479999999999999</v>
      </c>
      <c r="AV158" s="230">
        <v>1002000</v>
      </c>
      <c r="AW158" s="230">
        <v>721000</v>
      </c>
      <c r="AX158" s="230">
        <v>281000</v>
      </c>
      <c r="AY158" s="229">
        <v>0.38969999999999999</v>
      </c>
      <c r="AZ158" s="230">
        <v>44500</v>
      </c>
      <c r="BA158" s="230">
        <v>23500</v>
      </c>
      <c r="BB158" s="230">
        <v>21000</v>
      </c>
      <c r="BC158" s="229">
        <v>0.89359999999999995</v>
      </c>
      <c r="BD158" s="230">
        <v>5000</v>
      </c>
      <c r="BE158" s="230">
        <v>4000</v>
      </c>
      <c r="BF158" s="230">
        <v>1000</v>
      </c>
      <c r="BG158" s="229">
        <v>0.25</v>
      </c>
      <c r="BH158" s="230">
        <v>1664500</v>
      </c>
      <c r="BI158" s="230">
        <v>1330500</v>
      </c>
      <c r="BJ158" s="230">
        <v>334000</v>
      </c>
      <c r="BK158" s="229">
        <v>0.251</v>
      </c>
      <c r="BL158" s="230">
        <v>692000</v>
      </c>
      <c r="BM158" s="230">
        <v>812000</v>
      </c>
      <c r="BN158" s="230">
        <v>-120000</v>
      </c>
      <c r="BO158" s="229">
        <v>-0.14779999999999999</v>
      </c>
      <c r="BP158" s="230">
        <v>3408000</v>
      </c>
      <c r="BQ158" s="230">
        <v>2891000</v>
      </c>
      <c r="BR158" s="230">
        <v>517000</v>
      </c>
      <c r="BS158" s="229">
        <v>0.17879999999999999</v>
      </c>
      <c r="BT158" s="230">
        <v>445922</v>
      </c>
      <c r="BU158" s="230">
        <v>518654</v>
      </c>
      <c r="BV158" s="230">
        <v>-72732</v>
      </c>
      <c r="BW158" s="229">
        <v>-0.14019999999999999</v>
      </c>
      <c r="BX158" s="230">
        <v>8458000</v>
      </c>
      <c r="BY158" s="230">
        <v>8649000</v>
      </c>
      <c r="BZ158" s="230">
        <v>-191000</v>
      </c>
      <c r="CA158" s="229">
        <v>-2.2100000000000002E-2</v>
      </c>
      <c r="CB158" s="230">
        <v>8359000</v>
      </c>
      <c r="CC158" s="230">
        <v>8556500</v>
      </c>
      <c r="CD158" s="230">
        <v>-197500</v>
      </c>
      <c r="CE158" s="229">
        <v>-2.3099999999999999E-2</v>
      </c>
      <c r="CF158" s="230">
        <v>84500</v>
      </c>
      <c r="CG158" s="230">
        <v>77000</v>
      </c>
      <c r="CH158" s="230">
        <v>7500</v>
      </c>
      <c r="CI158" s="229">
        <v>9.74E-2</v>
      </c>
      <c r="CJ158" s="230">
        <v>14500</v>
      </c>
      <c r="CK158" s="230">
        <v>15500</v>
      </c>
      <c r="CL158" s="230">
        <v>-1000</v>
      </c>
      <c r="CM158" s="229">
        <v>-6.4500000000000002E-2</v>
      </c>
      <c r="CN158" s="230">
        <v>1947000</v>
      </c>
      <c r="CO158" s="230">
        <v>1914000</v>
      </c>
      <c r="CP158" s="230">
        <v>33000</v>
      </c>
      <c r="CQ158" s="229">
        <v>1.72E-2</v>
      </c>
      <c r="CR158" s="230">
        <v>1475500</v>
      </c>
      <c r="CS158" s="230">
        <v>1529500</v>
      </c>
      <c r="CT158" s="230">
        <v>-54000</v>
      </c>
      <c r="CU158" s="229">
        <v>-3.5299999999999998E-2</v>
      </c>
      <c r="CV158" s="230">
        <v>11880500</v>
      </c>
      <c r="CW158" s="230">
        <v>12092500</v>
      </c>
      <c r="CX158" s="230">
        <v>-212000</v>
      </c>
      <c r="CY158" s="229">
        <v>-1.7500000000000002E-2</v>
      </c>
      <c r="CZ158" s="228">
        <v>21.29</v>
      </c>
      <c r="DA158" s="228">
        <v>21.23</v>
      </c>
      <c r="DB158" s="228">
        <v>0.06</v>
      </c>
      <c r="DC158" s="228">
        <v>0.06</v>
      </c>
      <c r="DD158" s="228">
        <v>21.29</v>
      </c>
      <c r="DE158" s="228">
        <v>21.34</v>
      </c>
      <c r="DF158" s="228">
        <v>0</v>
      </c>
      <c r="DG158" s="228">
        <v>-0.05</v>
      </c>
      <c r="DH158" s="228">
        <v>20.82</v>
      </c>
      <c r="DI158" s="228">
        <v>20.38</v>
      </c>
      <c r="DJ158" s="228">
        <v>0.44</v>
      </c>
      <c r="DK158" s="228">
        <v>0.44</v>
      </c>
      <c r="DL158" s="228">
        <v>22.42</v>
      </c>
      <c r="DM158" s="228">
        <v>22.63</v>
      </c>
      <c r="DN158" s="228">
        <v>-0.21</v>
      </c>
      <c r="DO158" s="228">
        <v>-0.21</v>
      </c>
      <c r="DP158" s="228">
        <v>0.76</v>
      </c>
      <c r="DQ158" s="228">
        <v>0.8</v>
      </c>
      <c r="DR158" s="228">
        <v>-0.04</v>
      </c>
      <c r="DS158" s="229">
        <v>-0.05</v>
      </c>
      <c r="DT158" s="231">
        <v>1560</v>
      </c>
      <c r="DU158" s="231">
        <v>1400</v>
      </c>
      <c r="DV158" s="228">
        <v>0.42</v>
      </c>
      <c r="DW158" s="228">
        <v>0.61</v>
      </c>
      <c r="DX158" s="228">
        <v>-0.19</v>
      </c>
      <c r="DY158" s="229">
        <v>-0.3115</v>
      </c>
      <c r="DZ158" s="229">
        <v>1.17E-2</v>
      </c>
      <c r="EA158" s="230">
        <v>92500</v>
      </c>
      <c r="EB158" s="229">
        <v>5.1000000000000004E-3</v>
      </c>
      <c r="EC158" s="229">
        <v>1.17E-2</v>
      </c>
      <c r="ED158" s="228">
        <v>10.53</v>
      </c>
      <c r="EE158" s="229">
        <v>7.1000000000000004E-3</v>
      </c>
      <c r="EF158" s="230">
        <v>288567</v>
      </c>
      <c r="EG158" s="230">
        <v>273509</v>
      </c>
      <c r="EH158" s="229">
        <v>5.5100000000000003E-2</v>
      </c>
      <c r="EI158" s="229">
        <v>0.64710000000000001</v>
      </c>
      <c r="EJ158" s="231">
        <v>25403.84</v>
      </c>
      <c r="EK158" s="231">
        <v>9980.49</v>
      </c>
      <c r="EL158" s="231">
        <v>15610.3</v>
      </c>
      <c r="EM158" s="231">
        <v>2692</v>
      </c>
      <c r="EN158" s="231">
        <v>50994.63</v>
      </c>
      <c r="EO158" s="231">
        <v>43106.9</v>
      </c>
      <c r="EP158" s="231">
        <v>7887.73</v>
      </c>
      <c r="EQ158" s="229">
        <v>0.183</v>
      </c>
      <c r="ER158" s="231">
        <v>29433</v>
      </c>
      <c r="ES158" s="231">
        <v>20743</v>
      </c>
      <c r="ET158" s="231">
        <v>125230</v>
      </c>
      <c r="EU158" s="231">
        <v>31214205</v>
      </c>
      <c r="EV158" s="231">
        <v>175406</v>
      </c>
      <c r="EW158" s="231">
        <v>178395</v>
      </c>
      <c r="EX158" s="231">
        <v>-2989</v>
      </c>
      <c r="EY158" s="229">
        <v>-1.6799999999999999E-2</v>
      </c>
      <c r="EZ158" s="229">
        <v>0.38059999999999999</v>
      </c>
      <c r="FA158" s="227" t="s">
        <v>556</v>
      </c>
      <c r="FB158" s="161">
        <f t="shared" si="3"/>
        <v>0</v>
      </c>
    </row>
    <row r="159" spans="1:158" ht="17.25" thickBot="1" x14ac:dyDescent="0.3">
      <c r="A159" s="226">
        <v>46064</v>
      </c>
      <c r="B159" s="227" t="s">
        <v>498</v>
      </c>
      <c r="C159" s="227" t="s">
        <v>483</v>
      </c>
      <c r="D159" s="228">
        <v>175</v>
      </c>
      <c r="E159" s="231">
        <v>3276.4</v>
      </c>
      <c r="F159" s="231">
        <v>3158.9</v>
      </c>
      <c r="G159" s="228">
        <v>117.5</v>
      </c>
      <c r="H159" s="229">
        <v>3.7199999999999997E-2</v>
      </c>
      <c r="I159" s="231">
        <v>3281.1</v>
      </c>
      <c r="J159" s="231">
        <v>3190.6</v>
      </c>
      <c r="K159" s="228">
        <v>90.5</v>
      </c>
      <c r="L159" s="229">
        <v>2.8400000000000002E-2</v>
      </c>
      <c r="M159" s="231">
        <v>3276.4</v>
      </c>
      <c r="N159" s="231">
        <v>3158.9</v>
      </c>
      <c r="O159" s="228">
        <v>117.5</v>
      </c>
      <c r="P159" s="229">
        <v>3.7199999999999997E-2</v>
      </c>
      <c r="Q159" s="231">
        <v>3233.8</v>
      </c>
      <c r="R159" s="231">
        <v>3117.1</v>
      </c>
      <c r="S159" s="228">
        <v>116.7</v>
      </c>
      <c r="T159" s="229">
        <v>3.7400000000000003E-2</v>
      </c>
      <c r="U159" s="231">
        <v>3217.2</v>
      </c>
      <c r="V159" s="231">
        <v>3098.8</v>
      </c>
      <c r="W159" s="228">
        <v>118.4</v>
      </c>
      <c r="X159" s="229">
        <v>3.8199999999999998E-2</v>
      </c>
      <c r="Y159" s="228">
        <v>-4.7</v>
      </c>
      <c r="Z159" s="228">
        <v>-31.7</v>
      </c>
      <c r="AA159" s="228">
        <v>27</v>
      </c>
      <c r="AB159" s="229">
        <v>-1.4E-3</v>
      </c>
      <c r="AC159" s="228">
        <v>-4.7</v>
      </c>
      <c r="AD159" s="228">
        <v>-31.7</v>
      </c>
      <c r="AE159" s="228">
        <v>27</v>
      </c>
      <c r="AF159" s="229">
        <v>-1.4E-3</v>
      </c>
      <c r="AG159" s="228">
        <v>-47.3</v>
      </c>
      <c r="AH159" s="228">
        <v>-73.5</v>
      </c>
      <c r="AI159" s="228">
        <v>26.2</v>
      </c>
      <c r="AJ159" s="229">
        <v>-1.44E-2</v>
      </c>
      <c r="AK159" s="228">
        <v>-63.9</v>
      </c>
      <c r="AL159" s="228">
        <v>-91.8</v>
      </c>
      <c r="AM159" s="228">
        <v>27.9</v>
      </c>
      <c r="AN159" s="229">
        <v>-1.95E-2</v>
      </c>
      <c r="AO159" s="231">
        <v>3234.18</v>
      </c>
      <c r="AP159" s="231">
        <v>3185.93</v>
      </c>
      <c r="AQ159" s="228">
        <v>0</v>
      </c>
      <c r="AR159" s="230">
        <v>2726150</v>
      </c>
      <c r="AS159" s="230">
        <v>1102500</v>
      </c>
      <c r="AT159" s="230">
        <v>1623650</v>
      </c>
      <c r="AU159" s="229">
        <v>1.4726999999999999</v>
      </c>
      <c r="AV159" s="230">
        <v>2454900</v>
      </c>
      <c r="AW159" s="230">
        <v>877275</v>
      </c>
      <c r="AX159" s="230">
        <v>1577625</v>
      </c>
      <c r="AY159" s="229">
        <v>1.7983</v>
      </c>
      <c r="AZ159" s="230">
        <v>233450</v>
      </c>
      <c r="BA159" s="230">
        <v>189175</v>
      </c>
      <c r="BB159" s="230">
        <v>44275</v>
      </c>
      <c r="BC159" s="229">
        <v>0.23400000000000001</v>
      </c>
      <c r="BD159" s="230">
        <v>37800</v>
      </c>
      <c r="BE159" s="230">
        <v>36050</v>
      </c>
      <c r="BF159" s="230">
        <v>1750</v>
      </c>
      <c r="BG159" s="229">
        <v>4.8500000000000001E-2</v>
      </c>
      <c r="BH159" s="230">
        <v>4807425</v>
      </c>
      <c r="BI159" s="230">
        <v>974400</v>
      </c>
      <c r="BJ159" s="230">
        <v>3833025</v>
      </c>
      <c r="BK159" s="229">
        <v>3.9337</v>
      </c>
      <c r="BL159" s="230">
        <v>3134775</v>
      </c>
      <c r="BM159" s="230">
        <v>795900</v>
      </c>
      <c r="BN159" s="230">
        <v>2338875</v>
      </c>
      <c r="BO159" s="229">
        <v>2.9386999999999999</v>
      </c>
      <c r="BP159" s="230">
        <v>10668350</v>
      </c>
      <c r="BQ159" s="230">
        <v>2872800</v>
      </c>
      <c r="BR159" s="230">
        <v>7795550</v>
      </c>
      <c r="BS159" s="229">
        <v>2.7136</v>
      </c>
      <c r="BT159" s="230">
        <v>538370</v>
      </c>
      <c r="BU159" s="230">
        <v>363198</v>
      </c>
      <c r="BV159" s="230">
        <v>175172</v>
      </c>
      <c r="BW159" s="229">
        <v>0.48230000000000001</v>
      </c>
      <c r="BX159" s="230">
        <v>3823925</v>
      </c>
      <c r="BY159" s="230">
        <v>3618125</v>
      </c>
      <c r="BZ159" s="230">
        <v>205800</v>
      </c>
      <c r="CA159" s="229">
        <v>5.6899999999999999E-2</v>
      </c>
      <c r="CB159" s="230">
        <v>3383800</v>
      </c>
      <c r="CC159" s="230">
        <v>3185700</v>
      </c>
      <c r="CD159" s="230">
        <v>198100</v>
      </c>
      <c r="CE159" s="229">
        <v>6.2199999999999998E-2</v>
      </c>
      <c r="CF159" s="230">
        <v>371700</v>
      </c>
      <c r="CG159" s="230">
        <v>373100</v>
      </c>
      <c r="CH159" s="230">
        <v>-1400</v>
      </c>
      <c r="CI159" s="229">
        <v>-3.8E-3</v>
      </c>
      <c r="CJ159" s="230">
        <v>68425</v>
      </c>
      <c r="CK159" s="230">
        <v>59325</v>
      </c>
      <c r="CL159" s="230">
        <v>9100</v>
      </c>
      <c r="CM159" s="229">
        <v>0.15340000000000001</v>
      </c>
      <c r="CN159" s="230">
        <v>1127525</v>
      </c>
      <c r="CO159" s="230">
        <v>723625</v>
      </c>
      <c r="CP159" s="230">
        <v>403900</v>
      </c>
      <c r="CQ159" s="229">
        <v>0.55820000000000003</v>
      </c>
      <c r="CR159" s="230">
        <v>1768025</v>
      </c>
      <c r="CS159" s="230">
        <v>773850</v>
      </c>
      <c r="CT159" s="230">
        <v>994175</v>
      </c>
      <c r="CU159" s="229">
        <v>1.2847</v>
      </c>
      <c r="CV159" s="230">
        <v>6719475</v>
      </c>
      <c r="CW159" s="230">
        <v>5115600</v>
      </c>
      <c r="CX159" s="230">
        <v>1603875</v>
      </c>
      <c r="CY159" s="229">
        <v>0.3135</v>
      </c>
      <c r="CZ159" s="228">
        <v>52.74</v>
      </c>
      <c r="DA159" s="228">
        <v>38.659999999999997</v>
      </c>
      <c r="DB159" s="228">
        <v>14.08</v>
      </c>
      <c r="DC159" s="228">
        <v>14.08</v>
      </c>
      <c r="DD159" s="228">
        <v>29.21</v>
      </c>
      <c r="DE159" s="228">
        <v>28.86</v>
      </c>
      <c r="DF159" s="228">
        <v>23.53</v>
      </c>
      <c r="DG159" s="228">
        <v>0.35</v>
      </c>
      <c r="DH159" s="228">
        <v>51.17</v>
      </c>
      <c r="DI159" s="228">
        <v>37.89</v>
      </c>
      <c r="DJ159" s="228">
        <v>13.28</v>
      </c>
      <c r="DK159" s="228">
        <v>13.28</v>
      </c>
      <c r="DL159" s="228">
        <v>55.15</v>
      </c>
      <c r="DM159" s="228">
        <v>39.61</v>
      </c>
      <c r="DN159" s="228">
        <v>15.54</v>
      </c>
      <c r="DO159" s="228">
        <v>15.54</v>
      </c>
      <c r="DP159" s="228">
        <v>1.57</v>
      </c>
      <c r="DQ159" s="228">
        <v>1.07</v>
      </c>
      <c r="DR159" s="228">
        <v>0.5</v>
      </c>
      <c r="DS159" s="229">
        <v>0.46729999999999999</v>
      </c>
      <c r="DT159" s="231">
        <v>3400</v>
      </c>
      <c r="DU159" s="231">
        <v>3100</v>
      </c>
      <c r="DV159" s="228">
        <v>0.65</v>
      </c>
      <c r="DW159" s="228">
        <v>0.82</v>
      </c>
      <c r="DX159" s="228">
        <v>-0.17</v>
      </c>
      <c r="DY159" s="229">
        <v>-0.20730000000000001</v>
      </c>
      <c r="DZ159" s="229">
        <v>0.11509999999999999</v>
      </c>
      <c r="EA159" s="230">
        <v>432425</v>
      </c>
      <c r="EB159" s="229">
        <v>-1.2999999999999999E-2</v>
      </c>
      <c r="EC159" s="229">
        <v>0.11509999999999999</v>
      </c>
      <c r="ED159" s="228">
        <v>-48.25</v>
      </c>
      <c r="EE159" s="229">
        <v>-1.49E-2</v>
      </c>
      <c r="EF159" s="230">
        <v>215406</v>
      </c>
      <c r="EG159" s="230">
        <v>202242</v>
      </c>
      <c r="EH159" s="229">
        <v>6.5100000000000005E-2</v>
      </c>
      <c r="EI159" s="229">
        <v>0.40010000000000001</v>
      </c>
      <c r="EJ159" s="231">
        <v>163292.64000000001</v>
      </c>
      <c r="EK159" s="231">
        <v>100094.3</v>
      </c>
      <c r="EL159" s="231">
        <v>88043.31</v>
      </c>
      <c r="EM159" s="231">
        <v>3573</v>
      </c>
      <c r="EN159" s="231">
        <v>351430.25</v>
      </c>
      <c r="EO159" s="231">
        <v>92478.84</v>
      </c>
      <c r="EP159" s="231">
        <v>258951.41</v>
      </c>
      <c r="EQ159" s="229">
        <v>2.8001</v>
      </c>
      <c r="ER159" s="231">
        <v>37233</v>
      </c>
      <c r="ES159" s="231">
        <v>55109</v>
      </c>
      <c r="ET159" s="231">
        <v>125088</v>
      </c>
      <c r="EU159" s="231">
        <v>10712372</v>
      </c>
      <c r="EV159" s="231">
        <v>217430</v>
      </c>
      <c r="EW159" s="231">
        <v>161696</v>
      </c>
      <c r="EX159" s="231">
        <v>55734</v>
      </c>
      <c r="EY159" s="229">
        <v>0.34470000000000001</v>
      </c>
      <c r="EZ159" s="229">
        <v>0.62729999999999997</v>
      </c>
      <c r="FA159" s="227" t="s">
        <v>555</v>
      </c>
      <c r="FB159" s="161">
        <f t="shared" si="3"/>
        <v>0</v>
      </c>
    </row>
    <row r="160" spans="1:158" ht="17.25" thickBot="1" x14ac:dyDescent="0.3">
      <c r="A160" s="226">
        <v>46064</v>
      </c>
      <c r="B160" s="227" t="s">
        <v>172</v>
      </c>
      <c r="C160" s="227" t="s">
        <v>275</v>
      </c>
      <c r="D160" s="228">
        <v>8000</v>
      </c>
      <c r="E160" s="228">
        <v>123.27</v>
      </c>
      <c r="F160" s="228">
        <v>123.37</v>
      </c>
      <c r="G160" s="228">
        <v>-0.1</v>
      </c>
      <c r="H160" s="229">
        <v>-8.0000000000000004E-4</v>
      </c>
      <c r="I160" s="228">
        <v>122.91</v>
      </c>
      <c r="J160" s="228">
        <v>122.96</v>
      </c>
      <c r="K160" s="228">
        <v>-0.05</v>
      </c>
      <c r="L160" s="229">
        <v>-4.0000000000000002E-4</v>
      </c>
      <c r="M160" s="228">
        <v>123.27</v>
      </c>
      <c r="N160" s="228">
        <v>123.37</v>
      </c>
      <c r="O160" s="228">
        <v>-0.1</v>
      </c>
      <c r="P160" s="229">
        <v>-8.0000000000000004E-4</v>
      </c>
      <c r="Q160" s="228">
        <v>124.03</v>
      </c>
      <c r="R160" s="228">
        <v>124.11</v>
      </c>
      <c r="S160" s="228">
        <v>-0.08</v>
      </c>
      <c r="T160" s="229">
        <v>-5.9999999999999995E-4</v>
      </c>
      <c r="U160" s="228">
        <v>124.8</v>
      </c>
      <c r="V160" s="228">
        <v>124.98</v>
      </c>
      <c r="W160" s="228">
        <v>-0.18</v>
      </c>
      <c r="X160" s="229">
        <v>-1.4E-3</v>
      </c>
      <c r="Y160" s="228">
        <v>0.36</v>
      </c>
      <c r="Z160" s="228">
        <v>0.41</v>
      </c>
      <c r="AA160" s="228">
        <v>-0.05</v>
      </c>
      <c r="AB160" s="229">
        <v>2.8999999999999998E-3</v>
      </c>
      <c r="AC160" s="228">
        <v>0.36</v>
      </c>
      <c r="AD160" s="228">
        <v>0.41</v>
      </c>
      <c r="AE160" s="228">
        <v>-0.05</v>
      </c>
      <c r="AF160" s="229">
        <v>2.8999999999999998E-3</v>
      </c>
      <c r="AG160" s="228">
        <v>1.1200000000000001</v>
      </c>
      <c r="AH160" s="228">
        <v>1.1499999999999999</v>
      </c>
      <c r="AI160" s="228">
        <v>-0.03</v>
      </c>
      <c r="AJ160" s="229">
        <v>9.1000000000000004E-3</v>
      </c>
      <c r="AK160" s="228">
        <v>1.89</v>
      </c>
      <c r="AL160" s="228">
        <v>2.02</v>
      </c>
      <c r="AM160" s="228">
        <v>-0.13</v>
      </c>
      <c r="AN160" s="229">
        <v>1.54E-2</v>
      </c>
      <c r="AO160" s="228">
        <v>122.87</v>
      </c>
      <c r="AP160" s="228">
        <v>123.62</v>
      </c>
      <c r="AQ160" s="228">
        <v>0</v>
      </c>
      <c r="AR160" s="230">
        <v>44936000</v>
      </c>
      <c r="AS160" s="230">
        <v>24080000</v>
      </c>
      <c r="AT160" s="230">
        <v>20856000</v>
      </c>
      <c r="AU160" s="229">
        <v>0.86609999999999998</v>
      </c>
      <c r="AV160" s="230">
        <v>38320000</v>
      </c>
      <c r="AW160" s="230">
        <v>20128000</v>
      </c>
      <c r="AX160" s="230">
        <v>18192000</v>
      </c>
      <c r="AY160" s="229">
        <v>0.90380000000000005</v>
      </c>
      <c r="AZ160" s="230">
        <v>5944000</v>
      </c>
      <c r="BA160" s="230">
        <v>3688000</v>
      </c>
      <c r="BB160" s="230">
        <v>2256000</v>
      </c>
      <c r="BC160" s="229">
        <v>0.61170000000000002</v>
      </c>
      <c r="BD160" s="230">
        <v>672000</v>
      </c>
      <c r="BE160" s="230">
        <v>264000</v>
      </c>
      <c r="BF160" s="230">
        <v>408000</v>
      </c>
      <c r="BG160" s="229">
        <v>1.5455000000000001</v>
      </c>
      <c r="BH160" s="230">
        <v>145464000</v>
      </c>
      <c r="BI160" s="230">
        <v>62920000</v>
      </c>
      <c r="BJ160" s="230">
        <v>82544000</v>
      </c>
      <c r="BK160" s="229">
        <v>1.3119000000000001</v>
      </c>
      <c r="BL160" s="230">
        <v>68720000</v>
      </c>
      <c r="BM160" s="230">
        <v>26256000</v>
      </c>
      <c r="BN160" s="230">
        <v>42464000</v>
      </c>
      <c r="BO160" s="229">
        <v>1.6173</v>
      </c>
      <c r="BP160" s="230">
        <v>259120000</v>
      </c>
      <c r="BQ160" s="230">
        <v>113256000</v>
      </c>
      <c r="BR160" s="230">
        <v>145864000</v>
      </c>
      <c r="BS160" s="229">
        <v>1.2879</v>
      </c>
      <c r="BT160" s="230">
        <v>15061669</v>
      </c>
      <c r="BU160" s="230">
        <v>13112578</v>
      </c>
      <c r="BV160" s="230">
        <v>1949091</v>
      </c>
      <c r="BW160" s="229">
        <v>0.14860000000000001</v>
      </c>
      <c r="BX160" s="230">
        <v>229760000</v>
      </c>
      <c r="BY160" s="230">
        <v>230384000</v>
      </c>
      <c r="BZ160" s="230">
        <v>-624000</v>
      </c>
      <c r="CA160" s="229">
        <v>-2.7000000000000001E-3</v>
      </c>
      <c r="CB160" s="230">
        <v>214472000</v>
      </c>
      <c r="CC160" s="230">
        <v>216736000</v>
      </c>
      <c r="CD160" s="230">
        <v>-2264000</v>
      </c>
      <c r="CE160" s="229">
        <v>-1.04E-2</v>
      </c>
      <c r="CF160" s="230">
        <v>13432000</v>
      </c>
      <c r="CG160" s="230">
        <v>12024000</v>
      </c>
      <c r="CH160" s="230">
        <v>1408000</v>
      </c>
      <c r="CI160" s="229">
        <v>0.1171</v>
      </c>
      <c r="CJ160" s="230">
        <v>1856000</v>
      </c>
      <c r="CK160" s="230">
        <v>1624000</v>
      </c>
      <c r="CL160" s="230">
        <v>232000</v>
      </c>
      <c r="CM160" s="229">
        <v>0.1429</v>
      </c>
      <c r="CN160" s="230">
        <v>139168000</v>
      </c>
      <c r="CO160" s="230">
        <v>138056000</v>
      </c>
      <c r="CP160" s="230">
        <v>1112000</v>
      </c>
      <c r="CQ160" s="229">
        <v>8.0999999999999996E-3</v>
      </c>
      <c r="CR160" s="230">
        <v>82104000</v>
      </c>
      <c r="CS160" s="230">
        <v>78664000</v>
      </c>
      <c r="CT160" s="230">
        <v>3440000</v>
      </c>
      <c r="CU160" s="229">
        <v>4.3700000000000003E-2</v>
      </c>
      <c r="CV160" s="230">
        <v>451032000</v>
      </c>
      <c r="CW160" s="230">
        <v>447104000</v>
      </c>
      <c r="CX160" s="230">
        <v>3928000</v>
      </c>
      <c r="CY160" s="229">
        <v>8.8000000000000005E-3</v>
      </c>
      <c r="CZ160" s="228">
        <v>28.88</v>
      </c>
      <c r="DA160" s="228">
        <v>28.29</v>
      </c>
      <c r="DB160" s="228">
        <v>0.59</v>
      </c>
      <c r="DC160" s="228">
        <v>0.59</v>
      </c>
      <c r="DD160" s="228">
        <v>34.950000000000003</v>
      </c>
      <c r="DE160" s="228">
        <v>35.04</v>
      </c>
      <c r="DF160" s="228">
        <v>-6.07</v>
      </c>
      <c r="DG160" s="228">
        <v>-0.09</v>
      </c>
      <c r="DH160" s="228">
        <v>29.16</v>
      </c>
      <c r="DI160" s="228">
        <v>28.76</v>
      </c>
      <c r="DJ160" s="228">
        <v>0.4</v>
      </c>
      <c r="DK160" s="228">
        <v>0.4</v>
      </c>
      <c r="DL160" s="228">
        <v>28.27</v>
      </c>
      <c r="DM160" s="228">
        <v>27.18</v>
      </c>
      <c r="DN160" s="228">
        <v>1.0900000000000001</v>
      </c>
      <c r="DO160" s="228">
        <v>1.0900000000000001</v>
      </c>
      <c r="DP160" s="228">
        <v>0.59</v>
      </c>
      <c r="DQ160" s="228">
        <v>0.56999999999999995</v>
      </c>
      <c r="DR160" s="228">
        <v>0.02</v>
      </c>
      <c r="DS160" s="229">
        <v>3.5099999999999999E-2</v>
      </c>
      <c r="DT160" s="228">
        <v>125</v>
      </c>
      <c r="DU160" s="228">
        <v>120</v>
      </c>
      <c r="DV160" s="228">
        <v>0.47</v>
      </c>
      <c r="DW160" s="228">
        <v>0.42</v>
      </c>
      <c r="DX160" s="228">
        <v>0.05</v>
      </c>
      <c r="DY160" s="229">
        <v>0.11899999999999999</v>
      </c>
      <c r="DZ160" s="229">
        <v>6.6500000000000004E-2</v>
      </c>
      <c r="EA160" s="230">
        <v>13648000</v>
      </c>
      <c r="EB160" s="229">
        <v>6.1999999999999998E-3</v>
      </c>
      <c r="EC160" s="229">
        <v>6.6500000000000004E-2</v>
      </c>
      <c r="ED160" s="228">
        <v>0.75</v>
      </c>
      <c r="EE160" s="229">
        <v>6.1000000000000004E-3</v>
      </c>
      <c r="EF160" s="230">
        <v>6113735</v>
      </c>
      <c r="EG160" s="230">
        <v>6181918</v>
      </c>
      <c r="EH160" s="229">
        <v>-1.0999999999999999E-2</v>
      </c>
      <c r="EI160" s="229">
        <v>0.40589999999999998</v>
      </c>
      <c r="EJ160" s="231">
        <v>187459.54</v>
      </c>
      <c r="EK160" s="231">
        <v>83014.44</v>
      </c>
      <c r="EL160" s="231">
        <v>55265.45</v>
      </c>
      <c r="EM160" s="231">
        <v>4748</v>
      </c>
      <c r="EN160" s="231">
        <v>325739.43</v>
      </c>
      <c r="EO160" s="231">
        <v>143512.26999999999</v>
      </c>
      <c r="EP160" s="231">
        <v>182227.16</v>
      </c>
      <c r="EQ160" s="229">
        <v>1.2698</v>
      </c>
      <c r="ER160" s="231">
        <v>181184</v>
      </c>
      <c r="ES160" s="231">
        <v>98950</v>
      </c>
      <c r="ET160" s="231">
        <v>283356</v>
      </c>
      <c r="EU160" s="231">
        <v>515822637</v>
      </c>
      <c r="EV160" s="231">
        <v>563490</v>
      </c>
      <c r="EW160" s="231">
        <v>559404</v>
      </c>
      <c r="EX160" s="231">
        <v>4086</v>
      </c>
      <c r="EY160" s="229">
        <v>7.3000000000000001E-3</v>
      </c>
      <c r="EZ160" s="229">
        <v>0.87439999999999996</v>
      </c>
      <c r="FA160" s="227" t="s">
        <v>568</v>
      </c>
      <c r="FB160" s="161">
        <f t="shared" si="3"/>
        <v>0</v>
      </c>
    </row>
    <row r="161" spans="1:158" ht="17.25" thickBot="1" x14ac:dyDescent="0.3">
      <c r="A161" s="226">
        <v>46064</v>
      </c>
      <c r="B161" s="227" t="s">
        <v>175</v>
      </c>
      <c r="C161" s="227" t="s">
        <v>669</v>
      </c>
      <c r="D161" s="228">
        <v>650</v>
      </c>
      <c r="E161" s="228">
        <v>855.1</v>
      </c>
      <c r="F161" s="228">
        <v>855.5</v>
      </c>
      <c r="G161" s="228">
        <v>-0.4</v>
      </c>
      <c r="H161" s="229">
        <v>-5.0000000000000001E-4</v>
      </c>
      <c r="I161" s="228">
        <v>854.9</v>
      </c>
      <c r="J161" s="228">
        <v>854.75</v>
      </c>
      <c r="K161" s="228">
        <v>0.15</v>
      </c>
      <c r="L161" s="229">
        <v>2.0000000000000001E-4</v>
      </c>
      <c r="M161" s="228">
        <v>855.1</v>
      </c>
      <c r="N161" s="228">
        <v>855.5</v>
      </c>
      <c r="O161" s="228">
        <v>-0.4</v>
      </c>
      <c r="P161" s="229">
        <v>-5.0000000000000001E-4</v>
      </c>
      <c r="Q161" s="228">
        <v>860.5</v>
      </c>
      <c r="R161" s="228">
        <v>861.05</v>
      </c>
      <c r="S161" s="228">
        <v>-0.55000000000000004</v>
      </c>
      <c r="T161" s="229">
        <v>-5.9999999999999995E-4</v>
      </c>
      <c r="U161" s="228">
        <v>863.9</v>
      </c>
      <c r="V161" s="228">
        <v>866</v>
      </c>
      <c r="W161" s="228">
        <v>-2.1</v>
      </c>
      <c r="X161" s="229">
        <v>-2.3999999999999998E-3</v>
      </c>
      <c r="Y161" s="228">
        <v>0.2</v>
      </c>
      <c r="Z161" s="228">
        <v>0.75</v>
      </c>
      <c r="AA161" s="228">
        <v>-0.55000000000000004</v>
      </c>
      <c r="AB161" s="229">
        <v>2.0000000000000001E-4</v>
      </c>
      <c r="AC161" s="228">
        <v>0.2</v>
      </c>
      <c r="AD161" s="228">
        <v>0.75</v>
      </c>
      <c r="AE161" s="228">
        <v>-0.55000000000000004</v>
      </c>
      <c r="AF161" s="229">
        <v>2.0000000000000001E-4</v>
      </c>
      <c r="AG161" s="228">
        <v>5.6</v>
      </c>
      <c r="AH161" s="228">
        <v>6.3</v>
      </c>
      <c r="AI161" s="228">
        <v>-0.7</v>
      </c>
      <c r="AJ161" s="229">
        <v>6.6E-3</v>
      </c>
      <c r="AK161" s="228">
        <v>9</v>
      </c>
      <c r="AL161" s="228">
        <v>11.25</v>
      </c>
      <c r="AM161" s="228">
        <v>-2.25</v>
      </c>
      <c r="AN161" s="229">
        <v>1.0500000000000001E-2</v>
      </c>
      <c r="AO161" s="228">
        <v>853.24</v>
      </c>
      <c r="AP161" s="228">
        <v>857.51</v>
      </c>
      <c r="AQ161" s="228">
        <v>0</v>
      </c>
      <c r="AR161" s="230">
        <v>1239550</v>
      </c>
      <c r="AS161" s="230">
        <v>2086500</v>
      </c>
      <c r="AT161" s="230">
        <v>-846950</v>
      </c>
      <c r="AU161" s="229">
        <v>-0.40589999999999998</v>
      </c>
      <c r="AV161" s="230">
        <v>1169350</v>
      </c>
      <c r="AW161" s="230">
        <v>1960400</v>
      </c>
      <c r="AX161" s="230">
        <v>-791050</v>
      </c>
      <c r="AY161" s="229">
        <v>-0.40350000000000003</v>
      </c>
      <c r="AZ161" s="230">
        <v>67600</v>
      </c>
      <c r="BA161" s="230">
        <v>118300</v>
      </c>
      <c r="BB161" s="230">
        <v>-50700</v>
      </c>
      <c r="BC161" s="229">
        <v>-0.42859999999999998</v>
      </c>
      <c r="BD161" s="230">
        <v>2600</v>
      </c>
      <c r="BE161" s="230">
        <v>7800</v>
      </c>
      <c r="BF161" s="230">
        <v>-5200</v>
      </c>
      <c r="BG161" s="229">
        <v>-0.66669999999999996</v>
      </c>
      <c r="BH161" s="230">
        <v>1343550</v>
      </c>
      <c r="BI161" s="230">
        <v>3236350</v>
      </c>
      <c r="BJ161" s="230">
        <v>-1892800</v>
      </c>
      <c r="BK161" s="229">
        <v>-0.58489999999999998</v>
      </c>
      <c r="BL161" s="230">
        <v>365950</v>
      </c>
      <c r="BM161" s="230">
        <v>1090050</v>
      </c>
      <c r="BN161" s="230">
        <v>-724100</v>
      </c>
      <c r="BO161" s="229">
        <v>-0.6643</v>
      </c>
      <c r="BP161" s="230">
        <v>2949050</v>
      </c>
      <c r="BQ161" s="230">
        <v>6412900</v>
      </c>
      <c r="BR161" s="230">
        <v>-3463850</v>
      </c>
      <c r="BS161" s="229">
        <v>-0.54010000000000002</v>
      </c>
      <c r="BT161" s="230">
        <v>1085684</v>
      </c>
      <c r="BU161" s="230">
        <v>1462347</v>
      </c>
      <c r="BV161" s="230">
        <v>-376663</v>
      </c>
      <c r="BW161" s="229">
        <v>-0.2576</v>
      </c>
      <c r="BX161" s="230">
        <v>14138800</v>
      </c>
      <c r="BY161" s="230">
        <v>14256450</v>
      </c>
      <c r="BZ161" s="230">
        <v>-117650</v>
      </c>
      <c r="CA161" s="229">
        <v>-8.3000000000000001E-3</v>
      </c>
      <c r="CB161" s="230">
        <v>13841100</v>
      </c>
      <c r="CC161" s="230">
        <v>13982150</v>
      </c>
      <c r="CD161" s="230">
        <v>-141050</v>
      </c>
      <c r="CE161" s="229">
        <v>-1.01E-2</v>
      </c>
      <c r="CF161" s="230">
        <v>261950</v>
      </c>
      <c r="CG161" s="230">
        <v>240500</v>
      </c>
      <c r="CH161" s="230">
        <v>21450</v>
      </c>
      <c r="CI161" s="229">
        <v>8.9200000000000002E-2</v>
      </c>
      <c r="CJ161" s="230">
        <v>35750</v>
      </c>
      <c r="CK161" s="230">
        <v>33800</v>
      </c>
      <c r="CL161" s="230">
        <v>1950</v>
      </c>
      <c r="CM161" s="229">
        <v>5.7700000000000001E-2</v>
      </c>
      <c r="CN161" s="230">
        <v>2821000</v>
      </c>
      <c r="CO161" s="230">
        <v>2837250</v>
      </c>
      <c r="CP161" s="230">
        <v>-16250</v>
      </c>
      <c r="CQ161" s="229">
        <v>-5.7000000000000002E-3</v>
      </c>
      <c r="CR161" s="230">
        <v>2535650</v>
      </c>
      <c r="CS161" s="230">
        <v>2549300</v>
      </c>
      <c r="CT161" s="230">
        <v>-13650</v>
      </c>
      <c r="CU161" s="229">
        <v>-5.4000000000000003E-3</v>
      </c>
      <c r="CV161" s="230">
        <v>19495450</v>
      </c>
      <c r="CW161" s="230">
        <v>19643000</v>
      </c>
      <c r="CX161" s="230">
        <v>-147550</v>
      </c>
      <c r="CY161" s="229">
        <v>-7.4999999999999997E-3</v>
      </c>
      <c r="CZ161" s="228">
        <v>33.08</v>
      </c>
      <c r="DA161" s="228">
        <v>33.549999999999997</v>
      </c>
      <c r="DB161" s="228">
        <v>-0.47</v>
      </c>
      <c r="DC161" s="228">
        <v>-0.47</v>
      </c>
      <c r="DD161" s="228">
        <v>45.93</v>
      </c>
      <c r="DE161" s="228">
        <v>46.05</v>
      </c>
      <c r="DF161" s="228">
        <v>-12.85</v>
      </c>
      <c r="DG161" s="228">
        <v>-0.12</v>
      </c>
      <c r="DH161" s="228">
        <v>32.42</v>
      </c>
      <c r="DI161" s="228">
        <v>32.909999999999997</v>
      </c>
      <c r="DJ161" s="228">
        <v>-0.49</v>
      </c>
      <c r="DK161" s="228">
        <v>-0.49</v>
      </c>
      <c r="DL161" s="228">
        <v>35.51</v>
      </c>
      <c r="DM161" s="228">
        <v>35.46</v>
      </c>
      <c r="DN161" s="228">
        <v>0.05</v>
      </c>
      <c r="DO161" s="228">
        <v>0.05</v>
      </c>
      <c r="DP161" s="228">
        <v>0.9</v>
      </c>
      <c r="DQ161" s="228">
        <v>0.9</v>
      </c>
      <c r="DR161" s="228">
        <v>0</v>
      </c>
      <c r="DS161" s="229">
        <v>0</v>
      </c>
      <c r="DT161" s="228">
        <v>870</v>
      </c>
      <c r="DU161" s="228">
        <v>800</v>
      </c>
      <c r="DV161" s="228">
        <v>0.27</v>
      </c>
      <c r="DW161" s="228">
        <v>0.34</v>
      </c>
      <c r="DX161" s="228">
        <v>-7.0000000000000007E-2</v>
      </c>
      <c r="DY161" s="229">
        <v>-0.2059</v>
      </c>
      <c r="DZ161" s="229">
        <v>2.1100000000000001E-2</v>
      </c>
      <c r="EA161" s="230">
        <v>274300</v>
      </c>
      <c r="EB161" s="229">
        <v>6.3E-3</v>
      </c>
      <c r="EC161" s="229">
        <v>2.1100000000000001E-2</v>
      </c>
      <c r="ED161" s="228">
        <v>4.2699999999999996</v>
      </c>
      <c r="EE161" s="229">
        <v>5.0000000000000001E-3</v>
      </c>
      <c r="EF161" s="230">
        <v>655698</v>
      </c>
      <c r="EG161" s="230">
        <v>782355</v>
      </c>
      <c r="EH161" s="229">
        <v>-0.16189999999999999</v>
      </c>
      <c r="EI161" s="229">
        <v>0.60389999999999999</v>
      </c>
      <c r="EJ161" s="231">
        <v>11996.39</v>
      </c>
      <c r="EK161" s="231">
        <v>3127.32</v>
      </c>
      <c r="EL161" s="231">
        <v>10579.45</v>
      </c>
      <c r="EM161" s="231">
        <v>2449</v>
      </c>
      <c r="EN161" s="231">
        <v>25703.16</v>
      </c>
      <c r="EO161" s="231">
        <v>56148.49</v>
      </c>
      <c r="EP161" s="231">
        <v>-30445.33</v>
      </c>
      <c r="EQ161" s="229">
        <v>-0.54220000000000002</v>
      </c>
      <c r="ER161" s="231">
        <v>25103</v>
      </c>
      <c r="ES161" s="231">
        <v>20608</v>
      </c>
      <c r="ET161" s="231">
        <v>120918</v>
      </c>
      <c r="EU161" s="231">
        <v>28118603</v>
      </c>
      <c r="EV161" s="231">
        <v>166629</v>
      </c>
      <c r="EW161" s="231">
        <v>167946</v>
      </c>
      <c r="EX161" s="231">
        <v>-1317</v>
      </c>
      <c r="EY161" s="229">
        <v>-7.7999999999999996E-3</v>
      </c>
      <c r="EZ161" s="229">
        <v>0.69330000000000003</v>
      </c>
      <c r="FA161" s="227" t="s">
        <v>568</v>
      </c>
      <c r="FB161" s="161">
        <f t="shared" si="3"/>
        <v>0</v>
      </c>
    </row>
    <row r="162" spans="1:158" ht="17.25" thickBot="1" x14ac:dyDescent="0.3">
      <c r="A162" s="226">
        <v>46064</v>
      </c>
      <c r="B162" s="227" t="s">
        <v>615</v>
      </c>
      <c r="C162" s="227" t="s">
        <v>573</v>
      </c>
      <c r="D162" s="228">
        <v>350</v>
      </c>
      <c r="E162" s="231">
        <v>1556.1</v>
      </c>
      <c r="F162" s="231">
        <v>1513.2</v>
      </c>
      <c r="G162" s="228">
        <v>42.9</v>
      </c>
      <c r="H162" s="229">
        <v>2.8400000000000002E-2</v>
      </c>
      <c r="I162" s="231">
        <v>1554.6</v>
      </c>
      <c r="J162" s="231">
        <v>1504.6</v>
      </c>
      <c r="K162" s="228">
        <v>50</v>
      </c>
      <c r="L162" s="229">
        <v>3.32E-2</v>
      </c>
      <c r="M162" s="231">
        <v>1556.1</v>
      </c>
      <c r="N162" s="231">
        <v>1513.2</v>
      </c>
      <c r="O162" s="228">
        <v>42.9</v>
      </c>
      <c r="P162" s="229">
        <v>2.8400000000000002E-2</v>
      </c>
      <c r="Q162" s="231">
        <v>1561.5</v>
      </c>
      <c r="R162" s="231">
        <v>1519.6</v>
      </c>
      <c r="S162" s="228">
        <v>41.9</v>
      </c>
      <c r="T162" s="229">
        <v>2.76E-2</v>
      </c>
      <c r="U162" s="231">
        <v>1573.8</v>
      </c>
      <c r="V162" s="231">
        <v>1528</v>
      </c>
      <c r="W162" s="228">
        <v>45.8</v>
      </c>
      <c r="X162" s="229">
        <v>0.03</v>
      </c>
      <c r="Y162" s="228">
        <v>1.5</v>
      </c>
      <c r="Z162" s="228">
        <v>8.6</v>
      </c>
      <c r="AA162" s="228">
        <v>-7.1</v>
      </c>
      <c r="AB162" s="229">
        <v>1E-3</v>
      </c>
      <c r="AC162" s="228">
        <v>1.5</v>
      </c>
      <c r="AD162" s="228">
        <v>8.6</v>
      </c>
      <c r="AE162" s="228">
        <v>-7.1</v>
      </c>
      <c r="AF162" s="229">
        <v>1E-3</v>
      </c>
      <c r="AG162" s="228">
        <v>6.9</v>
      </c>
      <c r="AH162" s="228">
        <v>15</v>
      </c>
      <c r="AI162" s="228">
        <v>-8.1</v>
      </c>
      <c r="AJ162" s="229">
        <v>4.4000000000000003E-3</v>
      </c>
      <c r="AK162" s="228">
        <v>19.2</v>
      </c>
      <c r="AL162" s="228">
        <v>23.4</v>
      </c>
      <c r="AM162" s="228">
        <v>-4.2</v>
      </c>
      <c r="AN162" s="229">
        <v>1.24E-2</v>
      </c>
      <c r="AO162" s="231">
        <v>1546.65</v>
      </c>
      <c r="AP162" s="231">
        <v>1551.61</v>
      </c>
      <c r="AQ162" s="228">
        <v>0</v>
      </c>
      <c r="AR162" s="230">
        <v>2021600</v>
      </c>
      <c r="AS162" s="230">
        <v>5440050</v>
      </c>
      <c r="AT162" s="230">
        <v>-3418450</v>
      </c>
      <c r="AU162" s="229">
        <v>-0.62839999999999996</v>
      </c>
      <c r="AV162" s="230">
        <v>1936200</v>
      </c>
      <c r="AW162" s="230">
        <v>5199600</v>
      </c>
      <c r="AX162" s="230">
        <v>-3263400</v>
      </c>
      <c r="AY162" s="229">
        <v>-0.62760000000000005</v>
      </c>
      <c r="AZ162" s="230">
        <v>78050</v>
      </c>
      <c r="BA162" s="230">
        <v>219100</v>
      </c>
      <c r="BB162" s="230">
        <v>-141050</v>
      </c>
      <c r="BC162" s="229">
        <v>-0.64380000000000004</v>
      </c>
      <c r="BD162" s="230">
        <v>7350</v>
      </c>
      <c r="BE162" s="230">
        <v>21350</v>
      </c>
      <c r="BF162" s="230">
        <v>-14000</v>
      </c>
      <c r="BG162" s="229">
        <v>-0.65569999999999995</v>
      </c>
      <c r="BH162" s="230">
        <v>5571300</v>
      </c>
      <c r="BI162" s="230">
        <v>12657050</v>
      </c>
      <c r="BJ162" s="230">
        <v>-7085750</v>
      </c>
      <c r="BK162" s="229">
        <v>-0.55979999999999996</v>
      </c>
      <c r="BL162" s="230">
        <v>2340100</v>
      </c>
      <c r="BM162" s="230">
        <v>8027600</v>
      </c>
      <c r="BN162" s="230">
        <v>-5687500</v>
      </c>
      <c r="BO162" s="229">
        <v>-0.70850000000000002</v>
      </c>
      <c r="BP162" s="230">
        <v>9933000</v>
      </c>
      <c r="BQ162" s="230">
        <v>26124700</v>
      </c>
      <c r="BR162" s="230">
        <v>-16191700</v>
      </c>
      <c r="BS162" s="229">
        <v>-0.61980000000000002</v>
      </c>
      <c r="BT162" s="230">
        <v>1673476</v>
      </c>
      <c r="BU162" s="230">
        <v>6026102</v>
      </c>
      <c r="BV162" s="230">
        <v>-4352626</v>
      </c>
      <c r="BW162" s="229">
        <v>-0.72230000000000005</v>
      </c>
      <c r="BX162" s="230">
        <v>9509500</v>
      </c>
      <c r="BY162" s="230">
        <v>9663850</v>
      </c>
      <c r="BZ162" s="230">
        <v>-154350</v>
      </c>
      <c r="CA162" s="229">
        <v>-1.6E-2</v>
      </c>
      <c r="CB162" s="230">
        <v>9163700</v>
      </c>
      <c r="CC162" s="230">
        <v>9317350</v>
      </c>
      <c r="CD162" s="230">
        <v>-153650</v>
      </c>
      <c r="CE162" s="229">
        <v>-1.6500000000000001E-2</v>
      </c>
      <c r="CF162" s="230">
        <v>322700</v>
      </c>
      <c r="CG162" s="230">
        <v>318850</v>
      </c>
      <c r="CH162" s="230">
        <v>3850</v>
      </c>
      <c r="CI162" s="229">
        <v>1.21E-2</v>
      </c>
      <c r="CJ162" s="230">
        <v>23100</v>
      </c>
      <c r="CK162" s="230">
        <v>27650</v>
      </c>
      <c r="CL162" s="230">
        <v>-4550</v>
      </c>
      <c r="CM162" s="229">
        <v>-0.1646</v>
      </c>
      <c r="CN162" s="230">
        <v>3805550</v>
      </c>
      <c r="CO162" s="230">
        <v>4155900</v>
      </c>
      <c r="CP162" s="230">
        <v>-350350</v>
      </c>
      <c r="CQ162" s="229">
        <v>-8.43E-2</v>
      </c>
      <c r="CR162" s="230">
        <v>2884000</v>
      </c>
      <c r="CS162" s="230">
        <v>2908850</v>
      </c>
      <c r="CT162" s="230">
        <v>-24850</v>
      </c>
      <c r="CU162" s="229">
        <v>-8.5000000000000006E-3</v>
      </c>
      <c r="CV162" s="230">
        <v>16199050</v>
      </c>
      <c r="CW162" s="230">
        <v>16728600</v>
      </c>
      <c r="CX162" s="230">
        <v>-529550</v>
      </c>
      <c r="CY162" s="229">
        <v>-3.1699999999999999E-2</v>
      </c>
      <c r="CZ162" s="228">
        <v>44.88</v>
      </c>
      <c r="DA162" s="228">
        <v>47.54</v>
      </c>
      <c r="DB162" s="228">
        <v>-2.66</v>
      </c>
      <c r="DC162" s="228">
        <v>-2.66</v>
      </c>
      <c r="DD162" s="228">
        <v>47.29</v>
      </c>
      <c r="DE162" s="228">
        <v>47.2</v>
      </c>
      <c r="DF162" s="228">
        <v>-2.41</v>
      </c>
      <c r="DG162" s="228">
        <v>0.09</v>
      </c>
      <c r="DH162" s="228">
        <v>43.82</v>
      </c>
      <c r="DI162" s="228">
        <v>46.85</v>
      </c>
      <c r="DJ162" s="228">
        <v>-3.03</v>
      </c>
      <c r="DK162" s="228">
        <v>-3.03</v>
      </c>
      <c r="DL162" s="228">
        <v>47.41</v>
      </c>
      <c r="DM162" s="228">
        <v>48.64</v>
      </c>
      <c r="DN162" s="228">
        <v>-1.23</v>
      </c>
      <c r="DO162" s="228">
        <v>-1.23</v>
      </c>
      <c r="DP162" s="228">
        <v>0.76</v>
      </c>
      <c r="DQ162" s="228">
        <v>0.7</v>
      </c>
      <c r="DR162" s="228">
        <v>0.06</v>
      </c>
      <c r="DS162" s="229">
        <v>8.5699999999999998E-2</v>
      </c>
      <c r="DT162" s="231">
        <v>1600</v>
      </c>
      <c r="DU162" s="231">
        <v>1500</v>
      </c>
      <c r="DV162" s="228">
        <v>0.42</v>
      </c>
      <c r="DW162" s="228">
        <v>0.63</v>
      </c>
      <c r="DX162" s="228">
        <v>-0.21</v>
      </c>
      <c r="DY162" s="229">
        <v>-0.33329999999999999</v>
      </c>
      <c r="DZ162" s="229">
        <v>3.6400000000000002E-2</v>
      </c>
      <c r="EA162" s="230">
        <v>346500</v>
      </c>
      <c r="EB162" s="229">
        <v>3.5000000000000001E-3</v>
      </c>
      <c r="EC162" s="229">
        <v>3.6400000000000002E-2</v>
      </c>
      <c r="ED162" s="228">
        <v>4.96</v>
      </c>
      <c r="EE162" s="229">
        <v>3.2000000000000002E-3</v>
      </c>
      <c r="EF162" s="230">
        <v>817386</v>
      </c>
      <c r="EG162" s="230">
        <v>2924287</v>
      </c>
      <c r="EH162" s="229">
        <v>-0.72050000000000003</v>
      </c>
      <c r="EI162" s="229">
        <v>0.4884</v>
      </c>
      <c r="EJ162" s="231">
        <v>91382.68</v>
      </c>
      <c r="EK162" s="231">
        <v>35088.79</v>
      </c>
      <c r="EL162" s="231">
        <v>31272.27</v>
      </c>
      <c r="EM162" s="231">
        <v>16467</v>
      </c>
      <c r="EN162" s="231">
        <v>157743.74</v>
      </c>
      <c r="EO162" s="231">
        <v>406239.42</v>
      </c>
      <c r="EP162" s="231">
        <v>-248495.68</v>
      </c>
      <c r="EQ162" s="229">
        <v>-0.61170000000000002</v>
      </c>
      <c r="ER162" s="231">
        <v>62136</v>
      </c>
      <c r="ES162" s="231">
        <v>42626</v>
      </c>
      <c r="ET162" s="231">
        <v>147999</v>
      </c>
      <c r="EU162" s="231">
        <v>60642005</v>
      </c>
      <c r="EV162" s="231">
        <v>252761</v>
      </c>
      <c r="EW162" s="231">
        <v>256814</v>
      </c>
      <c r="EX162" s="231">
        <v>-4053</v>
      </c>
      <c r="EY162" s="229">
        <v>-1.5800000000000002E-2</v>
      </c>
      <c r="EZ162" s="229">
        <v>0.2671</v>
      </c>
      <c r="FA162" s="227" t="s">
        <v>556</v>
      </c>
      <c r="FB162" s="161">
        <f t="shared" ref="FB162:FB194" si="4">BX227-CB227</f>
        <v>0</v>
      </c>
    </row>
    <row r="163" spans="1:158" ht="17.25" thickBot="1" x14ac:dyDescent="0.3">
      <c r="A163" s="226">
        <v>46064</v>
      </c>
      <c r="B163" s="227" t="s">
        <v>184</v>
      </c>
      <c r="C163" s="227" t="s">
        <v>519</v>
      </c>
      <c r="D163" s="228">
        <v>125</v>
      </c>
      <c r="E163" s="231">
        <v>7820</v>
      </c>
      <c r="F163" s="231">
        <v>7769.5</v>
      </c>
      <c r="G163" s="228">
        <v>50.5</v>
      </c>
      <c r="H163" s="229">
        <v>6.4999999999999997E-3</v>
      </c>
      <c r="I163" s="231">
        <v>7814</v>
      </c>
      <c r="J163" s="231">
        <v>7742.5</v>
      </c>
      <c r="K163" s="228">
        <v>71.5</v>
      </c>
      <c r="L163" s="229">
        <v>9.1999999999999998E-3</v>
      </c>
      <c r="M163" s="231">
        <v>7820</v>
      </c>
      <c r="N163" s="231">
        <v>7769.5</v>
      </c>
      <c r="O163" s="228">
        <v>50.5</v>
      </c>
      <c r="P163" s="229">
        <v>6.4999999999999997E-3</v>
      </c>
      <c r="Q163" s="231">
        <v>7865</v>
      </c>
      <c r="R163" s="231">
        <v>7809</v>
      </c>
      <c r="S163" s="228">
        <v>56</v>
      </c>
      <c r="T163" s="229">
        <v>7.1999999999999998E-3</v>
      </c>
      <c r="U163" s="231">
        <v>7882.5</v>
      </c>
      <c r="V163" s="231">
        <v>7840</v>
      </c>
      <c r="W163" s="228">
        <v>42.5</v>
      </c>
      <c r="X163" s="229">
        <v>5.4000000000000003E-3</v>
      </c>
      <c r="Y163" s="228">
        <v>6</v>
      </c>
      <c r="Z163" s="228">
        <v>27</v>
      </c>
      <c r="AA163" s="228">
        <v>-21</v>
      </c>
      <c r="AB163" s="229">
        <v>8.0000000000000004E-4</v>
      </c>
      <c r="AC163" s="228">
        <v>6</v>
      </c>
      <c r="AD163" s="228">
        <v>27</v>
      </c>
      <c r="AE163" s="228">
        <v>-21</v>
      </c>
      <c r="AF163" s="229">
        <v>8.0000000000000004E-4</v>
      </c>
      <c r="AG163" s="228">
        <v>51</v>
      </c>
      <c r="AH163" s="228">
        <v>66.5</v>
      </c>
      <c r="AI163" s="228">
        <v>-15.5</v>
      </c>
      <c r="AJ163" s="229">
        <v>6.4999999999999997E-3</v>
      </c>
      <c r="AK163" s="228">
        <v>68.5</v>
      </c>
      <c r="AL163" s="228">
        <v>97.5</v>
      </c>
      <c r="AM163" s="228">
        <v>-29</v>
      </c>
      <c r="AN163" s="229">
        <v>8.8000000000000005E-3</v>
      </c>
      <c r="AO163" s="231">
        <v>7805.52</v>
      </c>
      <c r="AP163" s="231">
        <v>7849.71</v>
      </c>
      <c r="AQ163" s="228">
        <v>0</v>
      </c>
      <c r="AR163" s="230">
        <v>211500</v>
      </c>
      <c r="AS163" s="230">
        <v>317625</v>
      </c>
      <c r="AT163" s="230">
        <v>-106125</v>
      </c>
      <c r="AU163" s="229">
        <v>-0.33410000000000001</v>
      </c>
      <c r="AV163" s="230">
        <v>199875</v>
      </c>
      <c r="AW163" s="230">
        <v>305875</v>
      </c>
      <c r="AX163" s="230">
        <v>-106000</v>
      </c>
      <c r="AY163" s="229">
        <v>-0.34649999999999997</v>
      </c>
      <c r="AZ163" s="230">
        <v>11125</v>
      </c>
      <c r="BA163" s="230">
        <v>10875</v>
      </c>
      <c r="BB163" s="228">
        <v>250</v>
      </c>
      <c r="BC163" s="229">
        <v>2.3E-2</v>
      </c>
      <c r="BD163" s="228">
        <v>500</v>
      </c>
      <c r="BE163" s="228">
        <v>875</v>
      </c>
      <c r="BF163" s="228">
        <v>-375</v>
      </c>
      <c r="BG163" s="229">
        <v>-0.42859999999999998</v>
      </c>
      <c r="BH163" s="230">
        <v>914750</v>
      </c>
      <c r="BI163" s="230">
        <v>919750</v>
      </c>
      <c r="BJ163" s="230">
        <v>-5000</v>
      </c>
      <c r="BK163" s="229">
        <v>-5.4000000000000003E-3</v>
      </c>
      <c r="BL163" s="230">
        <v>645375</v>
      </c>
      <c r="BM163" s="230">
        <v>691875</v>
      </c>
      <c r="BN163" s="230">
        <v>-46500</v>
      </c>
      <c r="BO163" s="229">
        <v>-6.7199999999999996E-2</v>
      </c>
      <c r="BP163" s="230">
        <v>1771625</v>
      </c>
      <c r="BQ163" s="230">
        <v>1929250</v>
      </c>
      <c r="BR163" s="230">
        <v>-157625</v>
      </c>
      <c r="BS163" s="229">
        <v>-8.1699999999999995E-2</v>
      </c>
      <c r="BT163" s="230">
        <v>123159</v>
      </c>
      <c r="BU163" s="230">
        <v>135890</v>
      </c>
      <c r="BV163" s="230">
        <v>-12731</v>
      </c>
      <c r="BW163" s="229">
        <v>-9.3700000000000006E-2</v>
      </c>
      <c r="BX163" s="230">
        <v>2967875</v>
      </c>
      <c r="BY163" s="230">
        <v>2967000</v>
      </c>
      <c r="BZ163" s="228">
        <v>875</v>
      </c>
      <c r="CA163" s="229">
        <v>2.9999999999999997E-4</v>
      </c>
      <c r="CB163" s="230">
        <v>2911500</v>
      </c>
      <c r="CC163" s="230">
        <v>2913875</v>
      </c>
      <c r="CD163" s="230">
        <v>-2375</v>
      </c>
      <c r="CE163" s="229">
        <v>-8.0000000000000004E-4</v>
      </c>
      <c r="CF163" s="230">
        <v>46500</v>
      </c>
      <c r="CG163" s="230">
        <v>43125</v>
      </c>
      <c r="CH163" s="230">
        <v>3375</v>
      </c>
      <c r="CI163" s="229">
        <v>7.8299999999999995E-2</v>
      </c>
      <c r="CJ163" s="230">
        <v>9875</v>
      </c>
      <c r="CK163" s="230">
        <v>10000</v>
      </c>
      <c r="CL163" s="228">
        <v>-125</v>
      </c>
      <c r="CM163" s="229">
        <v>-1.2500000000000001E-2</v>
      </c>
      <c r="CN163" s="230">
        <v>1107000</v>
      </c>
      <c r="CO163" s="230">
        <v>1124250</v>
      </c>
      <c r="CP163" s="230">
        <v>-17250</v>
      </c>
      <c r="CQ163" s="229">
        <v>-1.5299999999999999E-2</v>
      </c>
      <c r="CR163" s="230">
        <v>833625</v>
      </c>
      <c r="CS163" s="230">
        <v>792625</v>
      </c>
      <c r="CT163" s="230">
        <v>41000</v>
      </c>
      <c r="CU163" s="229">
        <v>5.1700000000000003E-2</v>
      </c>
      <c r="CV163" s="230">
        <v>4908500</v>
      </c>
      <c r="CW163" s="230">
        <v>4883875</v>
      </c>
      <c r="CX163" s="230">
        <v>24625</v>
      </c>
      <c r="CY163" s="229">
        <v>5.0000000000000001E-3</v>
      </c>
      <c r="CZ163" s="228">
        <v>29.26</v>
      </c>
      <c r="DA163" s="228">
        <v>30.38</v>
      </c>
      <c r="DB163" s="228">
        <v>-1.1200000000000001</v>
      </c>
      <c r="DC163" s="228">
        <v>-1.1200000000000001</v>
      </c>
      <c r="DD163" s="228">
        <v>39.67</v>
      </c>
      <c r="DE163" s="228">
        <v>39.75</v>
      </c>
      <c r="DF163" s="228">
        <v>-10.41</v>
      </c>
      <c r="DG163" s="228">
        <v>-0.08</v>
      </c>
      <c r="DH163" s="228">
        <v>26.69</v>
      </c>
      <c r="DI163" s="228">
        <v>27.4</v>
      </c>
      <c r="DJ163" s="228">
        <v>-0.71</v>
      </c>
      <c r="DK163" s="228">
        <v>-0.71</v>
      </c>
      <c r="DL163" s="228">
        <v>32.9</v>
      </c>
      <c r="DM163" s="228">
        <v>34.35</v>
      </c>
      <c r="DN163" s="228">
        <v>-1.45</v>
      </c>
      <c r="DO163" s="228">
        <v>-1.45</v>
      </c>
      <c r="DP163" s="228">
        <v>0.75</v>
      </c>
      <c r="DQ163" s="228">
        <v>0.71</v>
      </c>
      <c r="DR163" s="228">
        <v>0.04</v>
      </c>
      <c r="DS163" s="229">
        <v>5.6300000000000003E-2</v>
      </c>
      <c r="DT163" s="231">
        <v>8200</v>
      </c>
      <c r="DU163" s="231">
        <v>7500</v>
      </c>
      <c r="DV163" s="228">
        <v>0.71</v>
      </c>
      <c r="DW163" s="228">
        <v>0.75</v>
      </c>
      <c r="DX163" s="228">
        <v>-0.04</v>
      </c>
      <c r="DY163" s="229">
        <v>-5.33E-2</v>
      </c>
      <c r="DZ163" s="229">
        <v>1.9E-2</v>
      </c>
      <c r="EA163" s="230">
        <v>53125</v>
      </c>
      <c r="EB163" s="229">
        <v>5.7999999999999996E-3</v>
      </c>
      <c r="EC163" s="229">
        <v>1.9E-2</v>
      </c>
      <c r="ED163" s="228">
        <v>44.19</v>
      </c>
      <c r="EE163" s="229">
        <v>5.7000000000000002E-3</v>
      </c>
      <c r="EF163" s="230">
        <v>65091</v>
      </c>
      <c r="EG163" s="230">
        <v>71042</v>
      </c>
      <c r="EH163" s="229">
        <v>-8.3799999999999999E-2</v>
      </c>
      <c r="EI163" s="229">
        <v>0.52849999999999997</v>
      </c>
      <c r="EJ163" s="231">
        <v>73580.509999999995</v>
      </c>
      <c r="EK163" s="231">
        <v>45984.51</v>
      </c>
      <c r="EL163" s="231">
        <v>16513.96</v>
      </c>
      <c r="EM163" s="231">
        <v>3322</v>
      </c>
      <c r="EN163" s="231">
        <v>136078.98000000001</v>
      </c>
      <c r="EO163" s="231">
        <v>149002.34</v>
      </c>
      <c r="EP163" s="231">
        <v>-12923.36</v>
      </c>
      <c r="EQ163" s="229">
        <v>-8.6699999999999999E-2</v>
      </c>
      <c r="ER163" s="231">
        <v>86313</v>
      </c>
      <c r="ES163" s="231">
        <v>59626</v>
      </c>
      <c r="ET163" s="231">
        <v>232115</v>
      </c>
      <c r="EU163" s="231">
        <v>8688405</v>
      </c>
      <c r="EV163" s="231">
        <v>378053</v>
      </c>
      <c r="EW163" s="231">
        <v>374672</v>
      </c>
      <c r="EX163" s="231">
        <v>3381</v>
      </c>
      <c r="EY163" s="229">
        <v>8.9999999999999993E-3</v>
      </c>
      <c r="EZ163" s="229">
        <v>0.56489999999999996</v>
      </c>
      <c r="FA163" s="227" t="s">
        <v>555</v>
      </c>
      <c r="FB163" s="161">
        <f t="shared" si="4"/>
        <v>0</v>
      </c>
    </row>
    <row r="164" spans="1:158" ht="17.25" thickBot="1" x14ac:dyDescent="0.3">
      <c r="A164" s="226">
        <v>46064</v>
      </c>
      <c r="B164" s="227" t="s">
        <v>161</v>
      </c>
      <c r="C164" s="227" t="s">
        <v>276</v>
      </c>
      <c r="D164" s="228">
        <v>1900</v>
      </c>
      <c r="E164" s="228">
        <v>294.55</v>
      </c>
      <c r="F164" s="228">
        <v>294.39999999999998</v>
      </c>
      <c r="G164" s="228">
        <v>0.15</v>
      </c>
      <c r="H164" s="229">
        <v>5.0000000000000001E-4</v>
      </c>
      <c r="I164" s="228">
        <v>294.45</v>
      </c>
      <c r="J164" s="228">
        <v>294.35000000000002</v>
      </c>
      <c r="K164" s="228">
        <v>0.1</v>
      </c>
      <c r="L164" s="229">
        <v>2.9999999999999997E-4</v>
      </c>
      <c r="M164" s="228">
        <v>294.55</v>
      </c>
      <c r="N164" s="228">
        <v>294.39999999999998</v>
      </c>
      <c r="O164" s="228">
        <v>0.15</v>
      </c>
      <c r="P164" s="229">
        <v>5.0000000000000001E-4</v>
      </c>
      <c r="Q164" s="228">
        <v>296.39999999999998</v>
      </c>
      <c r="R164" s="228">
        <v>296</v>
      </c>
      <c r="S164" s="228">
        <v>0.4</v>
      </c>
      <c r="T164" s="229">
        <v>1.4E-3</v>
      </c>
      <c r="U164" s="228">
        <v>298.39999999999998</v>
      </c>
      <c r="V164" s="228">
        <v>298.39999999999998</v>
      </c>
      <c r="W164" s="228">
        <v>0</v>
      </c>
      <c r="X164" s="229">
        <v>0</v>
      </c>
      <c r="Y164" s="228">
        <v>0.1</v>
      </c>
      <c r="Z164" s="228">
        <v>0.05</v>
      </c>
      <c r="AA164" s="228">
        <v>0.05</v>
      </c>
      <c r="AB164" s="229">
        <v>2.9999999999999997E-4</v>
      </c>
      <c r="AC164" s="228">
        <v>0.1</v>
      </c>
      <c r="AD164" s="228">
        <v>0.05</v>
      </c>
      <c r="AE164" s="228">
        <v>0.05</v>
      </c>
      <c r="AF164" s="229">
        <v>2.9999999999999997E-4</v>
      </c>
      <c r="AG164" s="228">
        <v>1.95</v>
      </c>
      <c r="AH164" s="228">
        <v>1.65</v>
      </c>
      <c r="AI164" s="228">
        <v>0.3</v>
      </c>
      <c r="AJ164" s="229">
        <v>6.6E-3</v>
      </c>
      <c r="AK164" s="228">
        <v>3.95</v>
      </c>
      <c r="AL164" s="228">
        <v>4.05</v>
      </c>
      <c r="AM164" s="228">
        <v>-0.1</v>
      </c>
      <c r="AN164" s="229">
        <v>1.34E-2</v>
      </c>
      <c r="AO164" s="228">
        <v>294.08</v>
      </c>
      <c r="AP164" s="228">
        <v>295.95</v>
      </c>
      <c r="AQ164" s="228">
        <v>0</v>
      </c>
      <c r="AR164" s="230">
        <v>8882500</v>
      </c>
      <c r="AS164" s="230">
        <v>11574800</v>
      </c>
      <c r="AT164" s="230">
        <v>-2692300</v>
      </c>
      <c r="AU164" s="229">
        <v>-0.2326</v>
      </c>
      <c r="AV164" s="230">
        <v>7928700</v>
      </c>
      <c r="AW164" s="230">
        <v>10845200</v>
      </c>
      <c r="AX164" s="230">
        <v>-2916500</v>
      </c>
      <c r="AY164" s="229">
        <v>-0.26889999999999997</v>
      </c>
      <c r="AZ164" s="230">
        <v>839800</v>
      </c>
      <c r="BA164" s="230">
        <v>651700</v>
      </c>
      <c r="BB164" s="230">
        <v>188100</v>
      </c>
      <c r="BC164" s="229">
        <v>0.28860000000000002</v>
      </c>
      <c r="BD164" s="230">
        <v>114000</v>
      </c>
      <c r="BE164" s="230">
        <v>77900</v>
      </c>
      <c r="BF164" s="230">
        <v>36100</v>
      </c>
      <c r="BG164" s="229">
        <v>0.46339999999999998</v>
      </c>
      <c r="BH164" s="230">
        <v>50690100</v>
      </c>
      <c r="BI164" s="230">
        <v>73744700</v>
      </c>
      <c r="BJ164" s="230">
        <v>-23054600</v>
      </c>
      <c r="BK164" s="229">
        <v>-0.31259999999999999</v>
      </c>
      <c r="BL164" s="230">
        <v>22961500</v>
      </c>
      <c r="BM164" s="230">
        <v>30985200</v>
      </c>
      <c r="BN164" s="230">
        <v>-8023700</v>
      </c>
      <c r="BO164" s="229">
        <v>-0.25900000000000001</v>
      </c>
      <c r="BP164" s="230">
        <v>82534100</v>
      </c>
      <c r="BQ164" s="230">
        <v>116304700</v>
      </c>
      <c r="BR164" s="230">
        <v>-33770600</v>
      </c>
      <c r="BS164" s="229">
        <v>-0.29039999999999999</v>
      </c>
      <c r="BT164" s="230">
        <v>11140501</v>
      </c>
      <c r="BU164" s="230">
        <v>22671273</v>
      </c>
      <c r="BV164" s="230">
        <v>-11530772</v>
      </c>
      <c r="BW164" s="229">
        <v>-0.50860000000000005</v>
      </c>
      <c r="BX164" s="230">
        <v>83335900</v>
      </c>
      <c r="BY164" s="230">
        <v>84844500</v>
      </c>
      <c r="BZ164" s="230">
        <v>-1508600</v>
      </c>
      <c r="CA164" s="229">
        <v>-1.78E-2</v>
      </c>
      <c r="CB164" s="230">
        <v>79961500</v>
      </c>
      <c r="CC164" s="230">
        <v>81601200</v>
      </c>
      <c r="CD164" s="230">
        <v>-1639700</v>
      </c>
      <c r="CE164" s="229">
        <v>-2.01E-2</v>
      </c>
      <c r="CF164" s="230">
        <v>2903200</v>
      </c>
      <c r="CG164" s="230">
        <v>2823400</v>
      </c>
      <c r="CH164" s="230">
        <v>79800</v>
      </c>
      <c r="CI164" s="229">
        <v>2.8299999999999999E-2</v>
      </c>
      <c r="CJ164" s="230">
        <v>471200</v>
      </c>
      <c r="CK164" s="230">
        <v>419900</v>
      </c>
      <c r="CL164" s="230">
        <v>51300</v>
      </c>
      <c r="CM164" s="229">
        <v>0.1222</v>
      </c>
      <c r="CN164" s="230">
        <v>68422800</v>
      </c>
      <c r="CO164" s="230">
        <v>68029500</v>
      </c>
      <c r="CP164" s="230">
        <v>393300</v>
      </c>
      <c r="CQ164" s="229">
        <v>5.7999999999999996E-3</v>
      </c>
      <c r="CR164" s="230">
        <v>41630900</v>
      </c>
      <c r="CS164" s="230">
        <v>41790500</v>
      </c>
      <c r="CT164" s="230">
        <v>-159600</v>
      </c>
      <c r="CU164" s="229">
        <v>-3.8E-3</v>
      </c>
      <c r="CV164" s="230">
        <v>193389600</v>
      </c>
      <c r="CW164" s="230">
        <v>194664500</v>
      </c>
      <c r="CX164" s="230">
        <v>-1274900</v>
      </c>
      <c r="CY164" s="229">
        <v>-6.4999999999999997E-3</v>
      </c>
      <c r="CZ164" s="228">
        <v>22.55</v>
      </c>
      <c r="DA164" s="228">
        <v>22.91</v>
      </c>
      <c r="DB164" s="228">
        <v>-0.36</v>
      </c>
      <c r="DC164" s="228">
        <v>-0.36</v>
      </c>
      <c r="DD164" s="228">
        <v>29.28</v>
      </c>
      <c r="DE164" s="228">
        <v>29.35</v>
      </c>
      <c r="DF164" s="228">
        <v>-6.73</v>
      </c>
      <c r="DG164" s="228">
        <v>-7.0000000000000007E-2</v>
      </c>
      <c r="DH164" s="228">
        <v>22.2</v>
      </c>
      <c r="DI164" s="228">
        <v>22.29</v>
      </c>
      <c r="DJ164" s="228">
        <v>-0.09</v>
      </c>
      <c r="DK164" s="228">
        <v>-0.09</v>
      </c>
      <c r="DL164" s="228">
        <v>23.31</v>
      </c>
      <c r="DM164" s="228">
        <v>24.41</v>
      </c>
      <c r="DN164" s="228">
        <v>-1.1000000000000001</v>
      </c>
      <c r="DO164" s="228">
        <v>-1.1000000000000001</v>
      </c>
      <c r="DP164" s="228">
        <v>0.61</v>
      </c>
      <c r="DQ164" s="228">
        <v>0.61</v>
      </c>
      <c r="DR164" s="228">
        <v>0</v>
      </c>
      <c r="DS164" s="229">
        <v>0</v>
      </c>
      <c r="DT164" s="228">
        <v>300</v>
      </c>
      <c r="DU164" s="228">
        <v>280</v>
      </c>
      <c r="DV164" s="228">
        <v>0.45</v>
      </c>
      <c r="DW164" s="228">
        <v>0.42</v>
      </c>
      <c r="DX164" s="228">
        <v>0.03</v>
      </c>
      <c r="DY164" s="229">
        <v>7.1400000000000005E-2</v>
      </c>
      <c r="DZ164" s="229">
        <v>4.0500000000000001E-2</v>
      </c>
      <c r="EA164" s="230">
        <v>3243300</v>
      </c>
      <c r="EB164" s="229">
        <v>6.3E-3</v>
      </c>
      <c r="EC164" s="229">
        <v>4.0500000000000001E-2</v>
      </c>
      <c r="ED164" s="228">
        <v>1.87</v>
      </c>
      <c r="EE164" s="229">
        <v>6.4000000000000003E-3</v>
      </c>
      <c r="EF164" s="230">
        <v>7437724</v>
      </c>
      <c r="EG164" s="230">
        <v>16577005</v>
      </c>
      <c r="EH164" s="229">
        <v>-0.55130000000000001</v>
      </c>
      <c r="EI164" s="229">
        <v>0.66759999999999997</v>
      </c>
      <c r="EJ164" s="231">
        <v>153452.59</v>
      </c>
      <c r="EK164" s="231">
        <v>65896.58</v>
      </c>
      <c r="EL164" s="231">
        <v>26141.51</v>
      </c>
      <c r="EM164" s="231">
        <v>7356</v>
      </c>
      <c r="EN164" s="231">
        <v>245490.68</v>
      </c>
      <c r="EO164" s="231">
        <v>344728.8</v>
      </c>
      <c r="EP164" s="231">
        <v>-99238.12</v>
      </c>
      <c r="EQ164" s="229">
        <v>-0.28789999999999999</v>
      </c>
      <c r="ER164" s="231">
        <v>198203</v>
      </c>
      <c r="ES164" s="231">
        <v>110791</v>
      </c>
      <c r="ET164" s="231">
        <v>245538</v>
      </c>
      <c r="EU164" s="231">
        <v>678857930</v>
      </c>
      <c r="EV164" s="231">
        <v>554531</v>
      </c>
      <c r="EW164" s="231">
        <v>557450</v>
      </c>
      <c r="EX164" s="231">
        <v>-2919</v>
      </c>
      <c r="EY164" s="229">
        <v>-5.1999999999999998E-3</v>
      </c>
      <c r="EZ164" s="229">
        <v>0.28489999999999999</v>
      </c>
      <c r="FA164" s="227" t="s">
        <v>556</v>
      </c>
      <c r="FB164" s="161">
        <f t="shared" si="4"/>
        <v>0</v>
      </c>
    </row>
    <row r="165" spans="1:158" ht="17.25" thickBot="1" x14ac:dyDescent="0.3">
      <c r="A165" s="226">
        <v>46064</v>
      </c>
      <c r="B165" s="227" t="s">
        <v>184</v>
      </c>
      <c r="C165" s="227" t="s">
        <v>686</v>
      </c>
      <c r="D165" s="228">
        <v>50</v>
      </c>
      <c r="E165" s="231">
        <v>22762</v>
      </c>
      <c r="F165" s="231">
        <v>22539</v>
      </c>
      <c r="G165" s="228">
        <v>223</v>
      </c>
      <c r="H165" s="229">
        <v>9.9000000000000008E-3</v>
      </c>
      <c r="I165" s="231">
        <v>22731</v>
      </c>
      <c r="J165" s="231">
        <v>22457</v>
      </c>
      <c r="K165" s="228">
        <v>274</v>
      </c>
      <c r="L165" s="229">
        <v>1.2200000000000001E-2</v>
      </c>
      <c r="M165" s="231">
        <v>22762</v>
      </c>
      <c r="N165" s="231">
        <v>22539</v>
      </c>
      <c r="O165" s="228">
        <v>223</v>
      </c>
      <c r="P165" s="229">
        <v>9.9000000000000008E-3</v>
      </c>
      <c r="Q165" s="231">
        <v>22845</v>
      </c>
      <c r="R165" s="231">
        <v>22618</v>
      </c>
      <c r="S165" s="228">
        <v>227</v>
      </c>
      <c r="T165" s="229">
        <v>0.01</v>
      </c>
      <c r="U165" s="231">
        <v>22915</v>
      </c>
      <c r="V165" s="231">
        <v>22680</v>
      </c>
      <c r="W165" s="228">
        <v>235</v>
      </c>
      <c r="X165" s="229">
        <v>1.04E-2</v>
      </c>
      <c r="Y165" s="228">
        <v>31</v>
      </c>
      <c r="Z165" s="228">
        <v>82</v>
      </c>
      <c r="AA165" s="228">
        <v>-51</v>
      </c>
      <c r="AB165" s="229">
        <v>1.4E-3</v>
      </c>
      <c r="AC165" s="228">
        <v>31</v>
      </c>
      <c r="AD165" s="228">
        <v>82</v>
      </c>
      <c r="AE165" s="228">
        <v>-51</v>
      </c>
      <c r="AF165" s="229">
        <v>1.4E-3</v>
      </c>
      <c r="AG165" s="228">
        <v>114</v>
      </c>
      <c r="AH165" s="228">
        <v>161</v>
      </c>
      <c r="AI165" s="228">
        <v>-47</v>
      </c>
      <c r="AJ165" s="229">
        <v>5.0000000000000001E-3</v>
      </c>
      <c r="AK165" s="228">
        <v>184</v>
      </c>
      <c r="AL165" s="228">
        <v>223</v>
      </c>
      <c r="AM165" s="228">
        <v>-39</v>
      </c>
      <c r="AN165" s="229">
        <v>8.0999999999999996E-3</v>
      </c>
      <c r="AO165" s="231">
        <v>22723.279999999999</v>
      </c>
      <c r="AP165" s="231">
        <v>22798.49</v>
      </c>
      <c r="AQ165" s="228">
        <v>0</v>
      </c>
      <c r="AR165" s="230">
        <v>80450</v>
      </c>
      <c r="AS165" s="230">
        <v>90200</v>
      </c>
      <c r="AT165" s="230">
        <v>-9750</v>
      </c>
      <c r="AU165" s="229">
        <v>-0.1081</v>
      </c>
      <c r="AV165" s="230">
        <v>74800</v>
      </c>
      <c r="AW165" s="230">
        <v>84850</v>
      </c>
      <c r="AX165" s="230">
        <v>-10050</v>
      </c>
      <c r="AY165" s="229">
        <v>-0.11840000000000001</v>
      </c>
      <c r="AZ165" s="230">
        <v>4650</v>
      </c>
      <c r="BA165" s="230">
        <v>4900</v>
      </c>
      <c r="BB165" s="228">
        <v>-250</v>
      </c>
      <c r="BC165" s="229">
        <v>-5.0999999999999997E-2</v>
      </c>
      <c r="BD165" s="230">
        <v>1000</v>
      </c>
      <c r="BE165" s="228">
        <v>450</v>
      </c>
      <c r="BF165" s="228">
        <v>550</v>
      </c>
      <c r="BG165" s="229">
        <v>1.2222</v>
      </c>
      <c r="BH165" s="230">
        <v>321900</v>
      </c>
      <c r="BI165" s="230">
        <v>297750</v>
      </c>
      <c r="BJ165" s="230">
        <v>24150</v>
      </c>
      <c r="BK165" s="229">
        <v>8.1100000000000005E-2</v>
      </c>
      <c r="BL165" s="230">
        <v>201350</v>
      </c>
      <c r="BM165" s="230">
        <v>352650</v>
      </c>
      <c r="BN165" s="230">
        <v>-151300</v>
      </c>
      <c r="BO165" s="229">
        <v>-0.42899999999999999</v>
      </c>
      <c r="BP165" s="230">
        <v>603700</v>
      </c>
      <c r="BQ165" s="230">
        <v>740600</v>
      </c>
      <c r="BR165" s="230">
        <v>-136900</v>
      </c>
      <c r="BS165" s="229">
        <v>-0.18490000000000001</v>
      </c>
      <c r="BT165" s="230">
        <v>127746</v>
      </c>
      <c r="BU165" s="230">
        <v>129777</v>
      </c>
      <c r="BV165" s="230">
        <v>-2031</v>
      </c>
      <c r="BW165" s="229">
        <v>-1.5599999999999999E-2</v>
      </c>
      <c r="BX165" s="230">
        <v>369350</v>
      </c>
      <c r="BY165" s="230">
        <v>377500</v>
      </c>
      <c r="BZ165" s="230">
        <v>-8150</v>
      </c>
      <c r="CA165" s="229">
        <v>-2.1600000000000001E-2</v>
      </c>
      <c r="CB165" s="230">
        <v>349350</v>
      </c>
      <c r="CC165" s="230">
        <v>358400</v>
      </c>
      <c r="CD165" s="230">
        <v>-9050</v>
      </c>
      <c r="CE165" s="229">
        <v>-2.53E-2</v>
      </c>
      <c r="CF165" s="230">
        <v>14900</v>
      </c>
      <c r="CG165" s="230">
        <v>14350</v>
      </c>
      <c r="CH165" s="228">
        <v>550</v>
      </c>
      <c r="CI165" s="229">
        <v>3.8300000000000001E-2</v>
      </c>
      <c r="CJ165" s="230">
        <v>5100</v>
      </c>
      <c r="CK165" s="230">
        <v>4750</v>
      </c>
      <c r="CL165" s="228">
        <v>350</v>
      </c>
      <c r="CM165" s="229">
        <v>7.3700000000000002E-2</v>
      </c>
      <c r="CN165" s="230">
        <v>271200</v>
      </c>
      <c r="CO165" s="230">
        <v>275100</v>
      </c>
      <c r="CP165" s="230">
        <v>-3900</v>
      </c>
      <c r="CQ165" s="229">
        <v>-1.4200000000000001E-2</v>
      </c>
      <c r="CR165" s="230">
        <v>333550</v>
      </c>
      <c r="CS165" s="230">
        <v>335300</v>
      </c>
      <c r="CT165" s="230">
        <v>-1750</v>
      </c>
      <c r="CU165" s="229">
        <v>-5.1999999999999998E-3</v>
      </c>
      <c r="CV165" s="230">
        <v>974100</v>
      </c>
      <c r="CW165" s="230">
        <v>987900</v>
      </c>
      <c r="CX165" s="230">
        <v>-13800</v>
      </c>
      <c r="CY165" s="229">
        <v>-1.4E-2</v>
      </c>
      <c r="CZ165" s="228">
        <v>44.01</v>
      </c>
      <c r="DA165" s="228">
        <v>49.72</v>
      </c>
      <c r="DB165" s="228">
        <v>-5.71</v>
      </c>
      <c r="DC165" s="228">
        <v>-5.71</v>
      </c>
      <c r="DD165" s="228">
        <v>60.01</v>
      </c>
      <c r="DE165" s="228">
        <v>60.13</v>
      </c>
      <c r="DF165" s="228">
        <v>-16</v>
      </c>
      <c r="DG165" s="228">
        <v>-0.12</v>
      </c>
      <c r="DH165" s="228">
        <v>40.619999999999997</v>
      </c>
      <c r="DI165" s="228">
        <v>40.950000000000003</v>
      </c>
      <c r="DJ165" s="228">
        <v>-0.33</v>
      </c>
      <c r="DK165" s="228">
        <v>-0.33</v>
      </c>
      <c r="DL165" s="228">
        <v>49.43</v>
      </c>
      <c r="DM165" s="228">
        <v>57.12</v>
      </c>
      <c r="DN165" s="228">
        <v>-7.69</v>
      </c>
      <c r="DO165" s="228">
        <v>-7.69</v>
      </c>
      <c r="DP165" s="228">
        <v>1.23</v>
      </c>
      <c r="DQ165" s="228">
        <v>1.22</v>
      </c>
      <c r="DR165" s="228">
        <v>0.01</v>
      </c>
      <c r="DS165" s="229">
        <v>8.2000000000000007E-3</v>
      </c>
      <c r="DT165" s="231">
        <v>22000</v>
      </c>
      <c r="DU165" s="231">
        <v>21000</v>
      </c>
      <c r="DV165" s="228">
        <v>0.63</v>
      </c>
      <c r="DW165" s="228">
        <v>1.18</v>
      </c>
      <c r="DX165" s="228">
        <v>-0.55000000000000004</v>
      </c>
      <c r="DY165" s="229">
        <v>-0.46610000000000001</v>
      </c>
      <c r="DZ165" s="229">
        <v>5.4100000000000002E-2</v>
      </c>
      <c r="EA165" s="230">
        <v>19100</v>
      </c>
      <c r="EB165" s="229">
        <v>3.5999999999999999E-3</v>
      </c>
      <c r="EC165" s="229">
        <v>5.4100000000000002E-2</v>
      </c>
      <c r="ED165" s="228">
        <v>75.209999999999994</v>
      </c>
      <c r="EE165" s="229">
        <v>3.3E-3</v>
      </c>
      <c r="EF165" s="230">
        <v>41838</v>
      </c>
      <c r="EG165" s="230">
        <v>40872</v>
      </c>
      <c r="EH165" s="229">
        <v>2.3599999999999999E-2</v>
      </c>
      <c r="EI165" s="229">
        <v>0.32750000000000001</v>
      </c>
      <c r="EJ165" s="231">
        <v>76800.22</v>
      </c>
      <c r="EK165" s="231">
        <v>42132.12</v>
      </c>
      <c r="EL165" s="231">
        <v>18285.93</v>
      </c>
      <c r="EM165" s="231">
        <v>5653</v>
      </c>
      <c r="EN165" s="231">
        <v>137218.26999999999</v>
      </c>
      <c r="EO165" s="231">
        <v>160446.78</v>
      </c>
      <c r="EP165" s="231">
        <v>-23228.51</v>
      </c>
      <c r="EQ165" s="229">
        <v>-0.14480000000000001</v>
      </c>
      <c r="ER165" s="231">
        <v>59627</v>
      </c>
      <c r="ES165" s="231">
        <v>65757</v>
      </c>
      <c r="ET165" s="231">
        <v>84092</v>
      </c>
      <c r="EU165" s="231">
        <v>1917916</v>
      </c>
      <c r="EV165" s="231">
        <v>209475</v>
      </c>
      <c r="EW165" s="231">
        <v>211014</v>
      </c>
      <c r="EX165" s="231">
        <v>-1539</v>
      </c>
      <c r="EY165" s="229">
        <v>-7.3000000000000001E-3</v>
      </c>
      <c r="EZ165" s="229">
        <v>0.50790000000000002</v>
      </c>
      <c r="FA165" s="227" t="s">
        <v>556</v>
      </c>
      <c r="FB165" s="161">
        <f t="shared" si="4"/>
        <v>0</v>
      </c>
    </row>
    <row r="166" spans="1:158" ht="17.25" thickBot="1" x14ac:dyDescent="0.3">
      <c r="A166" s="226">
        <v>46064</v>
      </c>
      <c r="B166" s="227" t="s">
        <v>170</v>
      </c>
      <c r="C166" s="227" t="s">
        <v>677</v>
      </c>
      <c r="D166" s="228">
        <v>2625</v>
      </c>
      <c r="E166" s="228">
        <v>163.9</v>
      </c>
      <c r="F166" s="228">
        <v>163.21</v>
      </c>
      <c r="G166" s="228">
        <v>0.69</v>
      </c>
      <c r="H166" s="229">
        <v>4.1999999999999997E-3</v>
      </c>
      <c r="I166" s="228">
        <v>164.36</v>
      </c>
      <c r="J166" s="228">
        <v>163.41999999999999</v>
      </c>
      <c r="K166" s="228">
        <v>0.94</v>
      </c>
      <c r="L166" s="229">
        <v>5.7999999999999996E-3</v>
      </c>
      <c r="M166" s="228">
        <v>163.9</v>
      </c>
      <c r="N166" s="228">
        <v>163.21</v>
      </c>
      <c r="O166" s="228">
        <v>0.69</v>
      </c>
      <c r="P166" s="229">
        <v>4.1999999999999997E-3</v>
      </c>
      <c r="Q166" s="228">
        <v>162.68</v>
      </c>
      <c r="R166" s="228">
        <v>162.06</v>
      </c>
      <c r="S166" s="228">
        <v>0.62</v>
      </c>
      <c r="T166" s="229">
        <v>3.8E-3</v>
      </c>
      <c r="U166" s="228">
        <v>162.34</v>
      </c>
      <c r="V166" s="228">
        <v>161.27000000000001</v>
      </c>
      <c r="W166" s="228">
        <v>1.07</v>
      </c>
      <c r="X166" s="229">
        <v>6.6E-3</v>
      </c>
      <c r="Y166" s="228">
        <v>-0.46</v>
      </c>
      <c r="Z166" s="228">
        <v>-0.21</v>
      </c>
      <c r="AA166" s="228">
        <v>-0.25</v>
      </c>
      <c r="AB166" s="229">
        <v>-2.8E-3</v>
      </c>
      <c r="AC166" s="228">
        <v>-0.46</v>
      </c>
      <c r="AD166" s="228">
        <v>-0.21</v>
      </c>
      <c r="AE166" s="228">
        <v>-0.25</v>
      </c>
      <c r="AF166" s="229">
        <v>-2.8E-3</v>
      </c>
      <c r="AG166" s="228">
        <v>-1.68</v>
      </c>
      <c r="AH166" s="228">
        <v>-1.36</v>
      </c>
      <c r="AI166" s="228">
        <v>-0.32</v>
      </c>
      <c r="AJ166" s="229">
        <v>-1.0200000000000001E-2</v>
      </c>
      <c r="AK166" s="228">
        <v>-2.02</v>
      </c>
      <c r="AL166" s="228">
        <v>-2.15</v>
      </c>
      <c r="AM166" s="228">
        <v>0.13</v>
      </c>
      <c r="AN166" s="229">
        <v>-1.23E-2</v>
      </c>
      <c r="AO166" s="228">
        <v>163.33000000000001</v>
      </c>
      <c r="AP166" s="228">
        <v>161.88999999999999</v>
      </c>
      <c r="AQ166" s="228">
        <v>0</v>
      </c>
      <c r="AR166" s="230">
        <v>4515000</v>
      </c>
      <c r="AS166" s="230">
        <v>6651750</v>
      </c>
      <c r="AT166" s="230">
        <v>-2136750</v>
      </c>
      <c r="AU166" s="229">
        <v>-0.32119999999999999</v>
      </c>
      <c r="AV166" s="230">
        <v>3307500</v>
      </c>
      <c r="AW166" s="230">
        <v>4512375</v>
      </c>
      <c r="AX166" s="230">
        <v>-1204875</v>
      </c>
      <c r="AY166" s="229">
        <v>-0.26700000000000002</v>
      </c>
      <c r="AZ166" s="230">
        <v>1162875</v>
      </c>
      <c r="BA166" s="230">
        <v>1939875</v>
      </c>
      <c r="BB166" s="230">
        <v>-777000</v>
      </c>
      <c r="BC166" s="229">
        <v>-0.40050000000000002</v>
      </c>
      <c r="BD166" s="230">
        <v>44625</v>
      </c>
      <c r="BE166" s="230">
        <v>199500</v>
      </c>
      <c r="BF166" s="230">
        <v>-154875</v>
      </c>
      <c r="BG166" s="229">
        <v>-0.77629999999999999</v>
      </c>
      <c r="BH166" s="230">
        <v>4189500</v>
      </c>
      <c r="BI166" s="230">
        <v>12455625</v>
      </c>
      <c r="BJ166" s="230">
        <v>-8266125</v>
      </c>
      <c r="BK166" s="229">
        <v>-0.66359999999999997</v>
      </c>
      <c r="BL166" s="230">
        <v>1176000</v>
      </c>
      <c r="BM166" s="230">
        <v>4257750</v>
      </c>
      <c r="BN166" s="230">
        <v>-3081750</v>
      </c>
      <c r="BO166" s="229">
        <v>-0.7238</v>
      </c>
      <c r="BP166" s="230">
        <v>9880500</v>
      </c>
      <c r="BQ166" s="230">
        <v>23365125</v>
      </c>
      <c r="BR166" s="230">
        <v>-13484625</v>
      </c>
      <c r="BS166" s="229">
        <v>-0.57709999999999995</v>
      </c>
      <c r="BT166" s="230">
        <v>1721747</v>
      </c>
      <c r="BU166" s="230">
        <v>6696967</v>
      </c>
      <c r="BV166" s="230">
        <v>-4975220</v>
      </c>
      <c r="BW166" s="229">
        <v>-0.7429</v>
      </c>
      <c r="BX166" s="230">
        <v>24756375</v>
      </c>
      <c r="BY166" s="230">
        <v>24244500</v>
      </c>
      <c r="BZ166" s="230">
        <v>511875</v>
      </c>
      <c r="CA166" s="229">
        <v>2.1100000000000001E-2</v>
      </c>
      <c r="CB166" s="230">
        <v>20070750</v>
      </c>
      <c r="CC166" s="230">
        <v>20002500</v>
      </c>
      <c r="CD166" s="230">
        <v>68250</v>
      </c>
      <c r="CE166" s="229">
        <v>3.3999999999999998E-3</v>
      </c>
      <c r="CF166" s="230">
        <v>4344375</v>
      </c>
      <c r="CG166" s="230">
        <v>3929625</v>
      </c>
      <c r="CH166" s="230">
        <v>414750</v>
      </c>
      <c r="CI166" s="229">
        <v>0.1055</v>
      </c>
      <c r="CJ166" s="230">
        <v>341250</v>
      </c>
      <c r="CK166" s="230">
        <v>312375</v>
      </c>
      <c r="CL166" s="230">
        <v>28875</v>
      </c>
      <c r="CM166" s="229">
        <v>9.2399999999999996E-2</v>
      </c>
      <c r="CN166" s="230">
        <v>10610250</v>
      </c>
      <c r="CO166" s="230">
        <v>10458000</v>
      </c>
      <c r="CP166" s="230">
        <v>152250</v>
      </c>
      <c r="CQ166" s="229">
        <v>1.46E-2</v>
      </c>
      <c r="CR166" s="230">
        <v>6733125</v>
      </c>
      <c r="CS166" s="230">
        <v>6827625</v>
      </c>
      <c r="CT166" s="230">
        <v>-94500</v>
      </c>
      <c r="CU166" s="229">
        <v>-1.38E-2</v>
      </c>
      <c r="CV166" s="230">
        <v>42099750</v>
      </c>
      <c r="CW166" s="230">
        <v>41530125</v>
      </c>
      <c r="CX166" s="230">
        <v>569625</v>
      </c>
      <c r="CY166" s="229">
        <v>1.37E-2</v>
      </c>
      <c r="CZ166" s="228">
        <v>38.78</v>
      </c>
      <c r="DA166" s="228">
        <v>39.64</v>
      </c>
      <c r="DB166" s="228">
        <v>-0.86</v>
      </c>
      <c r="DC166" s="228">
        <v>-0.86</v>
      </c>
      <c r="DD166" s="228">
        <v>42.78</v>
      </c>
      <c r="DE166" s="228">
        <v>42.89</v>
      </c>
      <c r="DF166" s="228">
        <v>-4</v>
      </c>
      <c r="DG166" s="228">
        <v>-0.11</v>
      </c>
      <c r="DH166" s="228">
        <v>38.369999999999997</v>
      </c>
      <c r="DI166" s="228">
        <v>38.93</v>
      </c>
      <c r="DJ166" s="228">
        <v>-0.56000000000000005</v>
      </c>
      <c r="DK166" s="228">
        <v>-0.56000000000000005</v>
      </c>
      <c r="DL166" s="228">
        <v>40.22</v>
      </c>
      <c r="DM166" s="228">
        <v>41.73</v>
      </c>
      <c r="DN166" s="228">
        <v>-1.51</v>
      </c>
      <c r="DO166" s="228">
        <v>-1.51</v>
      </c>
      <c r="DP166" s="228">
        <v>0.63</v>
      </c>
      <c r="DQ166" s="228">
        <v>0.65</v>
      </c>
      <c r="DR166" s="228">
        <v>-0.02</v>
      </c>
      <c r="DS166" s="229">
        <v>-3.0800000000000001E-2</v>
      </c>
      <c r="DT166" s="228">
        <v>170</v>
      </c>
      <c r="DU166" s="228">
        <v>150</v>
      </c>
      <c r="DV166" s="228">
        <v>0.28000000000000003</v>
      </c>
      <c r="DW166" s="228">
        <v>0.34</v>
      </c>
      <c r="DX166" s="228">
        <v>-0.06</v>
      </c>
      <c r="DY166" s="229">
        <v>-0.17649999999999999</v>
      </c>
      <c r="DZ166" s="229">
        <v>0.1893</v>
      </c>
      <c r="EA166" s="230">
        <v>4242000</v>
      </c>
      <c r="EB166" s="229">
        <v>-7.4000000000000003E-3</v>
      </c>
      <c r="EC166" s="229">
        <v>0.1893</v>
      </c>
      <c r="ED166" s="228">
        <v>-1.44</v>
      </c>
      <c r="EE166" s="229">
        <v>-8.8000000000000005E-3</v>
      </c>
      <c r="EF166" s="230">
        <v>662635</v>
      </c>
      <c r="EG166" s="230">
        <v>3144894</v>
      </c>
      <c r="EH166" s="229">
        <v>-0.7893</v>
      </c>
      <c r="EI166" s="229">
        <v>0.38490000000000002</v>
      </c>
      <c r="EJ166" s="231">
        <v>7205.25</v>
      </c>
      <c r="EK166" s="231">
        <v>1875.78</v>
      </c>
      <c r="EL166" s="231">
        <v>7356.94</v>
      </c>
      <c r="EM166" s="231">
        <v>1984</v>
      </c>
      <c r="EN166" s="231">
        <v>16437.97</v>
      </c>
      <c r="EO166" s="231">
        <v>38940.19</v>
      </c>
      <c r="EP166" s="231">
        <v>-22502.22</v>
      </c>
      <c r="EQ166" s="229">
        <v>-0.57789999999999997</v>
      </c>
      <c r="ER166" s="231">
        <v>17920</v>
      </c>
      <c r="ES166" s="231">
        <v>10467</v>
      </c>
      <c r="ET166" s="231">
        <v>40517</v>
      </c>
      <c r="EU166" s="231">
        <v>107697729</v>
      </c>
      <c r="EV166" s="231">
        <v>68904</v>
      </c>
      <c r="EW166" s="231">
        <v>67790</v>
      </c>
      <c r="EX166" s="231">
        <v>1114</v>
      </c>
      <c r="EY166" s="229">
        <v>1.6400000000000001E-2</v>
      </c>
      <c r="EZ166" s="229">
        <v>0.39090000000000003</v>
      </c>
      <c r="FA166" s="227" t="s">
        <v>555</v>
      </c>
      <c r="FB166" s="161">
        <f t="shared" si="4"/>
        <v>0</v>
      </c>
    </row>
    <row r="167" spans="1:158" ht="17.25" thickBot="1" x14ac:dyDescent="0.3">
      <c r="A167" s="226">
        <v>46064</v>
      </c>
      <c r="B167" s="227" t="s">
        <v>184</v>
      </c>
      <c r="C167" s="227" t="s">
        <v>689</v>
      </c>
      <c r="D167" s="228">
        <v>575</v>
      </c>
      <c r="E167" s="228">
        <v>780.3</v>
      </c>
      <c r="F167" s="228">
        <v>825.4</v>
      </c>
      <c r="G167" s="228">
        <v>-45.1</v>
      </c>
      <c r="H167" s="229">
        <v>-5.4600000000000003E-2</v>
      </c>
      <c r="I167" s="228">
        <v>780.65</v>
      </c>
      <c r="J167" s="228">
        <v>823.85</v>
      </c>
      <c r="K167" s="228">
        <v>-43.2</v>
      </c>
      <c r="L167" s="229">
        <v>-5.2400000000000002E-2</v>
      </c>
      <c r="M167" s="228">
        <v>780.3</v>
      </c>
      <c r="N167" s="228">
        <v>825.4</v>
      </c>
      <c r="O167" s="228">
        <v>-45.1</v>
      </c>
      <c r="P167" s="229">
        <v>-5.4600000000000003E-2</v>
      </c>
      <c r="Q167" s="228">
        <v>778.9</v>
      </c>
      <c r="R167" s="228">
        <v>824.75</v>
      </c>
      <c r="S167" s="228">
        <v>-45.85</v>
      </c>
      <c r="T167" s="229">
        <v>-5.5599999999999997E-2</v>
      </c>
      <c r="U167" s="228">
        <v>780.45</v>
      </c>
      <c r="V167" s="228">
        <v>829.65</v>
      </c>
      <c r="W167" s="228">
        <v>-49.2</v>
      </c>
      <c r="X167" s="229">
        <v>-5.9299999999999999E-2</v>
      </c>
      <c r="Y167" s="228">
        <v>-0.35</v>
      </c>
      <c r="Z167" s="228">
        <v>1.55</v>
      </c>
      <c r="AA167" s="228">
        <v>-1.9</v>
      </c>
      <c r="AB167" s="229">
        <v>-4.0000000000000002E-4</v>
      </c>
      <c r="AC167" s="228">
        <v>-0.35</v>
      </c>
      <c r="AD167" s="228">
        <v>1.55</v>
      </c>
      <c r="AE167" s="228">
        <v>-1.9</v>
      </c>
      <c r="AF167" s="229">
        <v>-4.0000000000000002E-4</v>
      </c>
      <c r="AG167" s="228">
        <v>-1.75</v>
      </c>
      <c r="AH167" s="228">
        <v>0.9</v>
      </c>
      <c r="AI167" s="228">
        <v>-2.65</v>
      </c>
      <c r="AJ167" s="229">
        <v>-2.2000000000000001E-3</v>
      </c>
      <c r="AK167" s="228">
        <v>-0.2</v>
      </c>
      <c r="AL167" s="228">
        <v>5.8</v>
      </c>
      <c r="AM167" s="228">
        <v>-6</v>
      </c>
      <c r="AN167" s="229">
        <v>-2.9999999999999997E-4</v>
      </c>
      <c r="AO167" s="228">
        <v>791.08</v>
      </c>
      <c r="AP167" s="228">
        <v>788.21</v>
      </c>
      <c r="AQ167" s="228">
        <v>0</v>
      </c>
      <c r="AR167" s="230">
        <v>4353900</v>
      </c>
      <c r="AS167" s="230">
        <v>2613950</v>
      </c>
      <c r="AT167" s="230">
        <v>1739950</v>
      </c>
      <c r="AU167" s="229">
        <v>0.66559999999999997</v>
      </c>
      <c r="AV167" s="230">
        <v>3944500</v>
      </c>
      <c r="AW167" s="230">
        <v>2527700</v>
      </c>
      <c r="AX167" s="230">
        <v>1416800</v>
      </c>
      <c r="AY167" s="229">
        <v>0.5605</v>
      </c>
      <c r="AZ167" s="230">
        <v>374900</v>
      </c>
      <c r="BA167" s="230">
        <v>75900</v>
      </c>
      <c r="BB167" s="230">
        <v>299000</v>
      </c>
      <c r="BC167" s="229">
        <v>3.9394</v>
      </c>
      <c r="BD167" s="230">
        <v>34500</v>
      </c>
      <c r="BE167" s="230">
        <v>10350</v>
      </c>
      <c r="BF167" s="230">
        <v>24150</v>
      </c>
      <c r="BG167" s="229">
        <v>2.3332999999999999</v>
      </c>
      <c r="BH167" s="230">
        <v>10938225</v>
      </c>
      <c r="BI167" s="230">
        <v>7395650</v>
      </c>
      <c r="BJ167" s="230">
        <v>3542575</v>
      </c>
      <c r="BK167" s="229">
        <v>0.47899999999999998</v>
      </c>
      <c r="BL167" s="230">
        <v>6410675</v>
      </c>
      <c r="BM167" s="230">
        <v>1832525</v>
      </c>
      <c r="BN167" s="230">
        <v>4578150</v>
      </c>
      <c r="BO167" s="229">
        <v>2.4983</v>
      </c>
      <c r="BP167" s="230">
        <v>21702800</v>
      </c>
      <c r="BQ167" s="230">
        <v>11842125</v>
      </c>
      <c r="BR167" s="230">
        <v>9860675</v>
      </c>
      <c r="BS167" s="229">
        <v>0.8327</v>
      </c>
      <c r="BT167" s="230">
        <v>3876337</v>
      </c>
      <c r="BU167" s="230">
        <v>1277319</v>
      </c>
      <c r="BV167" s="230">
        <v>2599018</v>
      </c>
      <c r="BW167" s="229">
        <v>2.0347</v>
      </c>
      <c r="BX167" s="230">
        <v>6346275</v>
      </c>
      <c r="BY167" s="230">
        <v>6166875</v>
      </c>
      <c r="BZ167" s="230">
        <v>179400</v>
      </c>
      <c r="CA167" s="229">
        <v>2.9100000000000001E-2</v>
      </c>
      <c r="CB167" s="230">
        <v>6020250</v>
      </c>
      <c r="CC167" s="230">
        <v>5952975</v>
      </c>
      <c r="CD167" s="230">
        <v>67275</v>
      </c>
      <c r="CE167" s="229">
        <v>1.1299999999999999E-2</v>
      </c>
      <c r="CF167" s="230">
        <v>282325</v>
      </c>
      <c r="CG167" s="230">
        <v>183425</v>
      </c>
      <c r="CH167" s="230">
        <v>98900</v>
      </c>
      <c r="CI167" s="229">
        <v>0.53920000000000001</v>
      </c>
      <c r="CJ167" s="230">
        <v>43700</v>
      </c>
      <c r="CK167" s="230">
        <v>30475</v>
      </c>
      <c r="CL167" s="230">
        <v>13225</v>
      </c>
      <c r="CM167" s="229">
        <v>0.434</v>
      </c>
      <c r="CN167" s="230">
        <v>3839275</v>
      </c>
      <c r="CO167" s="230">
        <v>3316600</v>
      </c>
      <c r="CP167" s="230">
        <v>522675</v>
      </c>
      <c r="CQ167" s="229">
        <v>0.15759999999999999</v>
      </c>
      <c r="CR167" s="230">
        <v>1756050</v>
      </c>
      <c r="CS167" s="230">
        <v>1572050</v>
      </c>
      <c r="CT167" s="230">
        <v>184000</v>
      </c>
      <c r="CU167" s="229">
        <v>0.11700000000000001</v>
      </c>
      <c r="CV167" s="230">
        <v>11941600</v>
      </c>
      <c r="CW167" s="230">
        <v>11055525</v>
      </c>
      <c r="CX167" s="230">
        <v>886075</v>
      </c>
      <c r="CY167" s="229">
        <v>8.0100000000000005E-2</v>
      </c>
      <c r="CZ167" s="228">
        <v>53.81</v>
      </c>
      <c r="DA167" s="228">
        <v>52</v>
      </c>
      <c r="DB167" s="228">
        <v>1.81</v>
      </c>
      <c r="DC167" s="228">
        <v>1.81</v>
      </c>
      <c r="DD167" s="228">
        <v>48.8</v>
      </c>
      <c r="DE167" s="228">
        <v>48.32</v>
      </c>
      <c r="DF167" s="228">
        <v>5.01</v>
      </c>
      <c r="DG167" s="228">
        <v>0.48</v>
      </c>
      <c r="DH167" s="228">
        <v>54.22</v>
      </c>
      <c r="DI167" s="228">
        <v>52.49</v>
      </c>
      <c r="DJ167" s="228">
        <v>1.73</v>
      </c>
      <c r="DK167" s="228">
        <v>1.73</v>
      </c>
      <c r="DL167" s="228">
        <v>53.1</v>
      </c>
      <c r="DM167" s="228">
        <v>50.03</v>
      </c>
      <c r="DN167" s="228">
        <v>3.07</v>
      </c>
      <c r="DO167" s="228">
        <v>3.07</v>
      </c>
      <c r="DP167" s="228">
        <v>0.46</v>
      </c>
      <c r="DQ167" s="228">
        <v>0.47</v>
      </c>
      <c r="DR167" s="228">
        <v>-0.01</v>
      </c>
      <c r="DS167" s="229">
        <v>-2.1299999999999999E-2</v>
      </c>
      <c r="DT167" s="228">
        <v>800</v>
      </c>
      <c r="DU167" s="228">
        <v>720</v>
      </c>
      <c r="DV167" s="228">
        <v>0.59</v>
      </c>
      <c r="DW167" s="228">
        <v>0.25</v>
      </c>
      <c r="DX167" s="228">
        <v>0.34</v>
      </c>
      <c r="DY167" s="229">
        <v>1.36</v>
      </c>
      <c r="DZ167" s="229">
        <v>5.1400000000000001E-2</v>
      </c>
      <c r="EA167" s="230">
        <v>213900</v>
      </c>
      <c r="EB167" s="229">
        <v>-1.8E-3</v>
      </c>
      <c r="EC167" s="229">
        <v>5.1400000000000001E-2</v>
      </c>
      <c r="ED167" s="228">
        <v>-2.87</v>
      </c>
      <c r="EE167" s="229">
        <v>-3.5999999999999999E-3</v>
      </c>
      <c r="EF167" s="230">
        <v>1182956</v>
      </c>
      <c r="EG167" s="230">
        <v>297214</v>
      </c>
      <c r="EH167" s="229">
        <v>2.9801000000000002</v>
      </c>
      <c r="EI167" s="229">
        <v>0.30520000000000003</v>
      </c>
      <c r="EJ167" s="231">
        <v>93810.35</v>
      </c>
      <c r="EK167" s="231">
        <v>50771.96</v>
      </c>
      <c r="EL167" s="231">
        <v>34430.83</v>
      </c>
      <c r="EM167" s="231">
        <v>3657</v>
      </c>
      <c r="EN167" s="231">
        <v>179013.14</v>
      </c>
      <c r="EO167" s="231">
        <v>101177.15</v>
      </c>
      <c r="EP167" s="231">
        <v>77835.990000000005</v>
      </c>
      <c r="EQ167" s="229">
        <v>0.76929999999999998</v>
      </c>
      <c r="ER167" s="231">
        <v>31612</v>
      </c>
      <c r="ES167" s="231">
        <v>13062</v>
      </c>
      <c r="ET167" s="231">
        <v>49516</v>
      </c>
      <c r="EU167" s="231">
        <v>23923093</v>
      </c>
      <c r="EV167" s="231">
        <v>94190</v>
      </c>
      <c r="EW167" s="231">
        <v>90170</v>
      </c>
      <c r="EX167" s="231">
        <v>4020</v>
      </c>
      <c r="EY167" s="229">
        <v>4.4600000000000001E-2</v>
      </c>
      <c r="EZ167" s="229">
        <v>0.49919999999999998</v>
      </c>
      <c r="FA167" s="227" t="s">
        <v>567</v>
      </c>
      <c r="FB167" s="161">
        <f t="shared" si="4"/>
        <v>0</v>
      </c>
    </row>
    <row r="168" spans="1:158" ht="17.25" thickBot="1" x14ac:dyDescent="0.3">
      <c r="A168" s="226">
        <v>46064</v>
      </c>
      <c r="B168" s="227" t="s">
        <v>206</v>
      </c>
      <c r="C168" s="227" t="s">
        <v>605</v>
      </c>
      <c r="D168" s="228">
        <v>450</v>
      </c>
      <c r="E168" s="231">
        <v>1598.1</v>
      </c>
      <c r="F168" s="231">
        <v>1591.9</v>
      </c>
      <c r="G168" s="228">
        <v>6.2</v>
      </c>
      <c r="H168" s="229">
        <v>3.8999999999999998E-3</v>
      </c>
      <c r="I168" s="231">
        <v>1597.5</v>
      </c>
      <c r="J168" s="231">
        <v>1591.7</v>
      </c>
      <c r="K168" s="228">
        <v>5.8</v>
      </c>
      <c r="L168" s="229">
        <v>3.5999999999999999E-3</v>
      </c>
      <c r="M168" s="231">
        <v>1598.1</v>
      </c>
      <c r="N168" s="231">
        <v>1591.9</v>
      </c>
      <c r="O168" s="228">
        <v>6.2</v>
      </c>
      <c r="P168" s="229">
        <v>3.8999999999999998E-3</v>
      </c>
      <c r="Q168" s="231">
        <v>1605.8</v>
      </c>
      <c r="R168" s="231">
        <v>1599.3</v>
      </c>
      <c r="S168" s="228">
        <v>6.5</v>
      </c>
      <c r="T168" s="229">
        <v>4.1000000000000003E-3</v>
      </c>
      <c r="U168" s="231">
        <v>1607.8</v>
      </c>
      <c r="V168" s="231">
        <v>1599</v>
      </c>
      <c r="W168" s="228">
        <v>8.8000000000000007</v>
      </c>
      <c r="X168" s="229">
        <v>5.4999999999999997E-3</v>
      </c>
      <c r="Y168" s="228">
        <v>0.6</v>
      </c>
      <c r="Z168" s="228">
        <v>0.2</v>
      </c>
      <c r="AA168" s="228">
        <v>0.4</v>
      </c>
      <c r="AB168" s="229">
        <v>4.0000000000000002E-4</v>
      </c>
      <c r="AC168" s="228">
        <v>0.6</v>
      </c>
      <c r="AD168" s="228">
        <v>0.2</v>
      </c>
      <c r="AE168" s="228">
        <v>0.4</v>
      </c>
      <c r="AF168" s="229">
        <v>4.0000000000000002E-4</v>
      </c>
      <c r="AG168" s="228">
        <v>8.3000000000000007</v>
      </c>
      <c r="AH168" s="228">
        <v>7.6</v>
      </c>
      <c r="AI168" s="228">
        <v>0.7</v>
      </c>
      <c r="AJ168" s="229">
        <v>5.1999999999999998E-3</v>
      </c>
      <c r="AK168" s="228">
        <v>10.3</v>
      </c>
      <c r="AL168" s="228">
        <v>7.3</v>
      </c>
      <c r="AM168" s="228">
        <v>3</v>
      </c>
      <c r="AN168" s="229">
        <v>6.4000000000000003E-3</v>
      </c>
      <c r="AO168" s="231">
        <v>1593.11</v>
      </c>
      <c r="AP168" s="231">
        <v>1598.32</v>
      </c>
      <c r="AQ168" s="228">
        <v>0</v>
      </c>
      <c r="AR168" s="230">
        <v>761400</v>
      </c>
      <c r="AS168" s="230">
        <v>415800</v>
      </c>
      <c r="AT168" s="230">
        <v>345600</v>
      </c>
      <c r="AU168" s="229">
        <v>0.83120000000000005</v>
      </c>
      <c r="AV168" s="230">
        <v>736200</v>
      </c>
      <c r="AW168" s="230">
        <v>394200</v>
      </c>
      <c r="AX168" s="230">
        <v>342000</v>
      </c>
      <c r="AY168" s="229">
        <v>0.86760000000000004</v>
      </c>
      <c r="AZ168" s="230">
        <v>23850</v>
      </c>
      <c r="BA168" s="230">
        <v>21150</v>
      </c>
      <c r="BB168" s="230">
        <v>2700</v>
      </c>
      <c r="BC168" s="229">
        <v>0.12770000000000001</v>
      </c>
      <c r="BD168" s="230">
        <v>1350</v>
      </c>
      <c r="BE168" s="228">
        <v>450</v>
      </c>
      <c r="BF168" s="228">
        <v>900</v>
      </c>
      <c r="BG168" s="229">
        <v>2</v>
      </c>
      <c r="BH168" s="230">
        <v>1423350</v>
      </c>
      <c r="BI168" s="230">
        <v>1151100</v>
      </c>
      <c r="BJ168" s="230">
        <v>272250</v>
      </c>
      <c r="BK168" s="229">
        <v>0.23649999999999999</v>
      </c>
      <c r="BL168" s="230">
        <v>368550</v>
      </c>
      <c r="BM168" s="230">
        <v>389700</v>
      </c>
      <c r="BN168" s="230">
        <v>-21150</v>
      </c>
      <c r="BO168" s="229">
        <v>-5.4300000000000001E-2</v>
      </c>
      <c r="BP168" s="230">
        <v>2553300</v>
      </c>
      <c r="BQ168" s="230">
        <v>1956600</v>
      </c>
      <c r="BR168" s="230">
        <v>596700</v>
      </c>
      <c r="BS168" s="229">
        <v>0.30499999999999999</v>
      </c>
      <c r="BT168" s="230">
        <v>371320</v>
      </c>
      <c r="BU168" s="230">
        <v>284602</v>
      </c>
      <c r="BV168" s="230">
        <v>86718</v>
      </c>
      <c r="BW168" s="229">
        <v>0.30470000000000003</v>
      </c>
      <c r="BX168" s="230">
        <v>3887100</v>
      </c>
      <c r="BY168" s="230">
        <v>3762900</v>
      </c>
      <c r="BZ168" s="230">
        <v>124200</v>
      </c>
      <c r="CA168" s="229">
        <v>3.3000000000000002E-2</v>
      </c>
      <c r="CB168" s="230">
        <v>3802050</v>
      </c>
      <c r="CC168" s="230">
        <v>3681900</v>
      </c>
      <c r="CD168" s="230">
        <v>120150</v>
      </c>
      <c r="CE168" s="229">
        <v>3.2599999999999997E-2</v>
      </c>
      <c r="CF168" s="230">
        <v>82800</v>
      </c>
      <c r="CG168" s="230">
        <v>79200</v>
      </c>
      <c r="CH168" s="230">
        <v>3600</v>
      </c>
      <c r="CI168" s="229">
        <v>4.5499999999999999E-2</v>
      </c>
      <c r="CJ168" s="230">
        <v>2250</v>
      </c>
      <c r="CK168" s="230">
        <v>1800</v>
      </c>
      <c r="CL168" s="228">
        <v>450</v>
      </c>
      <c r="CM168" s="229">
        <v>0.25</v>
      </c>
      <c r="CN168" s="230">
        <v>1773450</v>
      </c>
      <c r="CO168" s="230">
        <v>1725300</v>
      </c>
      <c r="CP168" s="230">
        <v>48150</v>
      </c>
      <c r="CQ168" s="229">
        <v>2.7900000000000001E-2</v>
      </c>
      <c r="CR168" s="230">
        <v>1349100</v>
      </c>
      <c r="CS168" s="230">
        <v>1328400</v>
      </c>
      <c r="CT168" s="230">
        <v>20700</v>
      </c>
      <c r="CU168" s="229">
        <v>1.5599999999999999E-2</v>
      </c>
      <c r="CV168" s="230">
        <v>7009650</v>
      </c>
      <c r="CW168" s="230">
        <v>6816600</v>
      </c>
      <c r="CX168" s="230">
        <v>193050</v>
      </c>
      <c r="CY168" s="229">
        <v>2.8299999999999999E-2</v>
      </c>
      <c r="CZ168" s="228">
        <v>31.45</v>
      </c>
      <c r="DA168" s="228">
        <v>33.75</v>
      </c>
      <c r="DB168" s="228">
        <v>-2.2999999999999998</v>
      </c>
      <c r="DC168" s="228">
        <v>-2.2999999999999998</v>
      </c>
      <c r="DD168" s="228">
        <v>43.38</v>
      </c>
      <c r="DE168" s="228">
        <v>43.49</v>
      </c>
      <c r="DF168" s="228">
        <v>-11.93</v>
      </c>
      <c r="DG168" s="228">
        <v>-0.11</v>
      </c>
      <c r="DH168" s="228">
        <v>30.85</v>
      </c>
      <c r="DI168" s="228">
        <v>32.33</v>
      </c>
      <c r="DJ168" s="228">
        <v>-1.48</v>
      </c>
      <c r="DK168" s="228">
        <v>-1.48</v>
      </c>
      <c r="DL168" s="228">
        <v>33.729999999999997</v>
      </c>
      <c r="DM168" s="228">
        <v>37.93</v>
      </c>
      <c r="DN168" s="228">
        <v>-4.2</v>
      </c>
      <c r="DO168" s="228">
        <v>-4.2</v>
      </c>
      <c r="DP168" s="228">
        <v>0.76</v>
      </c>
      <c r="DQ168" s="228">
        <v>0.77</v>
      </c>
      <c r="DR168" s="228">
        <v>-0.01</v>
      </c>
      <c r="DS168" s="229">
        <v>-1.2999999999999999E-2</v>
      </c>
      <c r="DT168" s="231">
        <v>1600</v>
      </c>
      <c r="DU168" s="231">
        <v>1500</v>
      </c>
      <c r="DV168" s="228">
        <v>0.26</v>
      </c>
      <c r="DW168" s="228">
        <v>0.34</v>
      </c>
      <c r="DX168" s="228">
        <v>-0.08</v>
      </c>
      <c r="DY168" s="229">
        <v>-0.23530000000000001</v>
      </c>
      <c r="DZ168" s="229">
        <v>2.1899999999999999E-2</v>
      </c>
      <c r="EA168" s="230">
        <v>81000</v>
      </c>
      <c r="EB168" s="229">
        <v>4.7999999999999996E-3</v>
      </c>
      <c r="EC168" s="229">
        <v>2.1899999999999999E-2</v>
      </c>
      <c r="ED168" s="228">
        <v>5.21</v>
      </c>
      <c r="EE168" s="229">
        <v>3.3E-3</v>
      </c>
      <c r="EF168" s="230">
        <v>230435</v>
      </c>
      <c r="EG168" s="230">
        <v>155394</v>
      </c>
      <c r="EH168" s="229">
        <v>0.4829</v>
      </c>
      <c r="EI168" s="229">
        <v>0.62060000000000004</v>
      </c>
      <c r="EJ168" s="231">
        <v>23465.61</v>
      </c>
      <c r="EK168" s="231">
        <v>5661.22</v>
      </c>
      <c r="EL168" s="231">
        <v>12131.34</v>
      </c>
      <c r="EM168" s="231">
        <v>1705</v>
      </c>
      <c r="EN168" s="231">
        <v>41258.17</v>
      </c>
      <c r="EO168" s="231">
        <v>31412.74</v>
      </c>
      <c r="EP168" s="231">
        <v>9845.43</v>
      </c>
      <c r="EQ168" s="229">
        <v>0.31340000000000001</v>
      </c>
      <c r="ER168" s="231">
        <v>28916</v>
      </c>
      <c r="ES168" s="231">
        <v>19660</v>
      </c>
      <c r="ET168" s="231">
        <v>62126</v>
      </c>
      <c r="EU168" s="231">
        <v>22697169</v>
      </c>
      <c r="EV168" s="231">
        <v>110702</v>
      </c>
      <c r="EW168" s="231">
        <v>107356</v>
      </c>
      <c r="EX168" s="231">
        <v>3346</v>
      </c>
      <c r="EY168" s="229">
        <v>3.1199999999999999E-2</v>
      </c>
      <c r="EZ168" s="229">
        <v>0.30880000000000002</v>
      </c>
      <c r="FA168" s="227" t="s">
        <v>555</v>
      </c>
      <c r="FB168" s="161">
        <f t="shared" si="4"/>
        <v>0</v>
      </c>
    </row>
    <row r="169" spans="1:158" ht="17.25" thickBot="1" x14ac:dyDescent="0.3">
      <c r="A169" s="226">
        <v>46064</v>
      </c>
      <c r="B169" s="227" t="s">
        <v>172</v>
      </c>
      <c r="C169" s="227" t="s">
        <v>279</v>
      </c>
      <c r="D169" s="228">
        <v>3175</v>
      </c>
      <c r="E169" s="228">
        <v>308.89999999999998</v>
      </c>
      <c r="F169" s="228">
        <v>306.8</v>
      </c>
      <c r="G169" s="228">
        <v>2.1</v>
      </c>
      <c r="H169" s="229">
        <v>6.7999999999999996E-3</v>
      </c>
      <c r="I169" s="228">
        <v>308.8</v>
      </c>
      <c r="J169" s="228">
        <v>306.7</v>
      </c>
      <c r="K169" s="228">
        <v>2.1</v>
      </c>
      <c r="L169" s="229">
        <v>6.7999999999999996E-3</v>
      </c>
      <c r="M169" s="228">
        <v>308.89999999999998</v>
      </c>
      <c r="N169" s="228">
        <v>306.8</v>
      </c>
      <c r="O169" s="228">
        <v>2.1</v>
      </c>
      <c r="P169" s="229">
        <v>6.7999999999999996E-3</v>
      </c>
      <c r="Q169" s="228">
        <v>311.39999999999998</v>
      </c>
      <c r="R169" s="228">
        <v>309.14999999999998</v>
      </c>
      <c r="S169" s="228">
        <v>2.25</v>
      </c>
      <c r="T169" s="229">
        <v>7.3000000000000001E-3</v>
      </c>
      <c r="U169" s="228">
        <v>312</v>
      </c>
      <c r="V169" s="228">
        <v>312</v>
      </c>
      <c r="W169" s="228">
        <v>0</v>
      </c>
      <c r="X169" s="229">
        <v>0</v>
      </c>
      <c r="Y169" s="228">
        <v>0.1</v>
      </c>
      <c r="Z169" s="228">
        <v>0.1</v>
      </c>
      <c r="AA169" s="228">
        <v>0</v>
      </c>
      <c r="AB169" s="229">
        <v>2.9999999999999997E-4</v>
      </c>
      <c r="AC169" s="228">
        <v>0.1</v>
      </c>
      <c r="AD169" s="228">
        <v>0.1</v>
      </c>
      <c r="AE169" s="228">
        <v>0</v>
      </c>
      <c r="AF169" s="229">
        <v>2.9999999999999997E-4</v>
      </c>
      <c r="AG169" s="228">
        <v>2.6</v>
      </c>
      <c r="AH169" s="228">
        <v>2.4500000000000002</v>
      </c>
      <c r="AI169" s="228">
        <v>0.15</v>
      </c>
      <c r="AJ169" s="229">
        <v>8.3999999999999995E-3</v>
      </c>
      <c r="AK169" s="228">
        <v>3.2</v>
      </c>
      <c r="AL169" s="228">
        <v>5.3</v>
      </c>
      <c r="AM169" s="228">
        <v>-2.1</v>
      </c>
      <c r="AN169" s="229">
        <v>1.04E-2</v>
      </c>
      <c r="AO169" s="228">
        <v>307.76</v>
      </c>
      <c r="AP169" s="228">
        <v>309.02</v>
      </c>
      <c r="AQ169" s="228">
        <v>0</v>
      </c>
      <c r="AR169" s="230">
        <v>7737475</v>
      </c>
      <c r="AS169" s="230">
        <v>7810500</v>
      </c>
      <c r="AT169" s="230">
        <v>-73025</v>
      </c>
      <c r="AU169" s="229">
        <v>-9.2999999999999992E-3</v>
      </c>
      <c r="AV169" s="230">
        <v>7124700</v>
      </c>
      <c r="AW169" s="230">
        <v>7343775</v>
      </c>
      <c r="AX169" s="230">
        <v>-219075</v>
      </c>
      <c r="AY169" s="229">
        <v>-2.98E-2</v>
      </c>
      <c r="AZ169" s="230">
        <v>603250</v>
      </c>
      <c r="BA169" s="230">
        <v>428625</v>
      </c>
      <c r="BB169" s="230">
        <v>174625</v>
      </c>
      <c r="BC169" s="229">
        <v>0.40739999999999998</v>
      </c>
      <c r="BD169" s="230">
        <v>9525</v>
      </c>
      <c r="BE169" s="230">
        <v>38100</v>
      </c>
      <c r="BF169" s="230">
        <v>-28575</v>
      </c>
      <c r="BG169" s="229">
        <v>-0.75</v>
      </c>
      <c r="BH169" s="230">
        <v>14274800</v>
      </c>
      <c r="BI169" s="230">
        <v>12007850</v>
      </c>
      <c r="BJ169" s="230">
        <v>2266950</v>
      </c>
      <c r="BK169" s="229">
        <v>0.1888</v>
      </c>
      <c r="BL169" s="230">
        <v>5222875</v>
      </c>
      <c r="BM169" s="230">
        <v>4156075</v>
      </c>
      <c r="BN169" s="230">
        <v>1066800</v>
      </c>
      <c r="BO169" s="229">
        <v>0.25669999999999998</v>
      </c>
      <c r="BP169" s="230">
        <v>27235150</v>
      </c>
      <c r="BQ169" s="230">
        <v>23974425</v>
      </c>
      <c r="BR169" s="230">
        <v>3260725</v>
      </c>
      <c r="BS169" s="229">
        <v>0.13600000000000001</v>
      </c>
      <c r="BT169" s="230">
        <v>2243580</v>
      </c>
      <c r="BU169" s="230">
        <v>2070463</v>
      </c>
      <c r="BV169" s="230">
        <v>173117</v>
      </c>
      <c r="BW169" s="229">
        <v>8.3599999999999994E-2</v>
      </c>
      <c r="BX169" s="230">
        <v>74676000</v>
      </c>
      <c r="BY169" s="230">
        <v>74422000</v>
      </c>
      <c r="BZ169" s="230">
        <v>254000</v>
      </c>
      <c r="CA169" s="229">
        <v>3.3999999999999998E-3</v>
      </c>
      <c r="CB169" s="230">
        <v>73107550</v>
      </c>
      <c r="CC169" s="230">
        <v>73158350</v>
      </c>
      <c r="CD169" s="230">
        <v>-50800</v>
      </c>
      <c r="CE169" s="229">
        <v>-6.9999999999999999E-4</v>
      </c>
      <c r="CF169" s="230">
        <v>1422400</v>
      </c>
      <c r="CG169" s="230">
        <v>1120775</v>
      </c>
      <c r="CH169" s="230">
        <v>301625</v>
      </c>
      <c r="CI169" s="229">
        <v>0.26910000000000001</v>
      </c>
      <c r="CJ169" s="230">
        <v>146050</v>
      </c>
      <c r="CK169" s="230">
        <v>142875</v>
      </c>
      <c r="CL169" s="230">
        <v>3175</v>
      </c>
      <c r="CM169" s="229">
        <v>2.2200000000000001E-2</v>
      </c>
      <c r="CN169" s="230">
        <v>27657425</v>
      </c>
      <c r="CO169" s="230">
        <v>28216225</v>
      </c>
      <c r="CP169" s="230">
        <v>-558800</v>
      </c>
      <c r="CQ169" s="229">
        <v>-1.9800000000000002E-2</v>
      </c>
      <c r="CR169" s="230">
        <v>18789650</v>
      </c>
      <c r="CS169" s="230">
        <v>18980150</v>
      </c>
      <c r="CT169" s="230">
        <v>-190500</v>
      </c>
      <c r="CU169" s="229">
        <v>-0.01</v>
      </c>
      <c r="CV169" s="230">
        <v>121123075</v>
      </c>
      <c r="CW169" s="230">
        <v>121618375</v>
      </c>
      <c r="CX169" s="230">
        <v>-495300</v>
      </c>
      <c r="CY169" s="229">
        <v>-4.1000000000000003E-3</v>
      </c>
      <c r="CZ169" s="228">
        <v>27.56</v>
      </c>
      <c r="DA169" s="228">
        <v>28.14</v>
      </c>
      <c r="DB169" s="228">
        <v>-0.57999999999999996</v>
      </c>
      <c r="DC169" s="228">
        <v>-0.57999999999999996</v>
      </c>
      <c r="DD169" s="228">
        <v>43.47</v>
      </c>
      <c r="DE169" s="228">
        <v>43.57</v>
      </c>
      <c r="DF169" s="228">
        <v>-15.91</v>
      </c>
      <c r="DG169" s="228">
        <v>-0.1</v>
      </c>
      <c r="DH169" s="228">
        <v>27.45</v>
      </c>
      <c r="DI169" s="228">
        <v>28.3</v>
      </c>
      <c r="DJ169" s="228">
        <v>-0.85</v>
      </c>
      <c r="DK169" s="228">
        <v>-0.85</v>
      </c>
      <c r="DL169" s="228">
        <v>27.89</v>
      </c>
      <c r="DM169" s="228">
        <v>27.68</v>
      </c>
      <c r="DN169" s="228">
        <v>0.21</v>
      </c>
      <c r="DO169" s="228">
        <v>0.21</v>
      </c>
      <c r="DP169" s="228">
        <v>0.68</v>
      </c>
      <c r="DQ169" s="228">
        <v>0.67</v>
      </c>
      <c r="DR169" s="228">
        <v>0.01</v>
      </c>
      <c r="DS169" s="229">
        <v>1.49E-2</v>
      </c>
      <c r="DT169" s="228">
        <v>300</v>
      </c>
      <c r="DU169" s="228">
        <v>280</v>
      </c>
      <c r="DV169" s="228">
        <v>0.37</v>
      </c>
      <c r="DW169" s="228">
        <v>0.35</v>
      </c>
      <c r="DX169" s="228">
        <v>0.02</v>
      </c>
      <c r="DY169" s="229">
        <v>5.7099999999999998E-2</v>
      </c>
      <c r="DZ169" s="229">
        <v>2.1000000000000001E-2</v>
      </c>
      <c r="EA169" s="230">
        <v>1263650</v>
      </c>
      <c r="EB169" s="229">
        <v>8.0999999999999996E-3</v>
      </c>
      <c r="EC169" s="229">
        <v>2.1000000000000001E-2</v>
      </c>
      <c r="ED169" s="228">
        <v>1.26</v>
      </c>
      <c r="EE169" s="229">
        <v>4.1000000000000003E-3</v>
      </c>
      <c r="EF169" s="230">
        <v>881938</v>
      </c>
      <c r="EG169" s="230">
        <v>787470</v>
      </c>
      <c r="EH169" s="229">
        <v>0.12</v>
      </c>
      <c r="EI169" s="229">
        <v>0.3931</v>
      </c>
      <c r="EJ169" s="231">
        <v>45624.21</v>
      </c>
      <c r="EK169" s="231">
        <v>15741.65</v>
      </c>
      <c r="EL169" s="231">
        <v>23820.959999999999</v>
      </c>
      <c r="EM169" s="231">
        <v>2217</v>
      </c>
      <c r="EN169" s="231">
        <v>85186.82</v>
      </c>
      <c r="EO169" s="231">
        <v>75122.55</v>
      </c>
      <c r="EP169" s="231">
        <v>10064.27</v>
      </c>
      <c r="EQ169" s="229">
        <v>0.13400000000000001</v>
      </c>
      <c r="ER169" s="231">
        <v>86189</v>
      </c>
      <c r="ES169" s="231">
        <v>54756</v>
      </c>
      <c r="ET169" s="231">
        <v>230714</v>
      </c>
      <c r="EU169" s="231">
        <v>91953095</v>
      </c>
      <c r="EV169" s="231">
        <v>371659</v>
      </c>
      <c r="EW169" s="231">
        <v>371732</v>
      </c>
      <c r="EX169" s="228">
        <v>-73</v>
      </c>
      <c r="EY169" s="229">
        <v>-2.0000000000000001E-4</v>
      </c>
      <c r="EZ169" s="229">
        <v>1.3171999999999999</v>
      </c>
      <c r="FA169" s="227" t="s">
        <v>555</v>
      </c>
      <c r="FB169" s="161">
        <f t="shared" si="4"/>
        <v>0</v>
      </c>
    </row>
    <row r="170" spans="1:158" ht="17.25" thickBot="1" x14ac:dyDescent="0.3">
      <c r="A170" s="226">
        <v>46064</v>
      </c>
      <c r="B170" s="227" t="s">
        <v>175</v>
      </c>
      <c r="C170" s="227" t="s">
        <v>280</v>
      </c>
      <c r="D170" s="228">
        <v>1400</v>
      </c>
      <c r="E170" s="228">
        <v>355.3</v>
      </c>
      <c r="F170" s="228">
        <v>356.3</v>
      </c>
      <c r="G170" s="228">
        <v>-1</v>
      </c>
      <c r="H170" s="229">
        <v>-2.8E-3</v>
      </c>
      <c r="I170" s="228">
        <v>353.95</v>
      </c>
      <c r="J170" s="228">
        <v>355.8</v>
      </c>
      <c r="K170" s="228">
        <v>-1.85</v>
      </c>
      <c r="L170" s="229">
        <v>-5.1999999999999998E-3</v>
      </c>
      <c r="M170" s="228">
        <v>355.3</v>
      </c>
      <c r="N170" s="228">
        <v>356.3</v>
      </c>
      <c r="O170" s="228">
        <v>-1</v>
      </c>
      <c r="P170" s="229">
        <v>-2.8E-3</v>
      </c>
      <c r="Q170" s="228">
        <v>356.4</v>
      </c>
      <c r="R170" s="228">
        <v>357.4</v>
      </c>
      <c r="S170" s="228">
        <v>-1</v>
      </c>
      <c r="T170" s="229">
        <v>-2.8E-3</v>
      </c>
      <c r="U170" s="228">
        <v>359</v>
      </c>
      <c r="V170" s="228">
        <v>360.05</v>
      </c>
      <c r="W170" s="228">
        <v>-1.05</v>
      </c>
      <c r="X170" s="229">
        <v>-2.8999999999999998E-3</v>
      </c>
      <c r="Y170" s="228">
        <v>1.35</v>
      </c>
      <c r="Z170" s="228">
        <v>0.5</v>
      </c>
      <c r="AA170" s="228">
        <v>0.85</v>
      </c>
      <c r="AB170" s="229">
        <v>3.8E-3</v>
      </c>
      <c r="AC170" s="228">
        <v>1.35</v>
      </c>
      <c r="AD170" s="228">
        <v>0.5</v>
      </c>
      <c r="AE170" s="228">
        <v>0.85</v>
      </c>
      <c r="AF170" s="229">
        <v>3.8E-3</v>
      </c>
      <c r="AG170" s="228">
        <v>2.4500000000000002</v>
      </c>
      <c r="AH170" s="228">
        <v>1.6</v>
      </c>
      <c r="AI170" s="228">
        <v>0.85</v>
      </c>
      <c r="AJ170" s="229">
        <v>6.8999999999999999E-3</v>
      </c>
      <c r="AK170" s="228">
        <v>5.05</v>
      </c>
      <c r="AL170" s="228">
        <v>4.25</v>
      </c>
      <c r="AM170" s="228">
        <v>0.8</v>
      </c>
      <c r="AN170" s="229">
        <v>1.43E-2</v>
      </c>
      <c r="AO170" s="228">
        <v>355.74</v>
      </c>
      <c r="AP170" s="228">
        <v>357.03</v>
      </c>
      <c r="AQ170" s="228">
        <v>0</v>
      </c>
      <c r="AR170" s="230">
        <v>12244400</v>
      </c>
      <c r="AS170" s="230">
        <v>12156200</v>
      </c>
      <c r="AT170" s="230">
        <v>88200</v>
      </c>
      <c r="AU170" s="229">
        <v>7.3000000000000001E-3</v>
      </c>
      <c r="AV170" s="230">
        <v>10423000</v>
      </c>
      <c r="AW170" s="230">
        <v>9312800</v>
      </c>
      <c r="AX170" s="230">
        <v>1110200</v>
      </c>
      <c r="AY170" s="229">
        <v>0.1192</v>
      </c>
      <c r="AZ170" s="230">
        <v>1629600</v>
      </c>
      <c r="BA170" s="230">
        <v>2520000</v>
      </c>
      <c r="BB170" s="230">
        <v>-890400</v>
      </c>
      <c r="BC170" s="229">
        <v>-0.3533</v>
      </c>
      <c r="BD170" s="230">
        <v>191800</v>
      </c>
      <c r="BE170" s="230">
        <v>323400</v>
      </c>
      <c r="BF170" s="230">
        <v>-131600</v>
      </c>
      <c r="BG170" s="229">
        <v>-0.40689999999999998</v>
      </c>
      <c r="BH170" s="230">
        <v>38011400</v>
      </c>
      <c r="BI170" s="230">
        <v>42520800</v>
      </c>
      <c r="BJ170" s="230">
        <v>-4509400</v>
      </c>
      <c r="BK170" s="229">
        <v>-0.1061</v>
      </c>
      <c r="BL170" s="230">
        <v>11974200</v>
      </c>
      <c r="BM170" s="230">
        <v>14035000</v>
      </c>
      <c r="BN170" s="230">
        <v>-2060800</v>
      </c>
      <c r="BO170" s="229">
        <v>-0.14680000000000001</v>
      </c>
      <c r="BP170" s="230">
        <v>62230000</v>
      </c>
      <c r="BQ170" s="230">
        <v>68712000</v>
      </c>
      <c r="BR170" s="230">
        <v>-6482000</v>
      </c>
      <c r="BS170" s="229">
        <v>-9.4299999999999995E-2</v>
      </c>
      <c r="BT170" s="230">
        <v>9342755</v>
      </c>
      <c r="BU170" s="230">
        <v>10165748</v>
      </c>
      <c r="BV170" s="230">
        <v>-822993</v>
      </c>
      <c r="BW170" s="229">
        <v>-8.1000000000000003E-2</v>
      </c>
      <c r="BX170" s="230">
        <v>93130800</v>
      </c>
      <c r="BY170" s="230">
        <v>92512000</v>
      </c>
      <c r="BZ170" s="230">
        <v>618800</v>
      </c>
      <c r="CA170" s="229">
        <v>6.7000000000000002E-3</v>
      </c>
      <c r="CB170" s="230">
        <v>82887000</v>
      </c>
      <c r="CC170" s="230">
        <v>82973800</v>
      </c>
      <c r="CD170" s="230">
        <v>-86800</v>
      </c>
      <c r="CE170" s="229">
        <v>-1E-3</v>
      </c>
      <c r="CF170" s="230">
        <v>9244200</v>
      </c>
      <c r="CG170" s="230">
        <v>8593200</v>
      </c>
      <c r="CH170" s="230">
        <v>651000</v>
      </c>
      <c r="CI170" s="229">
        <v>7.5800000000000006E-2</v>
      </c>
      <c r="CJ170" s="230">
        <v>999600</v>
      </c>
      <c r="CK170" s="230">
        <v>945000</v>
      </c>
      <c r="CL170" s="230">
        <v>54600</v>
      </c>
      <c r="CM170" s="229">
        <v>5.7799999999999997E-2</v>
      </c>
      <c r="CN170" s="230">
        <v>51619400</v>
      </c>
      <c r="CO170" s="230">
        <v>50740200</v>
      </c>
      <c r="CP170" s="230">
        <v>879200</v>
      </c>
      <c r="CQ170" s="229">
        <v>1.7299999999999999E-2</v>
      </c>
      <c r="CR170" s="230">
        <v>30202200</v>
      </c>
      <c r="CS170" s="230">
        <v>29869000</v>
      </c>
      <c r="CT170" s="230">
        <v>333200</v>
      </c>
      <c r="CU170" s="229">
        <v>1.12E-2</v>
      </c>
      <c r="CV170" s="230">
        <v>174952400</v>
      </c>
      <c r="CW170" s="230">
        <v>173121200</v>
      </c>
      <c r="CX170" s="230">
        <v>1831200</v>
      </c>
      <c r="CY170" s="229">
        <v>1.06E-2</v>
      </c>
      <c r="CZ170" s="228">
        <v>33.29</v>
      </c>
      <c r="DA170" s="228">
        <v>34.729999999999997</v>
      </c>
      <c r="DB170" s="228">
        <v>-1.44</v>
      </c>
      <c r="DC170" s="228">
        <v>-1.44</v>
      </c>
      <c r="DD170" s="228">
        <v>41.24</v>
      </c>
      <c r="DE170" s="228">
        <v>41.34</v>
      </c>
      <c r="DF170" s="228">
        <v>-7.95</v>
      </c>
      <c r="DG170" s="228">
        <v>-0.1</v>
      </c>
      <c r="DH170" s="228">
        <v>34.08</v>
      </c>
      <c r="DI170" s="228">
        <v>35.159999999999997</v>
      </c>
      <c r="DJ170" s="228">
        <v>-1.08</v>
      </c>
      <c r="DK170" s="228">
        <v>-1.08</v>
      </c>
      <c r="DL170" s="228">
        <v>30.8</v>
      </c>
      <c r="DM170" s="228">
        <v>33.46</v>
      </c>
      <c r="DN170" s="228">
        <v>-2.66</v>
      </c>
      <c r="DO170" s="228">
        <v>-2.66</v>
      </c>
      <c r="DP170" s="228">
        <v>0.59</v>
      </c>
      <c r="DQ170" s="228">
        <v>0.59</v>
      </c>
      <c r="DR170" s="228">
        <v>0</v>
      </c>
      <c r="DS170" s="229">
        <v>0</v>
      </c>
      <c r="DT170" s="228">
        <v>380</v>
      </c>
      <c r="DU170" s="228">
        <v>360</v>
      </c>
      <c r="DV170" s="228">
        <v>0.32</v>
      </c>
      <c r="DW170" s="228">
        <v>0.33</v>
      </c>
      <c r="DX170" s="228">
        <v>-0.01</v>
      </c>
      <c r="DY170" s="229">
        <v>-3.0300000000000001E-2</v>
      </c>
      <c r="DZ170" s="229">
        <v>0.11</v>
      </c>
      <c r="EA170" s="230">
        <v>9538200</v>
      </c>
      <c r="EB170" s="229">
        <v>3.0999999999999999E-3</v>
      </c>
      <c r="EC170" s="229">
        <v>0.11</v>
      </c>
      <c r="ED170" s="228">
        <v>1.29</v>
      </c>
      <c r="EE170" s="229">
        <v>3.5999999999999999E-3</v>
      </c>
      <c r="EF170" s="230">
        <v>5384416</v>
      </c>
      <c r="EG170" s="230">
        <v>4578078</v>
      </c>
      <c r="EH170" s="229">
        <v>0.17610000000000001</v>
      </c>
      <c r="EI170" s="229">
        <v>0.57630000000000003</v>
      </c>
      <c r="EJ170" s="231">
        <v>144788.49</v>
      </c>
      <c r="EK170" s="231">
        <v>42588.84</v>
      </c>
      <c r="EL170" s="231">
        <v>43586.31</v>
      </c>
      <c r="EM170" s="231">
        <v>16192</v>
      </c>
      <c r="EN170" s="231">
        <v>230963.64</v>
      </c>
      <c r="EO170" s="231">
        <v>255659.53</v>
      </c>
      <c r="EP170" s="231">
        <v>-24695.89</v>
      </c>
      <c r="EQ170" s="229">
        <v>-9.6600000000000005E-2</v>
      </c>
      <c r="ER170" s="231">
        <v>197672</v>
      </c>
      <c r="ES170" s="231">
        <v>108590</v>
      </c>
      <c r="ET170" s="231">
        <v>331032</v>
      </c>
      <c r="EU170" s="231">
        <v>187084550</v>
      </c>
      <c r="EV170" s="231">
        <v>637294</v>
      </c>
      <c r="EW170" s="231">
        <v>632285</v>
      </c>
      <c r="EX170" s="231">
        <v>5009</v>
      </c>
      <c r="EY170" s="229">
        <v>7.9000000000000008E-3</v>
      </c>
      <c r="EZ170" s="229">
        <v>0.93520000000000003</v>
      </c>
      <c r="FA170" s="227" t="s">
        <v>567</v>
      </c>
      <c r="FB170" s="161">
        <f t="shared" si="4"/>
        <v>0</v>
      </c>
    </row>
    <row r="171" spans="1:158" ht="17.25" thickBot="1" x14ac:dyDescent="0.3">
      <c r="A171" s="226">
        <v>46064</v>
      </c>
      <c r="B171" s="227" t="s">
        <v>193</v>
      </c>
      <c r="C171" s="227" t="s">
        <v>281</v>
      </c>
      <c r="D171" s="228">
        <v>500</v>
      </c>
      <c r="E171" s="231">
        <v>1470.2</v>
      </c>
      <c r="F171" s="231">
        <v>1460.7</v>
      </c>
      <c r="G171" s="228">
        <v>9.5</v>
      </c>
      <c r="H171" s="229">
        <v>6.4999999999999997E-3</v>
      </c>
      <c r="I171" s="231">
        <v>1468.7</v>
      </c>
      <c r="J171" s="231">
        <v>1458.5</v>
      </c>
      <c r="K171" s="228">
        <v>10.199999999999999</v>
      </c>
      <c r="L171" s="229">
        <v>7.0000000000000001E-3</v>
      </c>
      <c r="M171" s="231">
        <v>1470.2</v>
      </c>
      <c r="N171" s="231">
        <v>1460.7</v>
      </c>
      <c r="O171" s="228">
        <v>9.5</v>
      </c>
      <c r="P171" s="229">
        <v>6.4999999999999997E-3</v>
      </c>
      <c r="Q171" s="231">
        <v>1479.6</v>
      </c>
      <c r="R171" s="231">
        <v>1469.5</v>
      </c>
      <c r="S171" s="228">
        <v>10.1</v>
      </c>
      <c r="T171" s="229">
        <v>6.8999999999999999E-3</v>
      </c>
      <c r="U171" s="231">
        <v>1488.2</v>
      </c>
      <c r="V171" s="231">
        <v>1478.1</v>
      </c>
      <c r="W171" s="228">
        <v>10.1</v>
      </c>
      <c r="X171" s="229">
        <v>6.7999999999999996E-3</v>
      </c>
      <c r="Y171" s="228">
        <v>1.5</v>
      </c>
      <c r="Z171" s="228">
        <v>2.2000000000000002</v>
      </c>
      <c r="AA171" s="228">
        <v>-0.7</v>
      </c>
      <c r="AB171" s="229">
        <v>1E-3</v>
      </c>
      <c r="AC171" s="228">
        <v>1.5</v>
      </c>
      <c r="AD171" s="228">
        <v>2.2000000000000002</v>
      </c>
      <c r="AE171" s="228">
        <v>-0.7</v>
      </c>
      <c r="AF171" s="229">
        <v>1E-3</v>
      </c>
      <c r="AG171" s="228">
        <v>10.9</v>
      </c>
      <c r="AH171" s="228">
        <v>11</v>
      </c>
      <c r="AI171" s="228">
        <v>-0.1</v>
      </c>
      <c r="AJ171" s="229">
        <v>7.4000000000000003E-3</v>
      </c>
      <c r="AK171" s="228">
        <v>19.5</v>
      </c>
      <c r="AL171" s="228">
        <v>19.600000000000001</v>
      </c>
      <c r="AM171" s="228">
        <v>-0.1</v>
      </c>
      <c r="AN171" s="229">
        <v>1.3299999999999999E-2</v>
      </c>
      <c r="AO171" s="231">
        <v>1467.22</v>
      </c>
      <c r="AP171" s="231">
        <v>1476.24</v>
      </c>
      <c r="AQ171" s="228">
        <v>0</v>
      </c>
      <c r="AR171" s="230">
        <v>7253500</v>
      </c>
      <c r="AS171" s="230">
        <v>5846500</v>
      </c>
      <c r="AT171" s="230">
        <v>1407000</v>
      </c>
      <c r="AU171" s="229">
        <v>0.2407</v>
      </c>
      <c r="AV171" s="230">
        <v>6447500</v>
      </c>
      <c r="AW171" s="230">
        <v>5137500</v>
      </c>
      <c r="AX171" s="230">
        <v>1310000</v>
      </c>
      <c r="AY171" s="229">
        <v>0.255</v>
      </c>
      <c r="AZ171" s="230">
        <v>687000</v>
      </c>
      <c r="BA171" s="230">
        <v>581500</v>
      </c>
      <c r="BB171" s="230">
        <v>105500</v>
      </c>
      <c r="BC171" s="229">
        <v>0.18140000000000001</v>
      </c>
      <c r="BD171" s="230">
        <v>119000</v>
      </c>
      <c r="BE171" s="230">
        <v>127500</v>
      </c>
      <c r="BF171" s="230">
        <v>-8500</v>
      </c>
      <c r="BG171" s="229">
        <v>-6.6699999999999995E-2</v>
      </c>
      <c r="BH171" s="230">
        <v>38612000</v>
      </c>
      <c r="BI171" s="230">
        <v>33415500</v>
      </c>
      <c r="BJ171" s="230">
        <v>5196500</v>
      </c>
      <c r="BK171" s="229">
        <v>0.1555</v>
      </c>
      <c r="BL171" s="230">
        <v>23857500</v>
      </c>
      <c r="BM171" s="230">
        <v>24034000</v>
      </c>
      <c r="BN171" s="230">
        <v>-176500</v>
      </c>
      <c r="BO171" s="229">
        <v>-7.3000000000000001E-3</v>
      </c>
      <c r="BP171" s="230">
        <v>69723000</v>
      </c>
      <c r="BQ171" s="230">
        <v>63296000</v>
      </c>
      <c r="BR171" s="230">
        <v>6427000</v>
      </c>
      <c r="BS171" s="229">
        <v>0.10150000000000001</v>
      </c>
      <c r="BT171" s="230">
        <v>7512198</v>
      </c>
      <c r="BU171" s="230">
        <v>10534541</v>
      </c>
      <c r="BV171" s="230">
        <v>-3022343</v>
      </c>
      <c r="BW171" s="229">
        <v>-0.28689999999999999</v>
      </c>
      <c r="BX171" s="230">
        <v>106957000</v>
      </c>
      <c r="BY171" s="230">
        <v>107169500</v>
      </c>
      <c r="BZ171" s="230">
        <v>-212500</v>
      </c>
      <c r="CA171" s="229">
        <v>-2E-3</v>
      </c>
      <c r="CB171" s="230">
        <v>92835500</v>
      </c>
      <c r="CC171" s="230">
        <v>93203000</v>
      </c>
      <c r="CD171" s="230">
        <v>-367500</v>
      </c>
      <c r="CE171" s="229">
        <v>-3.8999999999999998E-3</v>
      </c>
      <c r="CF171" s="230">
        <v>12888000</v>
      </c>
      <c r="CG171" s="230">
        <v>12741000</v>
      </c>
      <c r="CH171" s="230">
        <v>147000</v>
      </c>
      <c r="CI171" s="229">
        <v>1.15E-2</v>
      </c>
      <c r="CJ171" s="230">
        <v>1233500</v>
      </c>
      <c r="CK171" s="230">
        <v>1225500</v>
      </c>
      <c r="CL171" s="230">
        <v>8000</v>
      </c>
      <c r="CM171" s="229">
        <v>6.4999999999999997E-3</v>
      </c>
      <c r="CN171" s="230">
        <v>55153500</v>
      </c>
      <c r="CO171" s="230">
        <v>56974000</v>
      </c>
      <c r="CP171" s="230">
        <v>-1820500</v>
      </c>
      <c r="CQ171" s="229">
        <v>-3.2000000000000001E-2</v>
      </c>
      <c r="CR171" s="230">
        <v>32887000</v>
      </c>
      <c r="CS171" s="230">
        <v>31646500</v>
      </c>
      <c r="CT171" s="230">
        <v>1240500</v>
      </c>
      <c r="CU171" s="229">
        <v>3.9199999999999999E-2</v>
      </c>
      <c r="CV171" s="230">
        <v>194997500</v>
      </c>
      <c r="CW171" s="230">
        <v>195790000</v>
      </c>
      <c r="CX171" s="230">
        <v>-792500</v>
      </c>
      <c r="CY171" s="229">
        <v>-4.0000000000000001E-3</v>
      </c>
      <c r="CZ171" s="228">
        <v>18.22</v>
      </c>
      <c r="DA171" s="228">
        <v>18.93</v>
      </c>
      <c r="DB171" s="228">
        <v>-0.71</v>
      </c>
      <c r="DC171" s="228">
        <v>-0.71</v>
      </c>
      <c r="DD171" s="228">
        <v>24.65</v>
      </c>
      <c r="DE171" s="228">
        <v>24.69</v>
      </c>
      <c r="DF171" s="228">
        <v>-6.43</v>
      </c>
      <c r="DG171" s="228">
        <v>-0.04</v>
      </c>
      <c r="DH171" s="228">
        <v>17.649999999999999</v>
      </c>
      <c r="DI171" s="228">
        <v>18.59</v>
      </c>
      <c r="DJ171" s="228">
        <v>-0.94</v>
      </c>
      <c r="DK171" s="228">
        <v>-0.94</v>
      </c>
      <c r="DL171" s="228">
        <v>19.14</v>
      </c>
      <c r="DM171" s="228">
        <v>19.41</v>
      </c>
      <c r="DN171" s="228">
        <v>-0.27</v>
      </c>
      <c r="DO171" s="228">
        <v>-0.27</v>
      </c>
      <c r="DP171" s="228">
        <v>0.6</v>
      </c>
      <c r="DQ171" s="228">
        <v>0.56000000000000005</v>
      </c>
      <c r="DR171" s="228">
        <v>0.04</v>
      </c>
      <c r="DS171" s="229">
        <v>7.1400000000000005E-2</v>
      </c>
      <c r="DT171" s="231">
        <v>1400</v>
      </c>
      <c r="DU171" s="231">
        <v>1400</v>
      </c>
      <c r="DV171" s="228">
        <v>0.62</v>
      </c>
      <c r="DW171" s="228">
        <v>0.72</v>
      </c>
      <c r="DX171" s="228">
        <v>-0.1</v>
      </c>
      <c r="DY171" s="229">
        <v>-0.1389</v>
      </c>
      <c r="DZ171" s="229">
        <v>0.13200000000000001</v>
      </c>
      <c r="EA171" s="230">
        <v>13966500</v>
      </c>
      <c r="EB171" s="229">
        <v>6.4000000000000003E-3</v>
      </c>
      <c r="EC171" s="229">
        <v>0.13200000000000001</v>
      </c>
      <c r="ED171" s="228">
        <v>9.02</v>
      </c>
      <c r="EE171" s="229">
        <v>6.1000000000000004E-3</v>
      </c>
      <c r="EF171" s="230">
        <v>4303110</v>
      </c>
      <c r="EG171" s="230">
        <v>3229791</v>
      </c>
      <c r="EH171" s="229">
        <v>0.33229999999999998</v>
      </c>
      <c r="EI171" s="229">
        <v>0.57279999999999998</v>
      </c>
      <c r="EJ171" s="231">
        <v>581500.49</v>
      </c>
      <c r="EK171" s="231">
        <v>344293.47</v>
      </c>
      <c r="EL171" s="231">
        <v>106508.39</v>
      </c>
      <c r="EM171" s="231">
        <v>17483</v>
      </c>
      <c r="EN171" s="231">
        <v>1032302.35</v>
      </c>
      <c r="EO171" s="231">
        <v>934577.09</v>
      </c>
      <c r="EP171" s="231">
        <v>97725.26</v>
      </c>
      <c r="EQ171" s="229">
        <v>0.1046</v>
      </c>
      <c r="ER171" s="231">
        <v>817773</v>
      </c>
      <c r="ES171" s="231">
        <v>465014</v>
      </c>
      <c r="ET171" s="231">
        <v>1573915</v>
      </c>
      <c r="EU171" s="231">
        <v>664266681</v>
      </c>
      <c r="EV171" s="231">
        <v>2856703</v>
      </c>
      <c r="EW171" s="231">
        <v>2858022</v>
      </c>
      <c r="EX171" s="231">
        <v>-1319</v>
      </c>
      <c r="EY171" s="229">
        <v>-5.0000000000000001E-4</v>
      </c>
      <c r="EZ171" s="229">
        <v>0.29360000000000003</v>
      </c>
      <c r="FA171" s="227" t="s">
        <v>556</v>
      </c>
      <c r="FB171" s="161">
        <f t="shared" si="4"/>
        <v>0</v>
      </c>
    </row>
    <row r="172" spans="1:158" ht="17.25" thickBot="1" x14ac:dyDescent="0.3">
      <c r="A172" s="226">
        <v>46064</v>
      </c>
      <c r="B172" s="227" t="s">
        <v>215</v>
      </c>
      <c r="C172" s="227" t="s">
        <v>674</v>
      </c>
      <c r="D172" s="228">
        <v>1525</v>
      </c>
      <c r="E172" s="228">
        <v>297.64999999999998</v>
      </c>
      <c r="F172" s="228">
        <v>298</v>
      </c>
      <c r="G172" s="228">
        <v>-0.35</v>
      </c>
      <c r="H172" s="229">
        <v>-1.1999999999999999E-3</v>
      </c>
      <c r="I172" s="228">
        <v>316.55</v>
      </c>
      <c r="J172" s="228">
        <v>319.45</v>
      </c>
      <c r="K172" s="228">
        <v>-2.9</v>
      </c>
      <c r="L172" s="229">
        <v>-9.1000000000000004E-3</v>
      </c>
      <c r="M172" s="228">
        <v>297.64999999999998</v>
      </c>
      <c r="N172" s="228">
        <v>298</v>
      </c>
      <c r="O172" s="228">
        <v>-0.35</v>
      </c>
      <c r="P172" s="229">
        <v>-1.1999999999999999E-3</v>
      </c>
      <c r="Q172" s="228">
        <v>282.10000000000002</v>
      </c>
      <c r="R172" s="228">
        <v>283.55</v>
      </c>
      <c r="S172" s="228">
        <v>-1.45</v>
      </c>
      <c r="T172" s="229">
        <v>-5.1000000000000004E-3</v>
      </c>
      <c r="U172" s="228">
        <v>273.5</v>
      </c>
      <c r="V172" s="228">
        <v>275.05</v>
      </c>
      <c r="W172" s="228">
        <v>-1.55</v>
      </c>
      <c r="X172" s="229">
        <v>-5.5999999999999999E-3</v>
      </c>
      <c r="Y172" s="228">
        <v>-18.899999999999999</v>
      </c>
      <c r="Z172" s="228">
        <v>-21.45</v>
      </c>
      <c r="AA172" s="228">
        <v>2.5499999999999998</v>
      </c>
      <c r="AB172" s="229">
        <v>-5.9700000000000003E-2</v>
      </c>
      <c r="AC172" s="228">
        <v>-18.899999999999999</v>
      </c>
      <c r="AD172" s="228">
        <v>-21.45</v>
      </c>
      <c r="AE172" s="228">
        <v>2.5499999999999998</v>
      </c>
      <c r="AF172" s="229">
        <v>-5.9700000000000003E-2</v>
      </c>
      <c r="AG172" s="228">
        <v>-34.450000000000003</v>
      </c>
      <c r="AH172" s="228">
        <v>-35.9</v>
      </c>
      <c r="AI172" s="228">
        <v>1.45</v>
      </c>
      <c r="AJ172" s="229">
        <v>-0.10879999999999999</v>
      </c>
      <c r="AK172" s="228">
        <v>-43.05</v>
      </c>
      <c r="AL172" s="228">
        <v>-44.4</v>
      </c>
      <c r="AM172" s="228">
        <v>1.35</v>
      </c>
      <c r="AN172" s="229">
        <v>-0.13600000000000001</v>
      </c>
      <c r="AO172" s="228">
        <v>295.42</v>
      </c>
      <c r="AP172" s="228">
        <v>279.64999999999998</v>
      </c>
      <c r="AQ172" s="228">
        <v>0</v>
      </c>
      <c r="AR172" s="230">
        <v>10809200</v>
      </c>
      <c r="AS172" s="230">
        <v>22182650</v>
      </c>
      <c r="AT172" s="230">
        <v>-11373450</v>
      </c>
      <c r="AU172" s="229">
        <v>-0.51270000000000004</v>
      </c>
      <c r="AV172" s="230">
        <v>6838100</v>
      </c>
      <c r="AW172" s="230">
        <v>14241975</v>
      </c>
      <c r="AX172" s="230">
        <v>-7403875</v>
      </c>
      <c r="AY172" s="229">
        <v>-0.51990000000000003</v>
      </c>
      <c r="AZ172" s="230">
        <v>3138450</v>
      </c>
      <c r="BA172" s="230">
        <v>5900225</v>
      </c>
      <c r="BB172" s="230">
        <v>-2761775</v>
      </c>
      <c r="BC172" s="229">
        <v>-0.46810000000000002</v>
      </c>
      <c r="BD172" s="230">
        <v>832650</v>
      </c>
      <c r="BE172" s="230">
        <v>2040450</v>
      </c>
      <c r="BF172" s="230">
        <v>-1207800</v>
      </c>
      <c r="BG172" s="229">
        <v>-0.59189999999999998</v>
      </c>
      <c r="BH172" s="230">
        <v>30074525</v>
      </c>
      <c r="BI172" s="230">
        <v>64132350</v>
      </c>
      <c r="BJ172" s="230">
        <v>-34057825</v>
      </c>
      <c r="BK172" s="229">
        <v>-0.53110000000000002</v>
      </c>
      <c r="BL172" s="230">
        <v>6365350</v>
      </c>
      <c r="BM172" s="230">
        <v>15225600</v>
      </c>
      <c r="BN172" s="230">
        <v>-8860250</v>
      </c>
      <c r="BO172" s="229">
        <v>-0.58189999999999997</v>
      </c>
      <c r="BP172" s="230">
        <v>47249075</v>
      </c>
      <c r="BQ172" s="230">
        <v>101540600</v>
      </c>
      <c r="BR172" s="230">
        <v>-54291525</v>
      </c>
      <c r="BS172" s="229">
        <v>-0.53469999999999995</v>
      </c>
      <c r="BT172" s="230">
        <v>5451277</v>
      </c>
      <c r="BU172" s="230">
        <v>10326225</v>
      </c>
      <c r="BV172" s="230">
        <v>-4874948</v>
      </c>
      <c r="BW172" s="229">
        <v>-0.47210000000000002</v>
      </c>
      <c r="BX172" s="230">
        <v>74755500</v>
      </c>
      <c r="BY172" s="230">
        <v>74046375</v>
      </c>
      <c r="BZ172" s="230">
        <v>709125</v>
      </c>
      <c r="CA172" s="229">
        <v>9.5999999999999992E-3</v>
      </c>
      <c r="CB172" s="230">
        <v>60266475</v>
      </c>
      <c r="CC172" s="230">
        <v>59993500</v>
      </c>
      <c r="CD172" s="230">
        <v>272975</v>
      </c>
      <c r="CE172" s="229">
        <v>4.5999999999999999E-3</v>
      </c>
      <c r="CF172" s="230">
        <v>9907925</v>
      </c>
      <c r="CG172" s="230">
        <v>9724925</v>
      </c>
      <c r="CH172" s="230">
        <v>183000</v>
      </c>
      <c r="CI172" s="229">
        <v>1.8800000000000001E-2</v>
      </c>
      <c r="CJ172" s="230">
        <v>4581100</v>
      </c>
      <c r="CK172" s="230">
        <v>4327950</v>
      </c>
      <c r="CL172" s="230">
        <v>253150</v>
      </c>
      <c r="CM172" s="229">
        <v>5.8500000000000003E-2</v>
      </c>
      <c r="CN172" s="230">
        <v>66708075</v>
      </c>
      <c r="CO172" s="230">
        <v>67681025</v>
      </c>
      <c r="CP172" s="230">
        <v>-972950</v>
      </c>
      <c r="CQ172" s="229">
        <v>-1.44E-2</v>
      </c>
      <c r="CR172" s="230">
        <v>23073250</v>
      </c>
      <c r="CS172" s="230">
        <v>22795700</v>
      </c>
      <c r="CT172" s="230">
        <v>277550</v>
      </c>
      <c r="CU172" s="229">
        <v>1.2200000000000001E-2</v>
      </c>
      <c r="CV172" s="230">
        <v>164536825</v>
      </c>
      <c r="CW172" s="230">
        <v>164523100</v>
      </c>
      <c r="CX172" s="230">
        <v>13725</v>
      </c>
      <c r="CY172" s="229">
        <v>1E-4</v>
      </c>
      <c r="CZ172" s="228">
        <v>52.69</v>
      </c>
      <c r="DA172" s="228">
        <v>54.1</v>
      </c>
      <c r="DB172" s="228">
        <v>-1.41</v>
      </c>
      <c r="DC172" s="228">
        <v>-1.41</v>
      </c>
      <c r="DD172" s="228">
        <v>58.28</v>
      </c>
      <c r="DE172" s="228">
        <v>58.43</v>
      </c>
      <c r="DF172" s="228">
        <v>-5.59</v>
      </c>
      <c r="DG172" s="228">
        <v>-0.15</v>
      </c>
      <c r="DH172" s="228">
        <v>54.14</v>
      </c>
      <c r="DI172" s="228">
        <v>55.55</v>
      </c>
      <c r="DJ172" s="228">
        <v>-1.41</v>
      </c>
      <c r="DK172" s="228">
        <v>-1.41</v>
      </c>
      <c r="DL172" s="228">
        <v>45.82</v>
      </c>
      <c r="DM172" s="228">
        <v>47.96</v>
      </c>
      <c r="DN172" s="228">
        <v>-2.14</v>
      </c>
      <c r="DO172" s="228">
        <v>-2.14</v>
      </c>
      <c r="DP172" s="228">
        <v>0.35</v>
      </c>
      <c r="DQ172" s="228">
        <v>0.34</v>
      </c>
      <c r="DR172" s="228">
        <v>0.01</v>
      </c>
      <c r="DS172" s="229">
        <v>2.9399999999999999E-2</v>
      </c>
      <c r="DT172" s="228">
        <v>350</v>
      </c>
      <c r="DU172" s="228">
        <v>280</v>
      </c>
      <c r="DV172" s="228">
        <v>0.21</v>
      </c>
      <c r="DW172" s="228">
        <v>0.24</v>
      </c>
      <c r="DX172" s="228">
        <v>-0.03</v>
      </c>
      <c r="DY172" s="229">
        <v>-0.125</v>
      </c>
      <c r="DZ172" s="229">
        <v>0.1938</v>
      </c>
      <c r="EA172" s="230">
        <v>14052875</v>
      </c>
      <c r="EB172" s="229">
        <v>-5.2200000000000003E-2</v>
      </c>
      <c r="EC172" s="229">
        <v>0.1938</v>
      </c>
      <c r="ED172" s="228">
        <v>-15.77</v>
      </c>
      <c r="EE172" s="229">
        <v>-5.3400000000000003E-2</v>
      </c>
      <c r="EF172" s="230">
        <v>1270371</v>
      </c>
      <c r="EG172" s="230">
        <v>1878788</v>
      </c>
      <c r="EH172" s="229">
        <v>-0.32379999999999998</v>
      </c>
      <c r="EI172" s="229">
        <v>0.23300000000000001</v>
      </c>
      <c r="EJ172" s="231">
        <v>101158</v>
      </c>
      <c r="EK172" s="231">
        <v>19098.509999999998</v>
      </c>
      <c r="EL172" s="231">
        <v>31231.69</v>
      </c>
      <c r="EM172" s="231">
        <v>10141</v>
      </c>
      <c r="EN172" s="231">
        <v>151488.20000000001</v>
      </c>
      <c r="EO172" s="231">
        <v>327471.90000000002</v>
      </c>
      <c r="EP172" s="231">
        <v>-175983.7</v>
      </c>
      <c r="EQ172" s="229">
        <v>-0.53739999999999999</v>
      </c>
      <c r="ER172" s="231">
        <v>229417</v>
      </c>
      <c r="ES172" s="231">
        <v>69920</v>
      </c>
      <c r="ET172" s="231">
        <v>219863</v>
      </c>
      <c r="EU172" s="231">
        <v>84941460</v>
      </c>
      <c r="EV172" s="231">
        <v>519201</v>
      </c>
      <c r="EW172" s="231">
        <v>520938</v>
      </c>
      <c r="EX172" s="231">
        <v>-1737</v>
      </c>
      <c r="EY172" s="229">
        <v>-3.3E-3</v>
      </c>
      <c r="EZ172" s="229">
        <v>1.9371</v>
      </c>
      <c r="FA172" s="227" t="s">
        <v>567</v>
      </c>
      <c r="FB172" s="161">
        <f t="shared" si="4"/>
        <v>0</v>
      </c>
    </row>
    <row r="173" spans="1:158" ht="17.25" thickBot="1" x14ac:dyDescent="0.3">
      <c r="A173" s="226">
        <v>46064</v>
      </c>
      <c r="B173" s="227" t="s">
        <v>227</v>
      </c>
      <c r="C173" s="227" t="s">
        <v>282</v>
      </c>
      <c r="D173" s="228">
        <v>4700</v>
      </c>
      <c r="E173" s="228">
        <v>162.22999999999999</v>
      </c>
      <c r="F173" s="228">
        <v>161.25</v>
      </c>
      <c r="G173" s="228">
        <v>0.98</v>
      </c>
      <c r="H173" s="229">
        <v>6.1000000000000004E-3</v>
      </c>
      <c r="I173" s="228">
        <v>162.12</v>
      </c>
      <c r="J173" s="228">
        <v>160.99</v>
      </c>
      <c r="K173" s="228">
        <v>1.1299999999999999</v>
      </c>
      <c r="L173" s="229">
        <v>7.0000000000000001E-3</v>
      </c>
      <c r="M173" s="228">
        <v>162.22999999999999</v>
      </c>
      <c r="N173" s="228">
        <v>161.25</v>
      </c>
      <c r="O173" s="228">
        <v>0.98</v>
      </c>
      <c r="P173" s="229">
        <v>6.1000000000000004E-3</v>
      </c>
      <c r="Q173" s="228">
        <v>162.75</v>
      </c>
      <c r="R173" s="228">
        <v>161.9</v>
      </c>
      <c r="S173" s="228">
        <v>0.85</v>
      </c>
      <c r="T173" s="229">
        <v>5.3E-3</v>
      </c>
      <c r="U173" s="228">
        <v>164.01</v>
      </c>
      <c r="V173" s="228">
        <v>162.5</v>
      </c>
      <c r="W173" s="228">
        <v>1.51</v>
      </c>
      <c r="X173" s="229">
        <v>9.2999999999999992E-3</v>
      </c>
      <c r="Y173" s="228">
        <v>0.11</v>
      </c>
      <c r="Z173" s="228">
        <v>0.26</v>
      </c>
      <c r="AA173" s="228">
        <v>-0.15</v>
      </c>
      <c r="AB173" s="229">
        <v>6.9999999999999999E-4</v>
      </c>
      <c r="AC173" s="228">
        <v>0.11</v>
      </c>
      <c r="AD173" s="228">
        <v>0.26</v>
      </c>
      <c r="AE173" s="228">
        <v>-0.15</v>
      </c>
      <c r="AF173" s="229">
        <v>6.9999999999999999E-4</v>
      </c>
      <c r="AG173" s="228">
        <v>0.63</v>
      </c>
      <c r="AH173" s="228">
        <v>0.91</v>
      </c>
      <c r="AI173" s="228">
        <v>-0.28000000000000003</v>
      </c>
      <c r="AJ173" s="229">
        <v>3.8999999999999998E-3</v>
      </c>
      <c r="AK173" s="228">
        <v>1.89</v>
      </c>
      <c r="AL173" s="228">
        <v>1.51</v>
      </c>
      <c r="AM173" s="228">
        <v>0.38</v>
      </c>
      <c r="AN173" s="229">
        <v>1.17E-2</v>
      </c>
      <c r="AO173" s="228">
        <v>162.16</v>
      </c>
      <c r="AP173" s="228">
        <v>162.47999999999999</v>
      </c>
      <c r="AQ173" s="228">
        <v>0</v>
      </c>
      <c r="AR173" s="230">
        <v>2622600</v>
      </c>
      <c r="AS173" s="230">
        <v>9136800</v>
      </c>
      <c r="AT173" s="230">
        <v>-6514200</v>
      </c>
      <c r="AU173" s="229">
        <v>-0.71299999999999997</v>
      </c>
      <c r="AV173" s="230">
        <v>2420500</v>
      </c>
      <c r="AW173" s="230">
        <v>8445900</v>
      </c>
      <c r="AX173" s="230">
        <v>-6025400</v>
      </c>
      <c r="AY173" s="229">
        <v>-0.71340000000000003</v>
      </c>
      <c r="AZ173" s="230">
        <v>150400</v>
      </c>
      <c r="BA173" s="230">
        <v>643900</v>
      </c>
      <c r="BB173" s="230">
        <v>-493500</v>
      </c>
      <c r="BC173" s="229">
        <v>-0.76639999999999997</v>
      </c>
      <c r="BD173" s="230">
        <v>51700</v>
      </c>
      <c r="BE173" s="230">
        <v>47000</v>
      </c>
      <c r="BF173" s="230">
        <v>4700</v>
      </c>
      <c r="BG173" s="229">
        <v>0.1</v>
      </c>
      <c r="BH173" s="230">
        <v>2378200</v>
      </c>
      <c r="BI173" s="230">
        <v>5085400</v>
      </c>
      <c r="BJ173" s="230">
        <v>-2707200</v>
      </c>
      <c r="BK173" s="229">
        <v>-0.5323</v>
      </c>
      <c r="BL173" s="230">
        <v>850700</v>
      </c>
      <c r="BM173" s="230">
        <v>1682600</v>
      </c>
      <c r="BN173" s="230">
        <v>-831900</v>
      </c>
      <c r="BO173" s="229">
        <v>-0.49440000000000001</v>
      </c>
      <c r="BP173" s="230">
        <v>5851500</v>
      </c>
      <c r="BQ173" s="230">
        <v>15904800</v>
      </c>
      <c r="BR173" s="230">
        <v>-10053300</v>
      </c>
      <c r="BS173" s="229">
        <v>-0.6321</v>
      </c>
      <c r="BT173" s="230">
        <v>18376527</v>
      </c>
      <c r="BU173" s="230">
        <v>29732320</v>
      </c>
      <c r="BV173" s="230">
        <v>-11355793</v>
      </c>
      <c r="BW173" s="229">
        <v>-0.38190000000000002</v>
      </c>
      <c r="BX173" s="230">
        <v>197954600</v>
      </c>
      <c r="BY173" s="230">
        <v>200097800</v>
      </c>
      <c r="BZ173" s="230">
        <v>-2143200</v>
      </c>
      <c r="CA173" s="229">
        <v>-1.0699999999999999E-2</v>
      </c>
      <c r="CB173" s="230">
        <v>187577000</v>
      </c>
      <c r="CC173" s="230">
        <v>189536900</v>
      </c>
      <c r="CD173" s="230">
        <v>-1959900</v>
      </c>
      <c r="CE173" s="229">
        <v>-1.03E-2</v>
      </c>
      <c r="CF173" s="230">
        <v>9616200</v>
      </c>
      <c r="CG173" s="230">
        <v>9752500</v>
      </c>
      <c r="CH173" s="230">
        <v>-136300</v>
      </c>
      <c r="CI173" s="229">
        <v>-1.4E-2</v>
      </c>
      <c r="CJ173" s="230">
        <v>761400</v>
      </c>
      <c r="CK173" s="230">
        <v>808400</v>
      </c>
      <c r="CL173" s="230">
        <v>-47000</v>
      </c>
      <c r="CM173" s="229">
        <v>-5.8099999999999999E-2</v>
      </c>
      <c r="CN173" s="230">
        <v>37994800</v>
      </c>
      <c r="CO173" s="230">
        <v>39249700</v>
      </c>
      <c r="CP173" s="230">
        <v>-1254900</v>
      </c>
      <c r="CQ173" s="229">
        <v>-3.2000000000000001E-2</v>
      </c>
      <c r="CR173" s="230">
        <v>30197500</v>
      </c>
      <c r="CS173" s="230">
        <v>30620500</v>
      </c>
      <c r="CT173" s="230">
        <v>-423000</v>
      </c>
      <c r="CU173" s="229">
        <v>-1.38E-2</v>
      </c>
      <c r="CV173" s="230">
        <v>266146900</v>
      </c>
      <c r="CW173" s="230">
        <v>269968000</v>
      </c>
      <c r="CX173" s="230">
        <v>-3821100</v>
      </c>
      <c r="CY173" s="229">
        <v>-1.4200000000000001E-2</v>
      </c>
      <c r="CZ173" s="228">
        <v>32.15</v>
      </c>
      <c r="DA173" s="228">
        <v>33.85</v>
      </c>
      <c r="DB173" s="228">
        <v>-1.7</v>
      </c>
      <c r="DC173" s="228">
        <v>-1.7</v>
      </c>
      <c r="DD173" s="228">
        <v>43.34</v>
      </c>
      <c r="DE173" s="228">
        <v>43.44</v>
      </c>
      <c r="DF173" s="228">
        <v>-11.19</v>
      </c>
      <c r="DG173" s="228">
        <v>-0.1</v>
      </c>
      <c r="DH173" s="228">
        <v>30.75</v>
      </c>
      <c r="DI173" s="228">
        <v>32.93</v>
      </c>
      <c r="DJ173" s="228">
        <v>-2.1800000000000002</v>
      </c>
      <c r="DK173" s="228">
        <v>-2.1800000000000002</v>
      </c>
      <c r="DL173" s="228">
        <v>36.06</v>
      </c>
      <c r="DM173" s="228">
        <v>36.64</v>
      </c>
      <c r="DN173" s="228">
        <v>-0.57999999999999996</v>
      </c>
      <c r="DO173" s="228">
        <v>-0.57999999999999996</v>
      </c>
      <c r="DP173" s="228">
        <v>0.79</v>
      </c>
      <c r="DQ173" s="228">
        <v>0.78</v>
      </c>
      <c r="DR173" s="228">
        <v>0.01</v>
      </c>
      <c r="DS173" s="229">
        <v>1.2800000000000001E-2</v>
      </c>
      <c r="DT173" s="228">
        <v>160</v>
      </c>
      <c r="DU173" s="228">
        <v>155</v>
      </c>
      <c r="DV173" s="228">
        <v>0.36</v>
      </c>
      <c r="DW173" s="228">
        <v>0.33</v>
      </c>
      <c r="DX173" s="228">
        <v>0.03</v>
      </c>
      <c r="DY173" s="229">
        <v>9.0899999999999995E-2</v>
      </c>
      <c r="DZ173" s="229">
        <v>5.2400000000000002E-2</v>
      </c>
      <c r="EA173" s="230">
        <v>10560900</v>
      </c>
      <c r="EB173" s="229">
        <v>3.2000000000000002E-3</v>
      </c>
      <c r="EC173" s="229">
        <v>5.2400000000000002E-2</v>
      </c>
      <c r="ED173" s="228">
        <v>0.32</v>
      </c>
      <c r="EE173" s="229">
        <v>2E-3</v>
      </c>
      <c r="EF173" s="230">
        <v>7481077</v>
      </c>
      <c r="EG173" s="230">
        <v>13037499</v>
      </c>
      <c r="EH173" s="229">
        <v>-0.42620000000000002</v>
      </c>
      <c r="EI173" s="229">
        <v>0.40710000000000002</v>
      </c>
      <c r="EJ173" s="231">
        <v>3976.65</v>
      </c>
      <c r="EK173" s="231">
        <v>1314.92</v>
      </c>
      <c r="EL173" s="231">
        <v>4253.67</v>
      </c>
      <c r="EM173" s="231">
        <v>5242</v>
      </c>
      <c r="EN173" s="231">
        <v>9545.24</v>
      </c>
      <c r="EO173" s="231">
        <v>25681.279999999999</v>
      </c>
      <c r="EP173" s="231">
        <v>-16136.04</v>
      </c>
      <c r="EQ173" s="229">
        <v>-0.62829999999999997</v>
      </c>
      <c r="ER173" s="231">
        <v>61578</v>
      </c>
      <c r="ES173" s="231">
        <v>44362</v>
      </c>
      <c r="ET173" s="231">
        <v>321205</v>
      </c>
      <c r="EU173" s="231">
        <v>216861410</v>
      </c>
      <c r="EV173" s="231">
        <v>427145</v>
      </c>
      <c r="EW173" s="231">
        <v>431365</v>
      </c>
      <c r="EX173" s="231">
        <v>-4220</v>
      </c>
      <c r="EY173" s="229">
        <v>-9.7999999999999997E-3</v>
      </c>
      <c r="EZ173" s="229">
        <v>1.2273000000000001</v>
      </c>
      <c r="FA173" s="227" t="s">
        <v>556</v>
      </c>
      <c r="FB173" s="161">
        <f t="shared" si="4"/>
        <v>0</v>
      </c>
    </row>
    <row r="174" spans="1:158" ht="17.25" thickBot="1" x14ac:dyDescent="0.3">
      <c r="A174" s="226">
        <v>46064</v>
      </c>
      <c r="B174" s="227" t="s">
        <v>175</v>
      </c>
      <c r="C174" s="227" t="s">
        <v>685</v>
      </c>
      <c r="D174" s="228">
        <v>4300</v>
      </c>
      <c r="E174" s="228">
        <v>148.6</v>
      </c>
      <c r="F174" s="228">
        <v>147.38</v>
      </c>
      <c r="G174" s="228">
        <v>1.22</v>
      </c>
      <c r="H174" s="229">
        <v>8.3000000000000001E-3</v>
      </c>
      <c r="I174" s="228">
        <v>148.35</v>
      </c>
      <c r="J174" s="228">
        <v>147.22999999999999</v>
      </c>
      <c r="K174" s="228">
        <v>1.1200000000000001</v>
      </c>
      <c r="L174" s="229">
        <v>7.6E-3</v>
      </c>
      <c r="M174" s="228">
        <v>148.6</v>
      </c>
      <c r="N174" s="228">
        <v>147.38</v>
      </c>
      <c r="O174" s="228">
        <v>1.22</v>
      </c>
      <c r="P174" s="229">
        <v>8.3000000000000001E-3</v>
      </c>
      <c r="Q174" s="228">
        <v>149.22999999999999</v>
      </c>
      <c r="R174" s="228">
        <v>151.63</v>
      </c>
      <c r="S174" s="228">
        <v>-2.4</v>
      </c>
      <c r="T174" s="229">
        <v>-1.5800000000000002E-2</v>
      </c>
      <c r="U174" s="228">
        <v>150.84</v>
      </c>
      <c r="V174" s="228">
        <v>150.84</v>
      </c>
      <c r="W174" s="228">
        <v>0</v>
      </c>
      <c r="X174" s="229">
        <v>0</v>
      </c>
      <c r="Y174" s="228">
        <v>0.25</v>
      </c>
      <c r="Z174" s="228">
        <v>0.15</v>
      </c>
      <c r="AA174" s="228">
        <v>0.1</v>
      </c>
      <c r="AB174" s="229">
        <v>1.6999999999999999E-3</v>
      </c>
      <c r="AC174" s="228">
        <v>0.25</v>
      </c>
      <c r="AD174" s="228">
        <v>0.15</v>
      </c>
      <c r="AE174" s="228">
        <v>0.1</v>
      </c>
      <c r="AF174" s="229">
        <v>1.6999999999999999E-3</v>
      </c>
      <c r="AG174" s="228">
        <v>0.88</v>
      </c>
      <c r="AH174" s="228">
        <v>4.4000000000000004</v>
      </c>
      <c r="AI174" s="228">
        <v>-3.52</v>
      </c>
      <c r="AJ174" s="229">
        <v>5.8999999999999999E-3</v>
      </c>
      <c r="AK174" s="228">
        <v>2.4900000000000002</v>
      </c>
      <c r="AL174" s="228">
        <v>3.61</v>
      </c>
      <c r="AM174" s="228">
        <v>-1.1200000000000001</v>
      </c>
      <c r="AN174" s="229">
        <v>1.6799999999999999E-2</v>
      </c>
      <c r="AO174" s="228">
        <v>147.97999999999999</v>
      </c>
      <c r="AP174" s="228">
        <v>149.30000000000001</v>
      </c>
      <c r="AQ174" s="228">
        <v>0</v>
      </c>
      <c r="AR174" s="230">
        <v>387000</v>
      </c>
      <c r="AS174" s="230">
        <v>215000</v>
      </c>
      <c r="AT174" s="230">
        <v>172000</v>
      </c>
      <c r="AU174" s="229">
        <v>0.8</v>
      </c>
      <c r="AV174" s="230">
        <v>382700</v>
      </c>
      <c r="AW174" s="230">
        <v>215000</v>
      </c>
      <c r="AX174" s="230">
        <v>167700</v>
      </c>
      <c r="AY174" s="229">
        <v>0.78</v>
      </c>
      <c r="AZ174" s="230">
        <v>4300</v>
      </c>
      <c r="BA174" s="228">
        <v>0</v>
      </c>
      <c r="BB174" s="230">
        <v>4300</v>
      </c>
      <c r="BC174" s="229">
        <v>0</v>
      </c>
      <c r="BD174" s="228">
        <v>0</v>
      </c>
      <c r="BE174" s="228">
        <v>0</v>
      </c>
      <c r="BF174" s="228">
        <v>0</v>
      </c>
      <c r="BG174" s="229">
        <v>0</v>
      </c>
      <c r="BH174" s="230">
        <v>262300</v>
      </c>
      <c r="BI174" s="230">
        <v>283800</v>
      </c>
      <c r="BJ174" s="230">
        <v>-21500</v>
      </c>
      <c r="BK174" s="229">
        <v>-7.5800000000000006E-2</v>
      </c>
      <c r="BL174" s="230">
        <v>124700</v>
      </c>
      <c r="BM174" s="230">
        <v>73100</v>
      </c>
      <c r="BN174" s="230">
        <v>51600</v>
      </c>
      <c r="BO174" s="229">
        <v>0.70589999999999997</v>
      </c>
      <c r="BP174" s="230">
        <v>774000</v>
      </c>
      <c r="BQ174" s="230">
        <v>571900</v>
      </c>
      <c r="BR174" s="230">
        <v>202100</v>
      </c>
      <c r="BS174" s="229">
        <v>0.35339999999999999</v>
      </c>
      <c r="BT174" s="230">
        <v>3879110</v>
      </c>
      <c r="BU174" s="230">
        <v>4596318</v>
      </c>
      <c r="BV174" s="230">
        <v>-717208</v>
      </c>
      <c r="BW174" s="229">
        <v>-0.156</v>
      </c>
      <c r="BX174" s="230">
        <v>114930400</v>
      </c>
      <c r="BY174" s="230">
        <v>115231400</v>
      </c>
      <c r="BZ174" s="230">
        <v>-301000</v>
      </c>
      <c r="CA174" s="229">
        <v>-2.5999999999999999E-3</v>
      </c>
      <c r="CB174" s="230">
        <v>108256800</v>
      </c>
      <c r="CC174" s="230">
        <v>108557800</v>
      </c>
      <c r="CD174" s="230">
        <v>-301000</v>
      </c>
      <c r="CE174" s="229">
        <v>-2.8E-3</v>
      </c>
      <c r="CF174" s="230">
        <v>5753400</v>
      </c>
      <c r="CG174" s="230">
        <v>5753400</v>
      </c>
      <c r="CH174" s="228">
        <v>0</v>
      </c>
      <c r="CI174" s="229">
        <v>0</v>
      </c>
      <c r="CJ174" s="230">
        <v>920200</v>
      </c>
      <c r="CK174" s="230">
        <v>920200</v>
      </c>
      <c r="CL174" s="228">
        <v>0</v>
      </c>
      <c r="CM174" s="229">
        <v>0</v>
      </c>
      <c r="CN174" s="230">
        <v>30925600</v>
      </c>
      <c r="CO174" s="230">
        <v>31015900</v>
      </c>
      <c r="CP174" s="230">
        <v>-90300</v>
      </c>
      <c r="CQ174" s="229">
        <v>-2.8999999999999998E-3</v>
      </c>
      <c r="CR174" s="230">
        <v>16791500</v>
      </c>
      <c r="CS174" s="230">
        <v>16873200</v>
      </c>
      <c r="CT174" s="230">
        <v>-81700</v>
      </c>
      <c r="CU174" s="229">
        <v>-4.7999999999999996E-3</v>
      </c>
      <c r="CV174" s="230">
        <v>162647500</v>
      </c>
      <c r="CW174" s="230">
        <v>163120500</v>
      </c>
      <c r="CX174" s="230">
        <v>-473000</v>
      </c>
      <c r="CY174" s="229">
        <v>-2.8999999999999998E-3</v>
      </c>
      <c r="CZ174" s="228">
        <v>24.32</v>
      </c>
      <c r="DA174" s="228">
        <v>31.21</v>
      </c>
      <c r="DB174" s="228">
        <v>-6.89</v>
      </c>
      <c r="DC174" s="228">
        <v>-6.89</v>
      </c>
      <c r="DD174" s="228">
        <v>54.69</v>
      </c>
      <c r="DE174" s="228">
        <v>54.82</v>
      </c>
      <c r="DF174" s="228">
        <v>-30.37</v>
      </c>
      <c r="DG174" s="228">
        <v>-0.13</v>
      </c>
      <c r="DH174" s="228">
        <v>20.54</v>
      </c>
      <c r="DI174" s="228">
        <v>31.31</v>
      </c>
      <c r="DJ174" s="228">
        <v>-10.77</v>
      </c>
      <c r="DK174" s="228">
        <v>-10.77</v>
      </c>
      <c r="DL174" s="228">
        <v>32.26</v>
      </c>
      <c r="DM174" s="228">
        <v>30.85</v>
      </c>
      <c r="DN174" s="228">
        <v>1.41</v>
      </c>
      <c r="DO174" s="228">
        <v>1.41</v>
      </c>
      <c r="DP174" s="228">
        <v>0.54</v>
      </c>
      <c r="DQ174" s="228">
        <v>0.54</v>
      </c>
      <c r="DR174" s="228">
        <v>0</v>
      </c>
      <c r="DS174" s="229">
        <v>0</v>
      </c>
      <c r="DT174" s="228">
        <v>150</v>
      </c>
      <c r="DU174" s="228">
        <v>135</v>
      </c>
      <c r="DV174" s="228">
        <v>0.48</v>
      </c>
      <c r="DW174" s="228">
        <v>0.26</v>
      </c>
      <c r="DX174" s="228">
        <v>0.22</v>
      </c>
      <c r="DY174" s="229">
        <v>0.84619999999999995</v>
      </c>
      <c r="DZ174" s="229">
        <v>5.8099999999999999E-2</v>
      </c>
      <c r="EA174" s="230">
        <v>6673600</v>
      </c>
      <c r="EB174" s="229">
        <v>4.1999999999999997E-3</v>
      </c>
      <c r="EC174" s="229">
        <v>5.8099999999999999E-2</v>
      </c>
      <c r="ED174" s="228">
        <v>1.32</v>
      </c>
      <c r="EE174" s="229">
        <v>8.8999999999999999E-3</v>
      </c>
      <c r="EF174" s="230">
        <v>1785299</v>
      </c>
      <c r="EG174" s="230">
        <v>2281135</v>
      </c>
      <c r="EH174" s="229">
        <v>-0.21740000000000001</v>
      </c>
      <c r="EI174" s="229">
        <v>0.4602</v>
      </c>
      <c r="EJ174" s="228">
        <v>398.12</v>
      </c>
      <c r="EK174" s="228">
        <v>176.93</v>
      </c>
      <c r="EL174" s="228">
        <v>572.74</v>
      </c>
      <c r="EM174" s="228">
        <v>159</v>
      </c>
      <c r="EN174" s="231">
        <v>1147.79</v>
      </c>
      <c r="EO174" s="228">
        <v>875.67</v>
      </c>
      <c r="EP174" s="228">
        <v>272.12</v>
      </c>
      <c r="EQ174" s="229">
        <v>0.31080000000000002</v>
      </c>
      <c r="ER174" s="231">
        <v>46750</v>
      </c>
      <c r="ES174" s="231">
        <v>23325</v>
      </c>
      <c r="ET174" s="231">
        <v>170843</v>
      </c>
      <c r="EU174" s="231">
        <v>122326971</v>
      </c>
      <c r="EV174" s="231">
        <v>240918</v>
      </c>
      <c r="EW174" s="231">
        <v>240429</v>
      </c>
      <c r="EX174" s="228">
        <v>489</v>
      </c>
      <c r="EY174" s="229">
        <v>2E-3</v>
      </c>
      <c r="EZ174" s="229">
        <v>1.3295999999999999</v>
      </c>
      <c r="FA174" s="227" t="s">
        <v>556</v>
      </c>
      <c r="FB174" s="161">
        <f t="shared" si="4"/>
        <v>0</v>
      </c>
    </row>
    <row r="175" spans="1:158" ht="17.25" thickBot="1" x14ac:dyDescent="0.3">
      <c r="A175" s="226">
        <v>46064</v>
      </c>
      <c r="B175" s="227" t="s">
        <v>175</v>
      </c>
      <c r="C175" s="227" t="s">
        <v>536</v>
      </c>
      <c r="D175" s="228">
        <v>800</v>
      </c>
      <c r="E175" s="228">
        <v>765.7</v>
      </c>
      <c r="F175" s="228">
        <v>760.75</v>
      </c>
      <c r="G175" s="228">
        <v>4.95</v>
      </c>
      <c r="H175" s="229">
        <v>6.4999999999999997E-3</v>
      </c>
      <c r="I175" s="228">
        <v>768.85</v>
      </c>
      <c r="J175" s="228">
        <v>765.9</v>
      </c>
      <c r="K175" s="228">
        <v>2.95</v>
      </c>
      <c r="L175" s="229">
        <v>3.8999999999999998E-3</v>
      </c>
      <c r="M175" s="228">
        <v>765.7</v>
      </c>
      <c r="N175" s="228">
        <v>760.75</v>
      </c>
      <c r="O175" s="228">
        <v>4.95</v>
      </c>
      <c r="P175" s="229">
        <v>6.4999999999999997E-3</v>
      </c>
      <c r="Q175" s="228">
        <v>752.4</v>
      </c>
      <c r="R175" s="228">
        <v>749</v>
      </c>
      <c r="S175" s="228">
        <v>3.4</v>
      </c>
      <c r="T175" s="229">
        <v>4.4999999999999997E-3</v>
      </c>
      <c r="U175" s="228">
        <v>745.75</v>
      </c>
      <c r="V175" s="228">
        <v>743.15</v>
      </c>
      <c r="W175" s="228">
        <v>2.6</v>
      </c>
      <c r="X175" s="229">
        <v>3.5000000000000001E-3</v>
      </c>
      <c r="Y175" s="228">
        <v>-3.15</v>
      </c>
      <c r="Z175" s="228">
        <v>-5.15</v>
      </c>
      <c r="AA175" s="228">
        <v>2</v>
      </c>
      <c r="AB175" s="229">
        <v>-4.1000000000000003E-3</v>
      </c>
      <c r="AC175" s="228">
        <v>-3.15</v>
      </c>
      <c r="AD175" s="228">
        <v>-5.15</v>
      </c>
      <c r="AE175" s="228">
        <v>2</v>
      </c>
      <c r="AF175" s="229">
        <v>-4.1000000000000003E-3</v>
      </c>
      <c r="AG175" s="228">
        <v>-16.45</v>
      </c>
      <c r="AH175" s="228">
        <v>-16.899999999999999</v>
      </c>
      <c r="AI175" s="228">
        <v>0.45</v>
      </c>
      <c r="AJ175" s="229">
        <v>-2.1399999999999999E-2</v>
      </c>
      <c r="AK175" s="228">
        <v>-23.1</v>
      </c>
      <c r="AL175" s="228">
        <v>-22.75</v>
      </c>
      <c r="AM175" s="228">
        <v>-0.35</v>
      </c>
      <c r="AN175" s="229">
        <v>-0.03</v>
      </c>
      <c r="AO175" s="228">
        <v>759.59</v>
      </c>
      <c r="AP175" s="228">
        <v>745.12</v>
      </c>
      <c r="AQ175" s="228">
        <v>0</v>
      </c>
      <c r="AR175" s="230">
        <v>2876000</v>
      </c>
      <c r="AS175" s="230">
        <v>2544000</v>
      </c>
      <c r="AT175" s="230">
        <v>332000</v>
      </c>
      <c r="AU175" s="229">
        <v>0.1305</v>
      </c>
      <c r="AV175" s="230">
        <v>2104800</v>
      </c>
      <c r="AW175" s="230">
        <v>1972800</v>
      </c>
      <c r="AX175" s="230">
        <v>132000</v>
      </c>
      <c r="AY175" s="229">
        <v>6.6900000000000001E-2</v>
      </c>
      <c r="AZ175" s="230">
        <v>677600</v>
      </c>
      <c r="BA175" s="230">
        <v>512800</v>
      </c>
      <c r="BB175" s="230">
        <v>164800</v>
      </c>
      <c r="BC175" s="229">
        <v>0.32140000000000002</v>
      </c>
      <c r="BD175" s="230">
        <v>93600</v>
      </c>
      <c r="BE175" s="230">
        <v>58400</v>
      </c>
      <c r="BF175" s="230">
        <v>35200</v>
      </c>
      <c r="BG175" s="229">
        <v>0.60270000000000001</v>
      </c>
      <c r="BH175" s="230">
        <v>4635200</v>
      </c>
      <c r="BI175" s="230">
        <v>4037600</v>
      </c>
      <c r="BJ175" s="230">
        <v>597600</v>
      </c>
      <c r="BK175" s="229">
        <v>0.14799999999999999</v>
      </c>
      <c r="BL175" s="230">
        <v>1632000</v>
      </c>
      <c r="BM175" s="230">
        <v>1844000</v>
      </c>
      <c r="BN175" s="230">
        <v>-212000</v>
      </c>
      <c r="BO175" s="229">
        <v>-0.115</v>
      </c>
      <c r="BP175" s="230">
        <v>9143200</v>
      </c>
      <c r="BQ175" s="230">
        <v>8425600</v>
      </c>
      <c r="BR175" s="230">
        <v>717600</v>
      </c>
      <c r="BS175" s="229">
        <v>8.5199999999999998E-2</v>
      </c>
      <c r="BT175" s="230">
        <v>1490442</v>
      </c>
      <c r="BU175" s="230">
        <v>869545</v>
      </c>
      <c r="BV175" s="230">
        <v>620897</v>
      </c>
      <c r="BW175" s="229">
        <v>0.71399999999999997</v>
      </c>
      <c r="BX175" s="230">
        <v>21128000</v>
      </c>
      <c r="BY175" s="230">
        <v>20777600</v>
      </c>
      <c r="BZ175" s="230">
        <v>350400</v>
      </c>
      <c r="CA175" s="229">
        <v>1.6899999999999998E-2</v>
      </c>
      <c r="CB175" s="230">
        <v>18705600</v>
      </c>
      <c r="CC175" s="230">
        <v>18698400</v>
      </c>
      <c r="CD175" s="230">
        <v>7200</v>
      </c>
      <c r="CE175" s="229">
        <v>4.0000000000000002E-4</v>
      </c>
      <c r="CF175" s="230">
        <v>2088800</v>
      </c>
      <c r="CG175" s="230">
        <v>1773600</v>
      </c>
      <c r="CH175" s="230">
        <v>315200</v>
      </c>
      <c r="CI175" s="229">
        <v>0.1777</v>
      </c>
      <c r="CJ175" s="230">
        <v>333600</v>
      </c>
      <c r="CK175" s="230">
        <v>305600</v>
      </c>
      <c r="CL175" s="230">
        <v>28000</v>
      </c>
      <c r="CM175" s="229">
        <v>9.1600000000000001E-2</v>
      </c>
      <c r="CN175" s="230">
        <v>8686400</v>
      </c>
      <c r="CO175" s="230">
        <v>8961600</v>
      </c>
      <c r="CP175" s="230">
        <v>-275200</v>
      </c>
      <c r="CQ175" s="229">
        <v>-3.0700000000000002E-2</v>
      </c>
      <c r="CR175" s="230">
        <v>5059200</v>
      </c>
      <c r="CS175" s="230">
        <v>5083200</v>
      </c>
      <c r="CT175" s="230">
        <v>-24000</v>
      </c>
      <c r="CU175" s="229">
        <v>-4.7000000000000002E-3</v>
      </c>
      <c r="CV175" s="230">
        <v>34873600</v>
      </c>
      <c r="CW175" s="230">
        <v>34822400</v>
      </c>
      <c r="CX175" s="230">
        <v>51200</v>
      </c>
      <c r="CY175" s="229">
        <v>1.5E-3</v>
      </c>
      <c r="CZ175" s="228">
        <v>28.15</v>
      </c>
      <c r="DA175" s="228">
        <v>28.34</v>
      </c>
      <c r="DB175" s="228">
        <v>-0.19</v>
      </c>
      <c r="DC175" s="228">
        <v>-0.19</v>
      </c>
      <c r="DD175" s="228">
        <v>29.52</v>
      </c>
      <c r="DE175" s="228">
        <v>29.59</v>
      </c>
      <c r="DF175" s="228">
        <v>-1.37</v>
      </c>
      <c r="DG175" s="228">
        <v>-7.0000000000000007E-2</v>
      </c>
      <c r="DH175" s="228">
        <v>28.28</v>
      </c>
      <c r="DI175" s="228">
        <v>28.71</v>
      </c>
      <c r="DJ175" s="228">
        <v>-0.43</v>
      </c>
      <c r="DK175" s="228">
        <v>-0.43</v>
      </c>
      <c r="DL175" s="228">
        <v>27.76</v>
      </c>
      <c r="DM175" s="228">
        <v>27.52</v>
      </c>
      <c r="DN175" s="228">
        <v>0.24</v>
      </c>
      <c r="DO175" s="228">
        <v>0.24</v>
      </c>
      <c r="DP175" s="228">
        <v>0.57999999999999996</v>
      </c>
      <c r="DQ175" s="228">
        <v>0.56999999999999995</v>
      </c>
      <c r="DR175" s="228">
        <v>0.01</v>
      </c>
      <c r="DS175" s="229">
        <v>1.7500000000000002E-2</v>
      </c>
      <c r="DT175" s="228">
        <v>800</v>
      </c>
      <c r="DU175" s="228">
        <v>660</v>
      </c>
      <c r="DV175" s="228">
        <v>0.35</v>
      </c>
      <c r="DW175" s="228">
        <v>0.46</v>
      </c>
      <c r="DX175" s="228">
        <v>-0.11</v>
      </c>
      <c r="DY175" s="229">
        <v>-0.23910000000000001</v>
      </c>
      <c r="DZ175" s="229">
        <v>0.1147</v>
      </c>
      <c r="EA175" s="230">
        <v>2079200</v>
      </c>
      <c r="EB175" s="229">
        <v>-1.7399999999999999E-2</v>
      </c>
      <c r="EC175" s="229">
        <v>0.1147</v>
      </c>
      <c r="ED175" s="228">
        <v>-14.47</v>
      </c>
      <c r="EE175" s="229">
        <v>-1.9E-2</v>
      </c>
      <c r="EF175" s="230">
        <v>942106</v>
      </c>
      <c r="EG175" s="230">
        <v>529595</v>
      </c>
      <c r="EH175" s="229">
        <v>0.77890000000000004</v>
      </c>
      <c r="EI175" s="229">
        <v>0.6321</v>
      </c>
      <c r="EJ175" s="231">
        <v>37301.72</v>
      </c>
      <c r="EK175" s="231">
        <v>12243.5</v>
      </c>
      <c r="EL175" s="231">
        <v>21728.39</v>
      </c>
      <c r="EM175" s="231">
        <v>3065</v>
      </c>
      <c r="EN175" s="231">
        <v>71273.61</v>
      </c>
      <c r="EO175" s="231">
        <v>65949.16</v>
      </c>
      <c r="EP175" s="231">
        <v>5324.45</v>
      </c>
      <c r="EQ175" s="229">
        <v>8.0699999999999994E-2</v>
      </c>
      <c r="ER175" s="231">
        <v>71611</v>
      </c>
      <c r="ES175" s="231">
        <v>37948</v>
      </c>
      <c r="ET175" s="231">
        <v>161433</v>
      </c>
      <c r="EU175" s="231">
        <v>44836888</v>
      </c>
      <c r="EV175" s="231">
        <v>270991</v>
      </c>
      <c r="EW175" s="231">
        <v>269814</v>
      </c>
      <c r="EX175" s="231">
        <v>1177</v>
      </c>
      <c r="EY175" s="229">
        <v>4.4000000000000003E-3</v>
      </c>
      <c r="EZ175" s="229">
        <v>0.77780000000000005</v>
      </c>
      <c r="FA175" s="227" t="s">
        <v>555</v>
      </c>
      <c r="FB175" s="161">
        <f t="shared" si="4"/>
        <v>0</v>
      </c>
    </row>
    <row r="176" spans="1:158" ht="17.25" thickBot="1" x14ac:dyDescent="0.3">
      <c r="A176" s="226">
        <v>46064</v>
      </c>
      <c r="B176" s="227" t="s">
        <v>175</v>
      </c>
      <c r="C176" s="227" t="s">
        <v>462</v>
      </c>
      <c r="D176" s="228">
        <v>375</v>
      </c>
      <c r="E176" s="231">
        <v>2028.8</v>
      </c>
      <c r="F176" s="231">
        <v>2023.4</v>
      </c>
      <c r="G176" s="228">
        <v>5.4</v>
      </c>
      <c r="H176" s="229">
        <v>2.7000000000000001E-3</v>
      </c>
      <c r="I176" s="231">
        <v>2026.3</v>
      </c>
      <c r="J176" s="231">
        <v>2018.3</v>
      </c>
      <c r="K176" s="228">
        <v>8</v>
      </c>
      <c r="L176" s="229">
        <v>4.0000000000000001E-3</v>
      </c>
      <c r="M176" s="231">
        <v>2028.8</v>
      </c>
      <c r="N176" s="231">
        <v>2023.4</v>
      </c>
      <c r="O176" s="228">
        <v>5.4</v>
      </c>
      <c r="P176" s="229">
        <v>2.7000000000000001E-3</v>
      </c>
      <c r="Q176" s="231">
        <v>2040.8</v>
      </c>
      <c r="R176" s="231">
        <v>2033.6</v>
      </c>
      <c r="S176" s="228">
        <v>7.2</v>
      </c>
      <c r="T176" s="229">
        <v>3.5000000000000001E-3</v>
      </c>
      <c r="U176" s="231">
        <v>2044.9</v>
      </c>
      <c r="V176" s="231">
        <v>2033</v>
      </c>
      <c r="W176" s="228">
        <v>11.9</v>
      </c>
      <c r="X176" s="229">
        <v>5.8999999999999999E-3</v>
      </c>
      <c r="Y176" s="228">
        <v>2.5</v>
      </c>
      <c r="Z176" s="228">
        <v>5.0999999999999996</v>
      </c>
      <c r="AA176" s="228">
        <v>-2.6</v>
      </c>
      <c r="AB176" s="229">
        <v>1.1999999999999999E-3</v>
      </c>
      <c r="AC176" s="228">
        <v>2.5</v>
      </c>
      <c r="AD176" s="228">
        <v>5.0999999999999996</v>
      </c>
      <c r="AE176" s="228">
        <v>-2.6</v>
      </c>
      <c r="AF176" s="229">
        <v>1.1999999999999999E-3</v>
      </c>
      <c r="AG176" s="228">
        <v>14.5</v>
      </c>
      <c r="AH176" s="228">
        <v>15.3</v>
      </c>
      <c r="AI176" s="228">
        <v>-0.8</v>
      </c>
      <c r="AJ176" s="229">
        <v>7.1999999999999998E-3</v>
      </c>
      <c r="AK176" s="228">
        <v>18.600000000000001</v>
      </c>
      <c r="AL176" s="228">
        <v>14.7</v>
      </c>
      <c r="AM176" s="228">
        <v>3.9</v>
      </c>
      <c r="AN176" s="229">
        <v>9.1999999999999998E-3</v>
      </c>
      <c r="AO176" s="231">
        <v>2030.9</v>
      </c>
      <c r="AP176" s="231">
        <v>2043.97</v>
      </c>
      <c r="AQ176" s="228">
        <v>0</v>
      </c>
      <c r="AR176" s="230">
        <v>964875</v>
      </c>
      <c r="AS176" s="230">
        <v>1161000</v>
      </c>
      <c r="AT176" s="230">
        <v>-196125</v>
      </c>
      <c r="AU176" s="229">
        <v>-0.16889999999999999</v>
      </c>
      <c r="AV176" s="230">
        <v>933000</v>
      </c>
      <c r="AW176" s="230">
        <v>1118625</v>
      </c>
      <c r="AX176" s="230">
        <v>-185625</v>
      </c>
      <c r="AY176" s="229">
        <v>-0.16589999999999999</v>
      </c>
      <c r="AZ176" s="230">
        <v>30000</v>
      </c>
      <c r="BA176" s="230">
        <v>41250</v>
      </c>
      <c r="BB176" s="230">
        <v>-11250</v>
      </c>
      <c r="BC176" s="229">
        <v>-0.2727</v>
      </c>
      <c r="BD176" s="230">
        <v>1875</v>
      </c>
      <c r="BE176" s="230">
        <v>1125</v>
      </c>
      <c r="BF176" s="228">
        <v>750</v>
      </c>
      <c r="BG176" s="229">
        <v>0.66669999999999996</v>
      </c>
      <c r="BH176" s="230">
        <v>2759625</v>
      </c>
      <c r="BI176" s="230">
        <v>4049250</v>
      </c>
      <c r="BJ176" s="230">
        <v>-1289625</v>
      </c>
      <c r="BK176" s="229">
        <v>-0.31850000000000001</v>
      </c>
      <c r="BL176" s="230">
        <v>1111875</v>
      </c>
      <c r="BM176" s="230">
        <v>1889625</v>
      </c>
      <c r="BN176" s="230">
        <v>-777750</v>
      </c>
      <c r="BO176" s="229">
        <v>-0.41160000000000002</v>
      </c>
      <c r="BP176" s="230">
        <v>4836375</v>
      </c>
      <c r="BQ176" s="230">
        <v>7099875</v>
      </c>
      <c r="BR176" s="230">
        <v>-2263500</v>
      </c>
      <c r="BS176" s="229">
        <v>-0.31879999999999997</v>
      </c>
      <c r="BT176" s="230">
        <v>674728</v>
      </c>
      <c r="BU176" s="230">
        <v>588941</v>
      </c>
      <c r="BV176" s="230">
        <v>85787</v>
      </c>
      <c r="BW176" s="229">
        <v>0.1457</v>
      </c>
      <c r="BX176" s="230">
        <v>10081125</v>
      </c>
      <c r="BY176" s="230">
        <v>10185000</v>
      </c>
      <c r="BZ176" s="230">
        <v>-103875</v>
      </c>
      <c r="CA176" s="229">
        <v>-1.0200000000000001E-2</v>
      </c>
      <c r="CB176" s="230">
        <v>9849000</v>
      </c>
      <c r="CC176" s="230">
        <v>9945375</v>
      </c>
      <c r="CD176" s="230">
        <v>-96375</v>
      </c>
      <c r="CE176" s="229">
        <v>-9.7000000000000003E-3</v>
      </c>
      <c r="CF176" s="230">
        <v>196500</v>
      </c>
      <c r="CG176" s="230">
        <v>204750</v>
      </c>
      <c r="CH176" s="230">
        <v>-8250</v>
      </c>
      <c r="CI176" s="229">
        <v>-4.0300000000000002E-2</v>
      </c>
      <c r="CJ176" s="230">
        <v>35625</v>
      </c>
      <c r="CK176" s="230">
        <v>34875</v>
      </c>
      <c r="CL176" s="228">
        <v>750</v>
      </c>
      <c r="CM176" s="229">
        <v>2.1499999999999998E-2</v>
      </c>
      <c r="CN176" s="230">
        <v>5362125</v>
      </c>
      <c r="CO176" s="230">
        <v>5433000</v>
      </c>
      <c r="CP176" s="230">
        <v>-70875</v>
      </c>
      <c r="CQ176" s="229">
        <v>-1.2999999999999999E-2</v>
      </c>
      <c r="CR176" s="230">
        <v>2002500</v>
      </c>
      <c r="CS176" s="230">
        <v>2044875</v>
      </c>
      <c r="CT176" s="230">
        <v>-42375</v>
      </c>
      <c r="CU176" s="229">
        <v>-2.07E-2</v>
      </c>
      <c r="CV176" s="230">
        <v>17445750</v>
      </c>
      <c r="CW176" s="230">
        <v>17662875</v>
      </c>
      <c r="CX176" s="230">
        <v>-217125</v>
      </c>
      <c r="CY176" s="229">
        <v>-1.23E-2</v>
      </c>
      <c r="CZ176" s="228">
        <v>16.809999999999999</v>
      </c>
      <c r="DA176" s="228">
        <v>17.309999999999999</v>
      </c>
      <c r="DB176" s="228">
        <v>-0.5</v>
      </c>
      <c r="DC176" s="228">
        <v>-0.5</v>
      </c>
      <c r="DD176" s="228">
        <v>23.72</v>
      </c>
      <c r="DE176" s="228">
        <v>23.77</v>
      </c>
      <c r="DF176" s="228">
        <v>-6.91</v>
      </c>
      <c r="DG176" s="228">
        <v>-0.05</v>
      </c>
      <c r="DH176" s="228">
        <v>16.12</v>
      </c>
      <c r="DI176" s="228">
        <v>16.72</v>
      </c>
      <c r="DJ176" s="228">
        <v>-0.6</v>
      </c>
      <c r="DK176" s="228">
        <v>-0.6</v>
      </c>
      <c r="DL176" s="228">
        <v>18.52</v>
      </c>
      <c r="DM176" s="228">
        <v>18.579999999999998</v>
      </c>
      <c r="DN176" s="228">
        <v>-0.06</v>
      </c>
      <c r="DO176" s="228">
        <v>-0.06</v>
      </c>
      <c r="DP176" s="228">
        <v>0.37</v>
      </c>
      <c r="DQ176" s="228">
        <v>0.38</v>
      </c>
      <c r="DR176" s="228">
        <v>-0.01</v>
      </c>
      <c r="DS176" s="229">
        <v>-2.63E-2</v>
      </c>
      <c r="DT176" s="231">
        <v>2040</v>
      </c>
      <c r="DU176" s="231">
        <v>2000</v>
      </c>
      <c r="DV176" s="228">
        <v>0.4</v>
      </c>
      <c r="DW176" s="228">
        <v>0.47</v>
      </c>
      <c r="DX176" s="228">
        <v>-7.0000000000000007E-2</v>
      </c>
      <c r="DY176" s="229">
        <v>-0.1489</v>
      </c>
      <c r="DZ176" s="229">
        <v>2.3E-2</v>
      </c>
      <c r="EA176" s="230">
        <v>239625</v>
      </c>
      <c r="EB176" s="229">
        <v>5.8999999999999999E-3</v>
      </c>
      <c r="EC176" s="229">
        <v>2.3E-2</v>
      </c>
      <c r="ED176" s="228">
        <v>13.07</v>
      </c>
      <c r="EE176" s="229">
        <v>6.4000000000000003E-3</v>
      </c>
      <c r="EF176" s="230">
        <v>364095</v>
      </c>
      <c r="EG176" s="230">
        <v>315254</v>
      </c>
      <c r="EH176" s="229">
        <v>0.15490000000000001</v>
      </c>
      <c r="EI176" s="229">
        <v>0.53959999999999997</v>
      </c>
      <c r="EJ176" s="231">
        <v>57261.98</v>
      </c>
      <c r="EK176" s="231">
        <v>22156.67</v>
      </c>
      <c r="EL176" s="231">
        <v>19599.91</v>
      </c>
      <c r="EM176" s="231">
        <v>3259</v>
      </c>
      <c r="EN176" s="231">
        <v>99018.559999999998</v>
      </c>
      <c r="EO176" s="231">
        <v>145445.51999999999</v>
      </c>
      <c r="EP176" s="231">
        <v>-46426.96</v>
      </c>
      <c r="EQ176" s="229">
        <v>-0.31919999999999998</v>
      </c>
      <c r="ER176" s="231">
        <v>112456</v>
      </c>
      <c r="ES176" s="231">
        <v>39256</v>
      </c>
      <c r="ET176" s="231">
        <v>204555</v>
      </c>
      <c r="EU176" s="231">
        <v>44756800</v>
      </c>
      <c r="EV176" s="231">
        <v>356268</v>
      </c>
      <c r="EW176" s="231">
        <v>360122</v>
      </c>
      <c r="EX176" s="231">
        <v>-3854</v>
      </c>
      <c r="EY176" s="229">
        <v>-1.0699999999999999E-2</v>
      </c>
      <c r="EZ176" s="229">
        <v>0.38979999999999998</v>
      </c>
      <c r="FA176" s="227" t="s">
        <v>556</v>
      </c>
      <c r="FB176" s="161">
        <f t="shared" si="4"/>
        <v>0</v>
      </c>
    </row>
    <row r="177" spans="1:158" ht="17.25" thickBot="1" x14ac:dyDescent="0.3">
      <c r="A177" s="226">
        <v>46064</v>
      </c>
      <c r="B177" s="227" t="s">
        <v>172</v>
      </c>
      <c r="C177" s="227" t="s">
        <v>283</v>
      </c>
      <c r="D177" s="228">
        <v>750</v>
      </c>
      <c r="E177" s="231">
        <v>1180.0999999999999</v>
      </c>
      <c r="F177" s="231">
        <v>1142.4000000000001</v>
      </c>
      <c r="G177" s="228">
        <v>37.700000000000003</v>
      </c>
      <c r="H177" s="229">
        <v>3.3000000000000002E-2</v>
      </c>
      <c r="I177" s="231">
        <v>1182.9000000000001</v>
      </c>
      <c r="J177" s="231">
        <v>1144.0999999999999</v>
      </c>
      <c r="K177" s="228">
        <v>38.799999999999997</v>
      </c>
      <c r="L177" s="229">
        <v>3.39E-2</v>
      </c>
      <c r="M177" s="231">
        <v>1180.0999999999999</v>
      </c>
      <c r="N177" s="231">
        <v>1142.4000000000001</v>
      </c>
      <c r="O177" s="228">
        <v>37.700000000000003</v>
      </c>
      <c r="P177" s="229">
        <v>3.3000000000000002E-2</v>
      </c>
      <c r="Q177" s="231">
        <v>1187.5999999999999</v>
      </c>
      <c r="R177" s="231">
        <v>1149.5999999999999</v>
      </c>
      <c r="S177" s="228">
        <v>38</v>
      </c>
      <c r="T177" s="229">
        <v>3.3099999999999997E-2</v>
      </c>
      <c r="U177" s="231">
        <v>1194.5</v>
      </c>
      <c r="V177" s="231">
        <v>1156</v>
      </c>
      <c r="W177" s="228">
        <v>38.5</v>
      </c>
      <c r="X177" s="229">
        <v>3.3300000000000003E-2</v>
      </c>
      <c r="Y177" s="228">
        <v>-2.8</v>
      </c>
      <c r="Z177" s="228">
        <v>-1.7</v>
      </c>
      <c r="AA177" s="228">
        <v>-1.1000000000000001</v>
      </c>
      <c r="AB177" s="229">
        <v>-2.3999999999999998E-3</v>
      </c>
      <c r="AC177" s="228">
        <v>-2.8</v>
      </c>
      <c r="AD177" s="228">
        <v>-1.7</v>
      </c>
      <c r="AE177" s="228">
        <v>-1.1000000000000001</v>
      </c>
      <c r="AF177" s="229">
        <v>-2.3999999999999998E-3</v>
      </c>
      <c r="AG177" s="228">
        <v>4.7</v>
      </c>
      <c r="AH177" s="228">
        <v>5.5</v>
      </c>
      <c r="AI177" s="228">
        <v>-0.8</v>
      </c>
      <c r="AJ177" s="229">
        <v>4.0000000000000001E-3</v>
      </c>
      <c r="AK177" s="228">
        <v>11.6</v>
      </c>
      <c r="AL177" s="228">
        <v>11.9</v>
      </c>
      <c r="AM177" s="228">
        <v>-0.3</v>
      </c>
      <c r="AN177" s="229">
        <v>9.7999999999999997E-3</v>
      </c>
      <c r="AO177" s="231">
        <v>1169.07</v>
      </c>
      <c r="AP177" s="231">
        <v>1177.04</v>
      </c>
      <c r="AQ177" s="228">
        <v>0</v>
      </c>
      <c r="AR177" s="230">
        <v>37575000</v>
      </c>
      <c r="AS177" s="230">
        <v>16708500</v>
      </c>
      <c r="AT177" s="230">
        <v>20866500</v>
      </c>
      <c r="AU177" s="229">
        <v>1.2488999999999999</v>
      </c>
      <c r="AV177" s="230">
        <v>31913250</v>
      </c>
      <c r="AW177" s="230">
        <v>15259500</v>
      </c>
      <c r="AX177" s="230">
        <v>16653750</v>
      </c>
      <c r="AY177" s="229">
        <v>1.0913999999999999</v>
      </c>
      <c r="AZ177" s="230">
        <v>4864500</v>
      </c>
      <c r="BA177" s="230">
        <v>1265250</v>
      </c>
      <c r="BB177" s="230">
        <v>3599250</v>
      </c>
      <c r="BC177" s="229">
        <v>2.8447</v>
      </c>
      <c r="BD177" s="230">
        <v>797250</v>
      </c>
      <c r="BE177" s="230">
        <v>183750</v>
      </c>
      <c r="BF177" s="230">
        <v>613500</v>
      </c>
      <c r="BG177" s="229">
        <v>3.3388</v>
      </c>
      <c r="BH177" s="230">
        <v>374428500</v>
      </c>
      <c r="BI177" s="230">
        <v>123390750</v>
      </c>
      <c r="BJ177" s="230">
        <v>251037750</v>
      </c>
      <c r="BK177" s="229">
        <v>2.0345</v>
      </c>
      <c r="BL177" s="230">
        <v>226566000</v>
      </c>
      <c r="BM177" s="230">
        <v>85228500</v>
      </c>
      <c r="BN177" s="230">
        <v>141337500</v>
      </c>
      <c r="BO177" s="229">
        <v>1.6583000000000001</v>
      </c>
      <c r="BP177" s="230">
        <v>638569500</v>
      </c>
      <c r="BQ177" s="230">
        <v>225327750</v>
      </c>
      <c r="BR177" s="230">
        <v>413241750</v>
      </c>
      <c r="BS177" s="229">
        <v>1.8340000000000001</v>
      </c>
      <c r="BT177" s="230">
        <v>31806234</v>
      </c>
      <c r="BU177" s="230">
        <v>18053002</v>
      </c>
      <c r="BV177" s="230">
        <v>13753232</v>
      </c>
      <c r="BW177" s="229">
        <v>0.76180000000000003</v>
      </c>
      <c r="BX177" s="230">
        <v>65352000</v>
      </c>
      <c r="BY177" s="230">
        <v>62790750</v>
      </c>
      <c r="BZ177" s="230">
        <v>2561250</v>
      </c>
      <c r="CA177" s="229">
        <v>4.0800000000000003E-2</v>
      </c>
      <c r="CB177" s="230">
        <v>56680500</v>
      </c>
      <c r="CC177" s="230">
        <v>55830750</v>
      </c>
      <c r="CD177" s="230">
        <v>849750</v>
      </c>
      <c r="CE177" s="229">
        <v>1.52E-2</v>
      </c>
      <c r="CF177" s="230">
        <v>7437750</v>
      </c>
      <c r="CG177" s="230">
        <v>5925000</v>
      </c>
      <c r="CH177" s="230">
        <v>1512750</v>
      </c>
      <c r="CI177" s="229">
        <v>0.25530000000000003</v>
      </c>
      <c r="CJ177" s="230">
        <v>1233750</v>
      </c>
      <c r="CK177" s="230">
        <v>1035000</v>
      </c>
      <c r="CL177" s="230">
        <v>198750</v>
      </c>
      <c r="CM177" s="229">
        <v>0.192</v>
      </c>
      <c r="CN177" s="230">
        <v>64020750</v>
      </c>
      <c r="CO177" s="230">
        <v>60980250</v>
      </c>
      <c r="CP177" s="230">
        <v>3040500</v>
      </c>
      <c r="CQ177" s="229">
        <v>4.99E-2</v>
      </c>
      <c r="CR177" s="230">
        <v>84981750</v>
      </c>
      <c r="CS177" s="230">
        <v>68572500</v>
      </c>
      <c r="CT177" s="230">
        <v>16409250</v>
      </c>
      <c r="CU177" s="229">
        <v>0.23930000000000001</v>
      </c>
      <c r="CV177" s="230">
        <v>214354500</v>
      </c>
      <c r="CW177" s="230">
        <v>192343500</v>
      </c>
      <c r="CX177" s="230">
        <v>22011000</v>
      </c>
      <c r="CY177" s="229">
        <v>0.1144</v>
      </c>
      <c r="CZ177" s="228">
        <v>25.33</v>
      </c>
      <c r="DA177" s="228">
        <v>22.1</v>
      </c>
      <c r="DB177" s="228">
        <v>3.23</v>
      </c>
      <c r="DC177" s="228">
        <v>3.23</v>
      </c>
      <c r="DD177" s="228">
        <v>27.42</v>
      </c>
      <c r="DE177" s="228">
        <v>27.11</v>
      </c>
      <c r="DF177" s="228">
        <v>-2.09</v>
      </c>
      <c r="DG177" s="228">
        <v>0.31</v>
      </c>
      <c r="DH177" s="228">
        <v>23.94</v>
      </c>
      <c r="DI177" s="228">
        <v>20.94</v>
      </c>
      <c r="DJ177" s="228">
        <v>3</v>
      </c>
      <c r="DK177" s="228">
        <v>3</v>
      </c>
      <c r="DL177" s="228">
        <v>27.64</v>
      </c>
      <c r="DM177" s="228">
        <v>23.78</v>
      </c>
      <c r="DN177" s="228">
        <v>3.86</v>
      </c>
      <c r="DO177" s="228">
        <v>3.86</v>
      </c>
      <c r="DP177" s="228">
        <v>1.33</v>
      </c>
      <c r="DQ177" s="228">
        <v>1.1200000000000001</v>
      </c>
      <c r="DR177" s="228">
        <v>0.21</v>
      </c>
      <c r="DS177" s="229">
        <v>0.1875</v>
      </c>
      <c r="DT177" s="231">
        <v>1200</v>
      </c>
      <c r="DU177" s="231">
        <v>1100</v>
      </c>
      <c r="DV177" s="228">
        <v>0.61</v>
      </c>
      <c r="DW177" s="228">
        <v>0.69</v>
      </c>
      <c r="DX177" s="228">
        <v>-0.08</v>
      </c>
      <c r="DY177" s="229">
        <v>-0.1159</v>
      </c>
      <c r="DZ177" s="229">
        <v>0.13270000000000001</v>
      </c>
      <c r="EA177" s="230">
        <v>6960000</v>
      </c>
      <c r="EB177" s="229">
        <v>6.4000000000000003E-3</v>
      </c>
      <c r="EC177" s="229">
        <v>0.13270000000000001</v>
      </c>
      <c r="ED177" s="228">
        <v>7.97</v>
      </c>
      <c r="EE177" s="229">
        <v>6.7999999999999996E-3</v>
      </c>
      <c r="EF177" s="230">
        <v>19033035</v>
      </c>
      <c r="EG177" s="230">
        <v>10925476</v>
      </c>
      <c r="EH177" s="229">
        <v>0.74209999999999998</v>
      </c>
      <c r="EI177" s="229">
        <v>0.59840000000000004</v>
      </c>
      <c r="EJ177" s="231">
        <v>4508878.7</v>
      </c>
      <c r="EK177" s="231">
        <v>2566314.65</v>
      </c>
      <c r="EL177" s="231">
        <v>439785.98</v>
      </c>
      <c r="EM177" s="231">
        <v>28136</v>
      </c>
      <c r="EN177" s="231">
        <v>7514979.3300000001</v>
      </c>
      <c r="EO177" s="231">
        <v>2597006.83</v>
      </c>
      <c r="EP177" s="231">
        <v>4917972.5</v>
      </c>
      <c r="EQ177" s="229">
        <v>1.8936999999999999</v>
      </c>
      <c r="ER177" s="231">
        <v>735005</v>
      </c>
      <c r="ES177" s="231">
        <v>928631</v>
      </c>
      <c r="ET177" s="231">
        <v>771954</v>
      </c>
      <c r="EU177" s="231">
        <v>436949195</v>
      </c>
      <c r="EV177" s="231">
        <v>2435590</v>
      </c>
      <c r="EW177" s="231">
        <v>2140797</v>
      </c>
      <c r="EX177" s="231">
        <v>294793</v>
      </c>
      <c r="EY177" s="229">
        <v>0.13769999999999999</v>
      </c>
      <c r="EZ177" s="229">
        <v>0.49059999999999998</v>
      </c>
      <c r="FA177" s="227" t="s">
        <v>555</v>
      </c>
      <c r="FB177" s="161">
        <f t="shared" si="4"/>
        <v>0</v>
      </c>
    </row>
    <row r="178" spans="1:158" ht="17.25" thickBot="1" x14ac:dyDescent="0.3">
      <c r="A178" s="226">
        <v>46064</v>
      </c>
      <c r="B178" s="227" t="s">
        <v>157</v>
      </c>
      <c r="C178" s="227" t="s">
        <v>284</v>
      </c>
      <c r="D178" s="228">
        <v>25</v>
      </c>
      <c r="E178" s="231">
        <v>26670</v>
      </c>
      <c r="F178" s="231">
        <v>26535</v>
      </c>
      <c r="G178" s="228">
        <v>135</v>
      </c>
      <c r="H178" s="229">
        <v>5.1000000000000004E-3</v>
      </c>
      <c r="I178" s="231">
        <v>26805</v>
      </c>
      <c r="J178" s="231">
        <v>26525</v>
      </c>
      <c r="K178" s="228">
        <v>280</v>
      </c>
      <c r="L178" s="229">
        <v>1.06E-2</v>
      </c>
      <c r="M178" s="231">
        <v>26670</v>
      </c>
      <c r="N178" s="231">
        <v>26535</v>
      </c>
      <c r="O178" s="228">
        <v>135</v>
      </c>
      <c r="P178" s="229">
        <v>5.1000000000000004E-3</v>
      </c>
      <c r="Q178" s="231">
        <v>26555</v>
      </c>
      <c r="R178" s="231">
        <v>26480</v>
      </c>
      <c r="S178" s="228">
        <v>75</v>
      </c>
      <c r="T178" s="229">
        <v>2.8E-3</v>
      </c>
      <c r="U178" s="231">
        <v>26540</v>
      </c>
      <c r="V178" s="231">
        <v>26500</v>
      </c>
      <c r="W178" s="228">
        <v>40</v>
      </c>
      <c r="X178" s="229">
        <v>1.5E-3</v>
      </c>
      <c r="Y178" s="228">
        <v>-135</v>
      </c>
      <c r="Z178" s="228">
        <v>10</v>
      </c>
      <c r="AA178" s="228">
        <v>-145</v>
      </c>
      <c r="AB178" s="229">
        <v>-5.0000000000000001E-3</v>
      </c>
      <c r="AC178" s="228">
        <v>-135</v>
      </c>
      <c r="AD178" s="228">
        <v>10</v>
      </c>
      <c r="AE178" s="228">
        <v>-145</v>
      </c>
      <c r="AF178" s="229">
        <v>-5.0000000000000001E-3</v>
      </c>
      <c r="AG178" s="228">
        <v>-250</v>
      </c>
      <c r="AH178" s="228">
        <v>-45</v>
      </c>
      <c r="AI178" s="228">
        <v>-205</v>
      </c>
      <c r="AJ178" s="229">
        <v>-9.2999999999999992E-3</v>
      </c>
      <c r="AK178" s="228">
        <v>-265</v>
      </c>
      <c r="AL178" s="228">
        <v>-25</v>
      </c>
      <c r="AM178" s="228">
        <v>-240</v>
      </c>
      <c r="AN178" s="229">
        <v>-9.9000000000000008E-3</v>
      </c>
      <c r="AO178" s="231">
        <v>26607.15</v>
      </c>
      <c r="AP178" s="231">
        <v>26544.18</v>
      </c>
      <c r="AQ178" s="228">
        <v>0</v>
      </c>
      <c r="AR178" s="230">
        <v>59650</v>
      </c>
      <c r="AS178" s="230">
        <v>81500</v>
      </c>
      <c r="AT178" s="230">
        <v>-21850</v>
      </c>
      <c r="AU178" s="229">
        <v>-0.2681</v>
      </c>
      <c r="AV178" s="230">
        <v>46275</v>
      </c>
      <c r="AW178" s="230">
        <v>74975</v>
      </c>
      <c r="AX178" s="230">
        <v>-28700</v>
      </c>
      <c r="AY178" s="229">
        <v>-0.38279999999999997</v>
      </c>
      <c r="AZ178" s="230">
        <v>13025</v>
      </c>
      <c r="BA178" s="230">
        <v>6100</v>
      </c>
      <c r="BB178" s="230">
        <v>6925</v>
      </c>
      <c r="BC178" s="229">
        <v>1.1352</v>
      </c>
      <c r="BD178" s="228">
        <v>350</v>
      </c>
      <c r="BE178" s="228">
        <v>425</v>
      </c>
      <c r="BF178" s="228">
        <v>-75</v>
      </c>
      <c r="BG178" s="229">
        <v>-0.17649999999999999</v>
      </c>
      <c r="BH178" s="230">
        <v>244425</v>
      </c>
      <c r="BI178" s="230">
        <v>399650</v>
      </c>
      <c r="BJ178" s="230">
        <v>-155225</v>
      </c>
      <c r="BK178" s="229">
        <v>-0.38840000000000002</v>
      </c>
      <c r="BL178" s="230">
        <v>66100</v>
      </c>
      <c r="BM178" s="230">
        <v>133500</v>
      </c>
      <c r="BN178" s="230">
        <v>-67400</v>
      </c>
      <c r="BO178" s="229">
        <v>-0.50490000000000002</v>
      </c>
      <c r="BP178" s="230">
        <v>370175</v>
      </c>
      <c r="BQ178" s="230">
        <v>614650</v>
      </c>
      <c r="BR178" s="230">
        <v>-244475</v>
      </c>
      <c r="BS178" s="229">
        <v>-0.3977</v>
      </c>
      <c r="BT178" s="230">
        <v>25973</v>
      </c>
      <c r="BU178" s="230">
        <v>39992</v>
      </c>
      <c r="BV178" s="230">
        <v>-14019</v>
      </c>
      <c r="BW178" s="229">
        <v>-0.35049999999999998</v>
      </c>
      <c r="BX178" s="230">
        <v>356500</v>
      </c>
      <c r="BY178" s="230">
        <v>348425</v>
      </c>
      <c r="BZ178" s="230">
        <v>8075</v>
      </c>
      <c r="CA178" s="229">
        <v>2.3199999999999998E-2</v>
      </c>
      <c r="CB178" s="230">
        <v>334200</v>
      </c>
      <c r="CC178" s="230">
        <v>331900</v>
      </c>
      <c r="CD178" s="230">
        <v>2300</v>
      </c>
      <c r="CE178" s="229">
        <v>6.8999999999999999E-3</v>
      </c>
      <c r="CF178" s="230">
        <v>21225</v>
      </c>
      <c r="CG178" s="230">
        <v>15675</v>
      </c>
      <c r="CH178" s="230">
        <v>5550</v>
      </c>
      <c r="CI178" s="229">
        <v>0.35410000000000003</v>
      </c>
      <c r="CJ178" s="230">
        <v>1075</v>
      </c>
      <c r="CK178" s="228">
        <v>850</v>
      </c>
      <c r="CL178" s="228">
        <v>225</v>
      </c>
      <c r="CM178" s="229">
        <v>0.26469999999999999</v>
      </c>
      <c r="CN178" s="230">
        <v>139975</v>
      </c>
      <c r="CO178" s="230">
        <v>149000</v>
      </c>
      <c r="CP178" s="230">
        <v>-9025</v>
      </c>
      <c r="CQ178" s="229">
        <v>-6.0600000000000001E-2</v>
      </c>
      <c r="CR178" s="230">
        <v>59825</v>
      </c>
      <c r="CS178" s="230">
        <v>64650</v>
      </c>
      <c r="CT178" s="230">
        <v>-4825</v>
      </c>
      <c r="CU178" s="229">
        <v>-7.46E-2</v>
      </c>
      <c r="CV178" s="230">
        <v>556300</v>
      </c>
      <c r="CW178" s="230">
        <v>562075</v>
      </c>
      <c r="CX178" s="230">
        <v>-5775</v>
      </c>
      <c r="CY178" s="229">
        <v>-1.03E-2</v>
      </c>
      <c r="CZ178" s="228">
        <v>25.85</v>
      </c>
      <c r="DA178" s="228">
        <v>26.78</v>
      </c>
      <c r="DB178" s="228">
        <v>-0.93</v>
      </c>
      <c r="DC178" s="228">
        <v>-0.93</v>
      </c>
      <c r="DD178" s="228">
        <v>24.21</v>
      </c>
      <c r="DE178" s="228">
        <v>24.26</v>
      </c>
      <c r="DF178" s="228">
        <v>1.64</v>
      </c>
      <c r="DG178" s="228">
        <v>-0.05</v>
      </c>
      <c r="DH178" s="228">
        <v>25.94</v>
      </c>
      <c r="DI178" s="228">
        <v>27.27</v>
      </c>
      <c r="DJ178" s="228">
        <v>-1.33</v>
      </c>
      <c r="DK178" s="228">
        <v>-1.33</v>
      </c>
      <c r="DL178" s="228">
        <v>25.55</v>
      </c>
      <c r="DM178" s="228">
        <v>25.31</v>
      </c>
      <c r="DN178" s="228">
        <v>0.24</v>
      </c>
      <c r="DO178" s="228">
        <v>0.24</v>
      </c>
      <c r="DP178" s="228">
        <v>0.43</v>
      </c>
      <c r="DQ178" s="228">
        <v>0.43</v>
      </c>
      <c r="DR178" s="228">
        <v>0</v>
      </c>
      <c r="DS178" s="229">
        <v>0</v>
      </c>
      <c r="DT178" s="231">
        <v>27000</v>
      </c>
      <c r="DU178" s="231">
        <v>26000</v>
      </c>
      <c r="DV178" s="228">
        <v>0.27</v>
      </c>
      <c r="DW178" s="228">
        <v>0.33</v>
      </c>
      <c r="DX178" s="228">
        <v>-0.06</v>
      </c>
      <c r="DY178" s="229">
        <v>-0.18179999999999999</v>
      </c>
      <c r="DZ178" s="229">
        <v>6.2600000000000003E-2</v>
      </c>
      <c r="EA178" s="230">
        <v>16525</v>
      </c>
      <c r="EB178" s="229">
        <v>-4.3E-3</v>
      </c>
      <c r="EC178" s="229">
        <v>6.2600000000000003E-2</v>
      </c>
      <c r="ED178" s="228">
        <v>-62.97</v>
      </c>
      <c r="EE178" s="229">
        <v>-2.3999999999999998E-3</v>
      </c>
      <c r="EF178" s="230">
        <v>13203</v>
      </c>
      <c r="EG178" s="230">
        <v>16131</v>
      </c>
      <c r="EH178" s="229">
        <v>-0.18149999999999999</v>
      </c>
      <c r="EI178" s="229">
        <v>0.50829999999999997</v>
      </c>
      <c r="EJ178" s="231">
        <v>68233.679999999993</v>
      </c>
      <c r="EK178" s="231">
        <v>17424.11</v>
      </c>
      <c r="EL178" s="231">
        <v>15862.84</v>
      </c>
      <c r="EM178" s="231">
        <v>3316</v>
      </c>
      <c r="EN178" s="231">
        <v>101520.63</v>
      </c>
      <c r="EO178" s="231">
        <v>169083.16</v>
      </c>
      <c r="EP178" s="231">
        <v>-67562.53</v>
      </c>
      <c r="EQ178" s="229">
        <v>-0.39960000000000001</v>
      </c>
      <c r="ER178" s="231">
        <v>39009</v>
      </c>
      <c r="ES178" s="231">
        <v>15674</v>
      </c>
      <c r="ET178" s="231">
        <v>95053</v>
      </c>
      <c r="EU178" s="231">
        <v>1568093</v>
      </c>
      <c r="EV178" s="231">
        <v>149736</v>
      </c>
      <c r="EW178" s="231">
        <v>150891</v>
      </c>
      <c r="EX178" s="231">
        <v>-1155</v>
      </c>
      <c r="EY178" s="229">
        <v>-7.7000000000000002E-3</v>
      </c>
      <c r="EZ178" s="229">
        <v>0.3548</v>
      </c>
      <c r="FA178" s="227" t="s">
        <v>555</v>
      </c>
      <c r="FB178" s="161">
        <f t="shared" si="4"/>
        <v>0</v>
      </c>
    </row>
    <row r="179" spans="1:158" ht="17.25" thickBot="1" x14ac:dyDescent="0.3">
      <c r="A179" s="226">
        <v>46064</v>
      </c>
      <c r="B179" s="227" t="s">
        <v>175</v>
      </c>
      <c r="C179" s="227" t="s">
        <v>562</v>
      </c>
      <c r="D179" s="228">
        <v>825</v>
      </c>
      <c r="E179" s="231">
        <v>1057.5</v>
      </c>
      <c r="F179" s="231">
        <v>1048.9000000000001</v>
      </c>
      <c r="G179" s="228">
        <v>8.6</v>
      </c>
      <c r="H179" s="229">
        <v>8.2000000000000007E-3</v>
      </c>
      <c r="I179" s="231">
        <v>1056.8</v>
      </c>
      <c r="J179" s="231">
        <v>1048.5999999999999</v>
      </c>
      <c r="K179" s="228">
        <v>8.1999999999999993</v>
      </c>
      <c r="L179" s="229">
        <v>7.7999999999999996E-3</v>
      </c>
      <c r="M179" s="231">
        <v>1057.5</v>
      </c>
      <c r="N179" s="231">
        <v>1048.9000000000001</v>
      </c>
      <c r="O179" s="228">
        <v>8.6</v>
      </c>
      <c r="P179" s="229">
        <v>8.2000000000000007E-3</v>
      </c>
      <c r="Q179" s="231">
        <v>1064.5999999999999</v>
      </c>
      <c r="R179" s="231">
        <v>1055.5</v>
      </c>
      <c r="S179" s="228">
        <v>9.1</v>
      </c>
      <c r="T179" s="229">
        <v>8.6E-3</v>
      </c>
      <c r="U179" s="231">
        <v>1071</v>
      </c>
      <c r="V179" s="231">
        <v>1062</v>
      </c>
      <c r="W179" s="228">
        <v>9</v>
      </c>
      <c r="X179" s="229">
        <v>8.5000000000000006E-3</v>
      </c>
      <c r="Y179" s="228">
        <v>0.7</v>
      </c>
      <c r="Z179" s="228">
        <v>0.3</v>
      </c>
      <c r="AA179" s="228">
        <v>0.4</v>
      </c>
      <c r="AB179" s="229">
        <v>6.9999999999999999E-4</v>
      </c>
      <c r="AC179" s="228">
        <v>0.7</v>
      </c>
      <c r="AD179" s="228">
        <v>0.3</v>
      </c>
      <c r="AE179" s="228">
        <v>0.4</v>
      </c>
      <c r="AF179" s="229">
        <v>6.9999999999999999E-4</v>
      </c>
      <c r="AG179" s="228">
        <v>7.8</v>
      </c>
      <c r="AH179" s="228">
        <v>6.9</v>
      </c>
      <c r="AI179" s="228">
        <v>0.9</v>
      </c>
      <c r="AJ179" s="229">
        <v>7.4000000000000003E-3</v>
      </c>
      <c r="AK179" s="228">
        <v>14.2</v>
      </c>
      <c r="AL179" s="228">
        <v>13.4</v>
      </c>
      <c r="AM179" s="228">
        <v>0.8</v>
      </c>
      <c r="AN179" s="229">
        <v>1.34E-2</v>
      </c>
      <c r="AO179" s="231">
        <v>1053.27</v>
      </c>
      <c r="AP179" s="231">
        <v>1059.47</v>
      </c>
      <c r="AQ179" s="228">
        <v>0</v>
      </c>
      <c r="AR179" s="230">
        <v>4608450</v>
      </c>
      <c r="AS179" s="230">
        <v>6073650</v>
      </c>
      <c r="AT179" s="230">
        <v>-1465200</v>
      </c>
      <c r="AU179" s="229">
        <v>-0.2412</v>
      </c>
      <c r="AV179" s="230">
        <v>4204200</v>
      </c>
      <c r="AW179" s="230">
        <v>5439225</v>
      </c>
      <c r="AX179" s="230">
        <v>-1235025</v>
      </c>
      <c r="AY179" s="229">
        <v>-0.2271</v>
      </c>
      <c r="AZ179" s="230">
        <v>370425</v>
      </c>
      <c r="BA179" s="230">
        <v>542025</v>
      </c>
      <c r="BB179" s="230">
        <v>-171600</v>
      </c>
      <c r="BC179" s="229">
        <v>-0.31659999999999999</v>
      </c>
      <c r="BD179" s="230">
        <v>33825</v>
      </c>
      <c r="BE179" s="230">
        <v>92400</v>
      </c>
      <c r="BF179" s="230">
        <v>-58575</v>
      </c>
      <c r="BG179" s="229">
        <v>-0.63390000000000002</v>
      </c>
      <c r="BH179" s="230">
        <v>21243750</v>
      </c>
      <c r="BI179" s="230">
        <v>24878700</v>
      </c>
      <c r="BJ179" s="230">
        <v>-3634950</v>
      </c>
      <c r="BK179" s="229">
        <v>-0.14610000000000001</v>
      </c>
      <c r="BL179" s="230">
        <v>7856475</v>
      </c>
      <c r="BM179" s="230">
        <v>15707175</v>
      </c>
      <c r="BN179" s="230">
        <v>-7850700</v>
      </c>
      <c r="BO179" s="229">
        <v>-0.49980000000000002</v>
      </c>
      <c r="BP179" s="230">
        <v>33708675</v>
      </c>
      <c r="BQ179" s="230">
        <v>46659525</v>
      </c>
      <c r="BR179" s="230">
        <v>-12950850</v>
      </c>
      <c r="BS179" s="229">
        <v>-0.27760000000000001</v>
      </c>
      <c r="BT179" s="230">
        <v>5337381</v>
      </c>
      <c r="BU179" s="230">
        <v>4482538</v>
      </c>
      <c r="BV179" s="230">
        <v>854843</v>
      </c>
      <c r="BW179" s="229">
        <v>0.19070000000000001</v>
      </c>
      <c r="BX179" s="230">
        <v>37643925</v>
      </c>
      <c r="BY179" s="230">
        <v>37962375</v>
      </c>
      <c r="BZ179" s="230">
        <v>-318450</v>
      </c>
      <c r="CA179" s="229">
        <v>-8.3999999999999995E-3</v>
      </c>
      <c r="CB179" s="230">
        <v>36357750</v>
      </c>
      <c r="CC179" s="230">
        <v>36653925</v>
      </c>
      <c r="CD179" s="230">
        <v>-296175</v>
      </c>
      <c r="CE179" s="229">
        <v>-8.0999999999999996E-3</v>
      </c>
      <c r="CF179" s="230">
        <v>1120350</v>
      </c>
      <c r="CG179" s="230">
        <v>1140975</v>
      </c>
      <c r="CH179" s="230">
        <v>-20625</v>
      </c>
      <c r="CI179" s="229">
        <v>-1.8100000000000002E-2</v>
      </c>
      <c r="CJ179" s="230">
        <v>165825</v>
      </c>
      <c r="CK179" s="230">
        <v>167475</v>
      </c>
      <c r="CL179" s="230">
        <v>-1650</v>
      </c>
      <c r="CM179" s="229">
        <v>-9.9000000000000008E-3</v>
      </c>
      <c r="CN179" s="230">
        <v>11368500</v>
      </c>
      <c r="CO179" s="230">
        <v>11985600</v>
      </c>
      <c r="CP179" s="230">
        <v>-617100</v>
      </c>
      <c r="CQ179" s="229">
        <v>-5.1499999999999997E-2</v>
      </c>
      <c r="CR179" s="230">
        <v>8999100</v>
      </c>
      <c r="CS179" s="230">
        <v>8792850</v>
      </c>
      <c r="CT179" s="230">
        <v>206250</v>
      </c>
      <c r="CU179" s="229">
        <v>2.35E-2</v>
      </c>
      <c r="CV179" s="230">
        <v>58011525</v>
      </c>
      <c r="CW179" s="230">
        <v>58740825</v>
      </c>
      <c r="CX179" s="230">
        <v>-729300</v>
      </c>
      <c r="CY179" s="229">
        <v>-1.24E-2</v>
      </c>
      <c r="CZ179" s="228">
        <v>30.64</v>
      </c>
      <c r="DA179" s="228">
        <v>31.43</v>
      </c>
      <c r="DB179" s="228">
        <v>-0.79</v>
      </c>
      <c r="DC179" s="228">
        <v>-0.79</v>
      </c>
      <c r="DD179" s="228">
        <v>38.869999999999997</v>
      </c>
      <c r="DE179" s="228">
        <v>38.950000000000003</v>
      </c>
      <c r="DF179" s="228">
        <v>-8.23</v>
      </c>
      <c r="DG179" s="228">
        <v>-0.08</v>
      </c>
      <c r="DH179" s="228">
        <v>30.17</v>
      </c>
      <c r="DI179" s="228">
        <v>30.89</v>
      </c>
      <c r="DJ179" s="228">
        <v>-0.72</v>
      </c>
      <c r="DK179" s="228">
        <v>-0.72</v>
      </c>
      <c r="DL179" s="228">
        <v>31.9</v>
      </c>
      <c r="DM179" s="228">
        <v>32.270000000000003</v>
      </c>
      <c r="DN179" s="228">
        <v>-0.37</v>
      </c>
      <c r="DO179" s="228">
        <v>-0.37</v>
      </c>
      <c r="DP179" s="228">
        <v>0.79</v>
      </c>
      <c r="DQ179" s="228">
        <v>0.73</v>
      </c>
      <c r="DR179" s="228">
        <v>0.06</v>
      </c>
      <c r="DS179" s="229">
        <v>8.2199999999999995E-2</v>
      </c>
      <c r="DT179" s="231">
        <v>1100</v>
      </c>
      <c r="DU179" s="231">
        <v>1000</v>
      </c>
      <c r="DV179" s="228">
        <v>0.37</v>
      </c>
      <c r="DW179" s="228">
        <v>0.63</v>
      </c>
      <c r="DX179" s="228">
        <v>-0.26</v>
      </c>
      <c r="DY179" s="229">
        <v>-0.41270000000000001</v>
      </c>
      <c r="DZ179" s="229">
        <v>3.4200000000000001E-2</v>
      </c>
      <c r="EA179" s="230">
        <v>1308450</v>
      </c>
      <c r="EB179" s="229">
        <v>6.7000000000000002E-3</v>
      </c>
      <c r="EC179" s="229">
        <v>3.4200000000000001E-2</v>
      </c>
      <c r="ED179" s="228">
        <v>6.2</v>
      </c>
      <c r="EE179" s="229">
        <v>5.8999999999999999E-3</v>
      </c>
      <c r="EF179" s="230">
        <v>3510925</v>
      </c>
      <c r="EG179" s="230">
        <v>2478102</v>
      </c>
      <c r="EH179" s="229">
        <v>0.4168</v>
      </c>
      <c r="EI179" s="229">
        <v>0.65780000000000005</v>
      </c>
      <c r="EJ179" s="231">
        <v>231667.91</v>
      </c>
      <c r="EK179" s="231">
        <v>81315.19</v>
      </c>
      <c r="EL179" s="231">
        <v>48566.69</v>
      </c>
      <c r="EM179" s="231">
        <v>8145</v>
      </c>
      <c r="EN179" s="231">
        <v>361549.79</v>
      </c>
      <c r="EO179" s="231">
        <v>498089.09</v>
      </c>
      <c r="EP179" s="231">
        <v>-136539.29999999999</v>
      </c>
      <c r="EQ179" s="229">
        <v>-0.27410000000000001</v>
      </c>
      <c r="ER179" s="231">
        <v>120560</v>
      </c>
      <c r="ES179" s="231">
        <v>87871</v>
      </c>
      <c r="ET179" s="231">
        <v>398186</v>
      </c>
      <c r="EU179" s="231">
        <v>210513975</v>
      </c>
      <c r="EV179" s="231">
        <v>606618</v>
      </c>
      <c r="EW179" s="231">
        <v>610871</v>
      </c>
      <c r="EX179" s="231">
        <v>-4253</v>
      </c>
      <c r="EY179" s="229">
        <v>-7.0000000000000001E-3</v>
      </c>
      <c r="EZ179" s="229">
        <v>0.27560000000000001</v>
      </c>
      <c r="FA179" s="227" t="s">
        <v>556</v>
      </c>
      <c r="FB179" s="161">
        <f t="shared" si="4"/>
        <v>0</v>
      </c>
    </row>
    <row r="180" spans="1:158" ht="17.25" thickBot="1" x14ac:dyDescent="0.3">
      <c r="A180" s="226">
        <v>46064</v>
      </c>
      <c r="B180" s="227" t="s">
        <v>184</v>
      </c>
      <c r="C180" s="227" t="s">
        <v>285</v>
      </c>
      <c r="D180" s="228">
        <v>175</v>
      </c>
      <c r="E180" s="231">
        <v>3156.2</v>
      </c>
      <c r="F180" s="231">
        <v>3117.4</v>
      </c>
      <c r="G180" s="228">
        <v>38.799999999999997</v>
      </c>
      <c r="H180" s="229">
        <v>1.24E-2</v>
      </c>
      <c r="I180" s="231">
        <v>3151.6</v>
      </c>
      <c r="J180" s="231">
        <v>3111.5</v>
      </c>
      <c r="K180" s="228">
        <v>40.1</v>
      </c>
      <c r="L180" s="229">
        <v>1.29E-2</v>
      </c>
      <c r="M180" s="231">
        <v>3156.2</v>
      </c>
      <c r="N180" s="231">
        <v>3117.4</v>
      </c>
      <c r="O180" s="228">
        <v>38.799999999999997</v>
      </c>
      <c r="P180" s="229">
        <v>1.24E-2</v>
      </c>
      <c r="Q180" s="231">
        <v>3164.3</v>
      </c>
      <c r="R180" s="231">
        <v>3129.2</v>
      </c>
      <c r="S180" s="228">
        <v>35.1</v>
      </c>
      <c r="T180" s="229">
        <v>1.12E-2</v>
      </c>
      <c r="U180" s="231">
        <v>3179.1</v>
      </c>
      <c r="V180" s="231">
        <v>3130</v>
      </c>
      <c r="W180" s="228">
        <v>49.1</v>
      </c>
      <c r="X180" s="229">
        <v>1.5699999999999999E-2</v>
      </c>
      <c r="Y180" s="228">
        <v>4.5999999999999996</v>
      </c>
      <c r="Z180" s="228">
        <v>5.9</v>
      </c>
      <c r="AA180" s="228">
        <v>-1.3</v>
      </c>
      <c r="AB180" s="229">
        <v>1.5E-3</v>
      </c>
      <c r="AC180" s="228">
        <v>4.5999999999999996</v>
      </c>
      <c r="AD180" s="228">
        <v>5.9</v>
      </c>
      <c r="AE180" s="228">
        <v>-1.3</v>
      </c>
      <c r="AF180" s="229">
        <v>1.5E-3</v>
      </c>
      <c r="AG180" s="228">
        <v>12.7</v>
      </c>
      <c r="AH180" s="228">
        <v>17.7</v>
      </c>
      <c r="AI180" s="228">
        <v>-5</v>
      </c>
      <c r="AJ180" s="229">
        <v>4.0000000000000001E-3</v>
      </c>
      <c r="AK180" s="228">
        <v>27.5</v>
      </c>
      <c r="AL180" s="228">
        <v>18.5</v>
      </c>
      <c r="AM180" s="228">
        <v>9</v>
      </c>
      <c r="AN180" s="229">
        <v>8.6999999999999994E-3</v>
      </c>
      <c r="AO180" s="231">
        <v>3140.93</v>
      </c>
      <c r="AP180" s="231">
        <v>3148.56</v>
      </c>
      <c r="AQ180" s="228">
        <v>0</v>
      </c>
      <c r="AR180" s="230">
        <v>584850</v>
      </c>
      <c r="AS180" s="230">
        <v>638400</v>
      </c>
      <c r="AT180" s="230">
        <v>-53550</v>
      </c>
      <c r="AU180" s="229">
        <v>-8.3900000000000002E-2</v>
      </c>
      <c r="AV180" s="230">
        <v>516600</v>
      </c>
      <c r="AW180" s="230">
        <v>605675</v>
      </c>
      <c r="AX180" s="230">
        <v>-89075</v>
      </c>
      <c r="AY180" s="229">
        <v>-0.14710000000000001</v>
      </c>
      <c r="AZ180" s="230">
        <v>62825</v>
      </c>
      <c r="BA180" s="230">
        <v>32025</v>
      </c>
      <c r="BB180" s="230">
        <v>30800</v>
      </c>
      <c r="BC180" s="229">
        <v>0.9617</v>
      </c>
      <c r="BD180" s="230">
        <v>5425</v>
      </c>
      <c r="BE180" s="228">
        <v>700</v>
      </c>
      <c r="BF180" s="230">
        <v>4725</v>
      </c>
      <c r="BG180" s="229">
        <v>6.75</v>
      </c>
      <c r="BH180" s="230">
        <v>3804150</v>
      </c>
      <c r="BI180" s="230">
        <v>3106075</v>
      </c>
      <c r="BJ180" s="230">
        <v>698075</v>
      </c>
      <c r="BK180" s="229">
        <v>0.22470000000000001</v>
      </c>
      <c r="BL180" s="230">
        <v>1079575</v>
      </c>
      <c r="BM180" s="230">
        <v>1082550</v>
      </c>
      <c r="BN180" s="230">
        <v>-2975</v>
      </c>
      <c r="BO180" s="229">
        <v>-2.7000000000000001E-3</v>
      </c>
      <c r="BP180" s="230">
        <v>5468575</v>
      </c>
      <c r="BQ180" s="230">
        <v>4827025</v>
      </c>
      <c r="BR180" s="230">
        <v>641550</v>
      </c>
      <c r="BS180" s="229">
        <v>0.13289999999999999</v>
      </c>
      <c r="BT180" s="230">
        <v>201675</v>
      </c>
      <c r="BU180" s="230">
        <v>293412</v>
      </c>
      <c r="BV180" s="230">
        <v>-91737</v>
      </c>
      <c r="BW180" s="229">
        <v>-0.31269999999999998</v>
      </c>
      <c r="BX180" s="230">
        <v>2461200</v>
      </c>
      <c r="BY180" s="230">
        <v>2533475</v>
      </c>
      <c r="BZ180" s="230">
        <v>-72275</v>
      </c>
      <c r="CA180" s="229">
        <v>-2.8500000000000001E-2</v>
      </c>
      <c r="CB180" s="230">
        <v>2363200</v>
      </c>
      <c r="CC180" s="230">
        <v>2445275</v>
      </c>
      <c r="CD180" s="230">
        <v>-82075</v>
      </c>
      <c r="CE180" s="229">
        <v>-3.3599999999999998E-2</v>
      </c>
      <c r="CF180" s="230">
        <v>86450</v>
      </c>
      <c r="CG180" s="230">
        <v>75600</v>
      </c>
      <c r="CH180" s="230">
        <v>10850</v>
      </c>
      <c r="CI180" s="229">
        <v>0.14349999999999999</v>
      </c>
      <c r="CJ180" s="230">
        <v>11550</v>
      </c>
      <c r="CK180" s="230">
        <v>12600</v>
      </c>
      <c r="CL180" s="230">
        <v>-1050</v>
      </c>
      <c r="CM180" s="229">
        <v>-8.3299999999999999E-2</v>
      </c>
      <c r="CN180" s="230">
        <v>1956850</v>
      </c>
      <c r="CO180" s="230">
        <v>1968400</v>
      </c>
      <c r="CP180" s="230">
        <v>-11550</v>
      </c>
      <c r="CQ180" s="229">
        <v>-5.8999999999999999E-3</v>
      </c>
      <c r="CR180" s="230">
        <v>1116850</v>
      </c>
      <c r="CS180" s="230">
        <v>1134525</v>
      </c>
      <c r="CT180" s="230">
        <v>-17675</v>
      </c>
      <c r="CU180" s="229">
        <v>-1.5599999999999999E-2</v>
      </c>
      <c r="CV180" s="230">
        <v>5534900</v>
      </c>
      <c r="CW180" s="230">
        <v>5636400</v>
      </c>
      <c r="CX180" s="230">
        <v>-101500</v>
      </c>
      <c r="CY180" s="229">
        <v>-1.7999999999999999E-2</v>
      </c>
      <c r="CZ180" s="228">
        <v>30.9</v>
      </c>
      <c r="DA180" s="228">
        <v>31.99</v>
      </c>
      <c r="DB180" s="228">
        <v>-1.0900000000000001</v>
      </c>
      <c r="DC180" s="228">
        <v>-1.0900000000000001</v>
      </c>
      <c r="DD180" s="228">
        <v>38.11</v>
      </c>
      <c r="DE180" s="228">
        <v>38.17</v>
      </c>
      <c r="DF180" s="228">
        <v>-7.21</v>
      </c>
      <c r="DG180" s="228">
        <v>-0.06</v>
      </c>
      <c r="DH180" s="228">
        <v>30.37</v>
      </c>
      <c r="DI180" s="228">
        <v>31.73</v>
      </c>
      <c r="DJ180" s="228">
        <v>-1.36</v>
      </c>
      <c r="DK180" s="228">
        <v>-1.36</v>
      </c>
      <c r="DL180" s="228">
        <v>32.76</v>
      </c>
      <c r="DM180" s="228">
        <v>32.74</v>
      </c>
      <c r="DN180" s="228">
        <v>0.02</v>
      </c>
      <c r="DO180" s="228">
        <v>0.02</v>
      </c>
      <c r="DP180" s="228">
        <v>0.56999999999999995</v>
      </c>
      <c r="DQ180" s="228">
        <v>0.57999999999999996</v>
      </c>
      <c r="DR180" s="228">
        <v>-0.01</v>
      </c>
      <c r="DS180" s="229">
        <v>-1.72E-2</v>
      </c>
      <c r="DT180" s="231">
        <v>3300</v>
      </c>
      <c r="DU180" s="231">
        <v>3000</v>
      </c>
      <c r="DV180" s="228">
        <v>0.28000000000000003</v>
      </c>
      <c r="DW180" s="228">
        <v>0.35</v>
      </c>
      <c r="DX180" s="228">
        <v>-7.0000000000000007E-2</v>
      </c>
      <c r="DY180" s="229">
        <v>-0.2</v>
      </c>
      <c r="DZ180" s="229">
        <v>3.9800000000000002E-2</v>
      </c>
      <c r="EA180" s="230">
        <v>88200</v>
      </c>
      <c r="EB180" s="229">
        <v>2.5999999999999999E-3</v>
      </c>
      <c r="EC180" s="229">
        <v>3.9800000000000002E-2</v>
      </c>
      <c r="ED180" s="228">
        <v>7.63</v>
      </c>
      <c r="EE180" s="229">
        <v>2.3999999999999998E-3</v>
      </c>
      <c r="EF180" s="230">
        <v>84458</v>
      </c>
      <c r="EG180" s="230">
        <v>99084</v>
      </c>
      <c r="EH180" s="229">
        <v>-0.14760000000000001</v>
      </c>
      <c r="EI180" s="229">
        <v>0.41880000000000001</v>
      </c>
      <c r="EJ180" s="231">
        <v>125820.07</v>
      </c>
      <c r="EK180" s="231">
        <v>32778.54</v>
      </c>
      <c r="EL180" s="231">
        <v>18375.93</v>
      </c>
      <c r="EM180" s="231">
        <v>7136</v>
      </c>
      <c r="EN180" s="231">
        <v>176974.54</v>
      </c>
      <c r="EO180" s="231">
        <v>155458.23000000001</v>
      </c>
      <c r="EP180" s="231">
        <v>21516.31</v>
      </c>
      <c r="EQ180" s="229">
        <v>0.1384</v>
      </c>
      <c r="ER180" s="231">
        <v>65252</v>
      </c>
      <c r="ES180" s="231">
        <v>33226</v>
      </c>
      <c r="ET180" s="231">
        <v>77690</v>
      </c>
      <c r="EU180" s="231">
        <v>13354588</v>
      </c>
      <c r="EV180" s="231">
        <v>176168</v>
      </c>
      <c r="EW180" s="231">
        <v>178182</v>
      </c>
      <c r="EX180" s="231">
        <v>-2014</v>
      </c>
      <c r="EY180" s="229">
        <v>-1.1299999999999999E-2</v>
      </c>
      <c r="EZ180" s="229">
        <v>0.41449999999999998</v>
      </c>
      <c r="FA180" s="227" t="s">
        <v>556</v>
      </c>
      <c r="FB180" s="161">
        <f t="shared" si="4"/>
        <v>0</v>
      </c>
    </row>
    <row r="181" spans="1:158" ht="17.25" thickBot="1" x14ac:dyDescent="0.3">
      <c r="A181" s="226">
        <v>46064</v>
      </c>
      <c r="B181" s="227" t="s">
        <v>498</v>
      </c>
      <c r="C181" s="227" t="s">
        <v>646</v>
      </c>
      <c r="D181" s="228">
        <v>50</v>
      </c>
      <c r="E181" s="231">
        <v>13448</v>
      </c>
      <c r="F181" s="231">
        <v>13448</v>
      </c>
      <c r="G181" s="228">
        <v>0</v>
      </c>
      <c r="H181" s="229">
        <v>0</v>
      </c>
      <c r="I181" s="231">
        <v>13445</v>
      </c>
      <c r="J181" s="231">
        <v>13423</v>
      </c>
      <c r="K181" s="228">
        <v>22</v>
      </c>
      <c r="L181" s="229">
        <v>1.6000000000000001E-3</v>
      </c>
      <c r="M181" s="231">
        <v>13448</v>
      </c>
      <c r="N181" s="231">
        <v>13448</v>
      </c>
      <c r="O181" s="228">
        <v>0</v>
      </c>
      <c r="P181" s="229">
        <v>0</v>
      </c>
      <c r="Q181" s="231">
        <v>13541</v>
      </c>
      <c r="R181" s="231">
        <v>13529</v>
      </c>
      <c r="S181" s="228">
        <v>12</v>
      </c>
      <c r="T181" s="229">
        <v>8.9999999999999998E-4</v>
      </c>
      <c r="U181" s="231">
        <v>13647</v>
      </c>
      <c r="V181" s="231">
        <v>13610</v>
      </c>
      <c r="W181" s="228">
        <v>37</v>
      </c>
      <c r="X181" s="229">
        <v>2.7000000000000001E-3</v>
      </c>
      <c r="Y181" s="228">
        <v>3</v>
      </c>
      <c r="Z181" s="228">
        <v>25</v>
      </c>
      <c r="AA181" s="228">
        <v>-22</v>
      </c>
      <c r="AB181" s="229">
        <v>2.0000000000000001E-4</v>
      </c>
      <c r="AC181" s="228">
        <v>3</v>
      </c>
      <c r="AD181" s="228">
        <v>25</v>
      </c>
      <c r="AE181" s="228">
        <v>-22</v>
      </c>
      <c r="AF181" s="229">
        <v>2.0000000000000001E-4</v>
      </c>
      <c r="AG181" s="228">
        <v>96</v>
      </c>
      <c r="AH181" s="228">
        <v>106</v>
      </c>
      <c r="AI181" s="228">
        <v>-10</v>
      </c>
      <c r="AJ181" s="229">
        <v>7.1000000000000004E-3</v>
      </c>
      <c r="AK181" s="228">
        <v>202</v>
      </c>
      <c r="AL181" s="228">
        <v>187</v>
      </c>
      <c r="AM181" s="228">
        <v>15</v>
      </c>
      <c r="AN181" s="229">
        <v>1.4999999999999999E-2</v>
      </c>
      <c r="AO181" s="231">
        <v>13420.98</v>
      </c>
      <c r="AP181" s="231">
        <v>13491.43</v>
      </c>
      <c r="AQ181" s="228">
        <v>0</v>
      </c>
      <c r="AR181" s="230">
        <v>90650</v>
      </c>
      <c r="AS181" s="230">
        <v>100400</v>
      </c>
      <c r="AT181" s="230">
        <v>-9750</v>
      </c>
      <c r="AU181" s="229">
        <v>-9.7100000000000006E-2</v>
      </c>
      <c r="AV181" s="230">
        <v>83700</v>
      </c>
      <c r="AW181" s="230">
        <v>89450</v>
      </c>
      <c r="AX181" s="230">
        <v>-5750</v>
      </c>
      <c r="AY181" s="229">
        <v>-6.4299999999999996E-2</v>
      </c>
      <c r="AZ181" s="230">
        <v>5950</v>
      </c>
      <c r="BA181" s="230">
        <v>8850</v>
      </c>
      <c r="BB181" s="230">
        <v>-2900</v>
      </c>
      <c r="BC181" s="229">
        <v>-0.32769999999999999</v>
      </c>
      <c r="BD181" s="230">
        <v>1000</v>
      </c>
      <c r="BE181" s="230">
        <v>2100</v>
      </c>
      <c r="BF181" s="230">
        <v>-1100</v>
      </c>
      <c r="BG181" s="229">
        <v>-0.52380000000000004</v>
      </c>
      <c r="BH181" s="230">
        <v>314850</v>
      </c>
      <c r="BI181" s="230">
        <v>448450</v>
      </c>
      <c r="BJ181" s="230">
        <v>-133600</v>
      </c>
      <c r="BK181" s="229">
        <v>-0.2979</v>
      </c>
      <c r="BL181" s="230">
        <v>102950</v>
      </c>
      <c r="BM181" s="230">
        <v>195300</v>
      </c>
      <c r="BN181" s="230">
        <v>-92350</v>
      </c>
      <c r="BO181" s="229">
        <v>-0.47289999999999999</v>
      </c>
      <c r="BP181" s="230">
        <v>508450</v>
      </c>
      <c r="BQ181" s="230">
        <v>744150</v>
      </c>
      <c r="BR181" s="230">
        <v>-235700</v>
      </c>
      <c r="BS181" s="229">
        <v>-0.31669999999999998</v>
      </c>
      <c r="BT181" s="230">
        <v>77145</v>
      </c>
      <c r="BU181" s="230">
        <v>74281</v>
      </c>
      <c r="BV181" s="230">
        <v>2864</v>
      </c>
      <c r="BW181" s="229">
        <v>3.8600000000000002E-2</v>
      </c>
      <c r="BX181" s="230">
        <v>947600</v>
      </c>
      <c r="BY181" s="230">
        <v>959600</v>
      </c>
      <c r="BZ181" s="230">
        <v>-12000</v>
      </c>
      <c r="CA181" s="229">
        <v>-1.2500000000000001E-2</v>
      </c>
      <c r="CB181" s="230">
        <v>842900</v>
      </c>
      <c r="CC181" s="230">
        <v>856200</v>
      </c>
      <c r="CD181" s="230">
        <v>-13300</v>
      </c>
      <c r="CE181" s="229">
        <v>-1.55E-2</v>
      </c>
      <c r="CF181" s="230">
        <v>76950</v>
      </c>
      <c r="CG181" s="230">
        <v>75650</v>
      </c>
      <c r="CH181" s="230">
        <v>1300</v>
      </c>
      <c r="CI181" s="229">
        <v>1.72E-2</v>
      </c>
      <c r="CJ181" s="230">
        <v>27750</v>
      </c>
      <c r="CK181" s="230">
        <v>27750</v>
      </c>
      <c r="CL181" s="228">
        <v>0</v>
      </c>
      <c r="CM181" s="229">
        <v>0</v>
      </c>
      <c r="CN181" s="230">
        <v>551200</v>
      </c>
      <c r="CO181" s="230">
        <v>556800</v>
      </c>
      <c r="CP181" s="230">
        <v>-5600</v>
      </c>
      <c r="CQ181" s="229">
        <v>-1.01E-2</v>
      </c>
      <c r="CR181" s="230">
        <v>261700</v>
      </c>
      <c r="CS181" s="230">
        <v>263850</v>
      </c>
      <c r="CT181" s="230">
        <v>-2150</v>
      </c>
      <c r="CU181" s="229">
        <v>-8.0999999999999996E-3</v>
      </c>
      <c r="CV181" s="230">
        <v>1760500</v>
      </c>
      <c r="CW181" s="230">
        <v>1780250</v>
      </c>
      <c r="CX181" s="230">
        <v>-19750</v>
      </c>
      <c r="CY181" s="229">
        <v>-1.11E-2</v>
      </c>
      <c r="CZ181" s="228">
        <v>39.86</v>
      </c>
      <c r="DA181" s="228">
        <v>41.87</v>
      </c>
      <c r="DB181" s="228">
        <v>-2.0099999999999998</v>
      </c>
      <c r="DC181" s="228">
        <v>-2.0099999999999998</v>
      </c>
      <c r="DD181" s="228">
        <v>41.27</v>
      </c>
      <c r="DE181" s="228">
        <v>41.38</v>
      </c>
      <c r="DF181" s="228">
        <v>-1.41</v>
      </c>
      <c r="DG181" s="228">
        <v>-0.11</v>
      </c>
      <c r="DH181" s="228">
        <v>40.36</v>
      </c>
      <c r="DI181" s="228">
        <v>41.03</v>
      </c>
      <c r="DJ181" s="228">
        <v>-0.67</v>
      </c>
      <c r="DK181" s="228">
        <v>-0.67</v>
      </c>
      <c r="DL181" s="228">
        <v>38.340000000000003</v>
      </c>
      <c r="DM181" s="228">
        <v>43.78</v>
      </c>
      <c r="DN181" s="228">
        <v>-5.44</v>
      </c>
      <c r="DO181" s="228">
        <v>-5.44</v>
      </c>
      <c r="DP181" s="228">
        <v>0.47</v>
      </c>
      <c r="DQ181" s="228">
        <v>0.47</v>
      </c>
      <c r="DR181" s="228">
        <v>0</v>
      </c>
      <c r="DS181" s="229">
        <v>0</v>
      </c>
      <c r="DT181" s="231">
        <v>14000</v>
      </c>
      <c r="DU181" s="231">
        <v>12500</v>
      </c>
      <c r="DV181" s="228">
        <v>0.33</v>
      </c>
      <c r="DW181" s="228">
        <v>0.44</v>
      </c>
      <c r="DX181" s="228">
        <v>-0.11</v>
      </c>
      <c r="DY181" s="229">
        <v>-0.25</v>
      </c>
      <c r="DZ181" s="229">
        <v>0.1105</v>
      </c>
      <c r="EA181" s="230">
        <v>103400</v>
      </c>
      <c r="EB181" s="229">
        <v>6.8999999999999999E-3</v>
      </c>
      <c r="EC181" s="229">
        <v>0.1105</v>
      </c>
      <c r="ED181" s="228">
        <v>70.45</v>
      </c>
      <c r="EE181" s="229">
        <v>5.1999999999999998E-3</v>
      </c>
      <c r="EF181" s="230">
        <v>33877</v>
      </c>
      <c r="EG181" s="230">
        <v>23778</v>
      </c>
      <c r="EH181" s="229">
        <v>0.42470000000000002</v>
      </c>
      <c r="EI181" s="229">
        <v>0.43909999999999999</v>
      </c>
      <c r="EJ181" s="231">
        <v>45146.96</v>
      </c>
      <c r="EK181" s="231">
        <v>13452.89</v>
      </c>
      <c r="EL181" s="231">
        <v>12171.88</v>
      </c>
      <c r="EM181" s="231">
        <v>4149</v>
      </c>
      <c r="EN181" s="231">
        <v>70771.73</v>
      </c>
      <c r="EO181" s="231">
        <v>102036.75</v>
      </c>
      <c r="EP181" s="231">
        <v>-31265.02</v>
      </c>
      <c r="EQ181" s="229">
        <v>-0.30640000000000001</v>
      </c>
      <c r="ER181" s="231">
        <v>78471</v>
      </c>
      <c r="ES181" s="231">
        <v>33912</v>
      </c>
      <c r="ET181" s="231">
        <v>127560</v>
      </c>
      <c r="EU181" s="231">
        <v>3644817</v>
      </c>
      <c r="EV181" s="231">
        <v>239943</v>
      </c>
      <c r="EW181" s="231">
        <v>242628</v>
      </c>
      <c r="EX181" s="231">
        <v>-2685</v>
      </c>
      <c r="EY181" s="229">
        <v>-1.11E-2</v>
      </c>
      <c r="EZ181" s="229">
        <v>0.48299999999999998</v>
      </c>
      <c r="FA181" s="227" t="s">
        <v>237</v>
      </c>
      <c r="FB181" s="161">
        <f t="shared" si="4"/>
        <v>0</v>
      </c>
    </row>
    <row r="182" spans="1:158" ht="17.25" thickBot="1" x14ac:dyDescent="0.3">
      <c r="A182" s="226">
        <v>46064</v>
      </c>
      <c r="B182" s="227" t="s">
        <v>162</v>
      </c>
      <c r="C182" s="227" t="s">
        <v>614</v>
      </c>
      <c r="D182" s="228">
        <v>1225</v>
      </c>
      <c r="E182" s="228">
        <v>539.85</v>
      </c>
      <c r="F182" s="228">
        <v>532.04999999999995</v>
      </c>
      <c r="G182" s="228">
        <v>7.8</v>
      </c>
      <c r="H182" s="229">
        <v>1.47E-2</v>
      </c>
      <c r="I182" s="228">
        <v>538</v>
      </c>
      <c r="J182" s="228">
        <v>531.1</v>
      </c>
      <c r="K182" s="228">
        <v>6.9</v>
      </c>
      <c r="L182" s="229">
        <v>1.2999999999999999E-2</v>
      </c>
      <c r="M182" s="228">
        <v>539.85</v>
      </c>
      <c r="N182" s="228">
        <v>532.04999999999995</v>
      </c>
      <c r="O182" s="228">
        <v>7.8</v>
      </c>
      <c r="P182" s="229">
        <v>1.47E-2</v>
      </c>
      <c r="Q182" s="228">
        <v>542.6</v>
      </c>
      <c r="R182" s="228">
        <v>534.79999999999995</v>
      </c>
      <c r="S182" s="228">
        <v>7.8</v>
      </c>
      <c r="T182" s="229">
        <v>1.46E-2</v>
      </c>
      <c r="U182" s="228">
        <v>544.29999999999995</v>
      </c>
      <c r="V182" s="228">
        <v>536.85</v>
      </c>
      <c r="W182" s="228">
        <v>7.45</v>
      </c>
      <c r="X182" s="229">
        <v>1.3899999999999999E-2</v>
      </c>
      <c r="Y182" s="228">
        <v>1.85</v>
      </c>
      <c r="Z182" s="228">
        <v>0.95</v>
      </c>
      <c r="AA182" s="228">
        <v>0.9</v>
      </c>
      <c r="AB182" s="229">
        <v>3.3999999999999998E-3</v>
      </c>
      <c r="AC182" s="228">
        <v>1.85</v>
      </c>
      <c r="AD182" s="228">
        <v>0.95</v>
      </c>
      <c r="AE182" s="228">
        <v>0.9</v>
      </c>
      <c r="AF182" s="229">
        <v>3.3999999999999998E-3</v>
      </c>
      <c r="AG182" s="228">
        <v>4.5999999999999996</v>
      </c>
      <c r="AH182" s="228">
        <v>3.7</v>
      </c>
      <c r="AI182" s="228">
        <v>0.9</v>
      </c>
      <c r="AJ182" s="229">
        <v>8.6E-3</v>
      </c>
      <c r="AK182" s="228">
        <v>6.3</v>
      </c>
      <c r="AL182" s="228">
        <v>5.75</v>
      </c>
      <c r="AM182" s="228">
        <v>0.55000000000000004</v>
      </c>
      <c r="AN182" s="229">
        <v>1.17E-2</v>
      </c>
      <c r="AO182" s="228">
        <v>538.9</v>
      </c>
      <c r="AP182" s="228">
        <v>541.6</v>
      </c>
      <c r="AQ182" s="228">
        <v>0</v>
      </c>
      <c r="AR182" s="230">
        <v>4479825</v>
      </c>
      <c r="AS182" s="230">
        <v>2298100</v>
      </c>
      <c r="AT182" s="230">
        <v>2181725</v>
      </c>
      <c r="AU182" s="229">
        <v>0.94940000000000002</v>
      </c>
      <c r="AV182" s="230">
        <v>4288725</v>
      </c>
      <c r="AW182" s="230">
        <v>2124150</v>
      </c>
      <c r="AX182" s="230">
        <v>2164575</v>
      </c>
      <c r="AY182" s="229">
        <v>1.0189999999999999</v>
      </c>
      <c r="AZ182" s="230">
        <v>178850</v>
      </c>
      <c r="BA182" s="230">
        <v>156800</v>
      </c>
      <c r="BB182" s="230">
        <v>22050</v>
      </c>
      <c r="BC182" s="229">
        <v>0.1406</v>
      </c>
      <c r="BD182" s="230">
        <v>12250</v>
      </c>
      <c r="BE182" s="230">
        <v>17150</v>
      </c>
      <c r="BF182" s="230">
        <v>-4900</v>
      </c>
      <c r="BG182" s="229">
        <v>-0.28570000000000001</v>
      </c>
      <c r="BH182" s="230">
        <v>10994375</v>
      </c>
      <c r="BI182" s="230">
        <v>4041275</v>
      </c>
      <c r="BJ182" s="230">
        <v>6953100</v>
      </c>
      <c r="BK182" s="229">
        <v>1.7204999999999999</v>
      </c>
      <c r="BL182" s="230">
        <v>2470825</v>
      </c>
      <c r="BM182" s="230">
        <v>2001650</v>
      </c>
      <c r="BN182" s="230">
        <v>469175</v>
      </c>
      <c r="BO182" s="229">
        <v>0.2344</v>
      </c>
      <c r="BP182" s="230">
        <v>17945025</v>
      </c>
      <c r="BQ182" s="230">
        <v>8341025</v>
      </c>
      <c r="BR182" s="230">
        <v>9604000</v>
      </c>
      <c r="BS182" s="229">
        <v>1.1514</v>
      </c>
      <c r="BT182" s="230">
        <v>2253424</v>
      </c>
      <c r="BU182" s="230">
        <v>1314115</v>
      </c>
      <c r="BV182" s="230">
        <v>939309</v>
      </c>
      <c r="BW182" s="229">
        <v>0.71479999999999999</v>
      </c>
      <c r="BX182" s="230">
        <v>13361075</v>
      </c>
      <c r="BY182" s="230">
        <v>12889450</v>
      </c>
      <c r="BZ182" s="230">
        <v>471625</v>
      </c>
      <c r="CA182" s="229">
        <v>3.6600000000000001E-2</v>
      </c>
      <c r="CB182" s="230">
        <v>13101375</v>
      </c>
      <c r="CC182" s="230">
        <v>12590550</v>
      </c>
      <c r="CD182" s="230">
        <v>510825</v>
      </c>
      <c r="CE182" s="229">
        <v>4.0599999999999997E-2</v>
      </c>
      <c r="CF182" s="230">
        <v>209475</v>
      </c>
      <c r="CG182" s="230">
        <v>236425</v>
      </c>
      <c r="CH182" s="230">
        <v>-26950</v>
      </c>
      <c r="CI182" s="229">
        <v>-0.114</v>
      </c>
      <c r="CJ182" s="230">
        <v>50225</v>
      </c>
      <c r="CK182" s="230">
        <v>62475</v>
      </c>
      <c r="CL182" s="230">
        <v>-12250</v>
      </c>
      <c r="CM182" s="229">
        <v>-0.1961</v>
      </c>
      <c r="CN182" s="230">
        <v>5924100</v>
      </c>
      <c r="CO182" s="230">
        <v>5855500</v>
      </c>
      <c r="CP182" s="230">
        <v>68600</v>
      </c>
      <c r="CQ182" s="229">
        <v>1.17E-2</v>
      </c>
      <c r="CR182" s="230">
        <v>3910200</v>
      </c>
      <c r="CS182" s="230">
        <v>3868550</v>
      </c>
      <c r="CT182" s="230">
        <v>41650</v>
      </c>
      <c r="CU182" s="229">
        <v>1.0800000000000001E-2</v>
      </c>
      <c r="CV182" s="230">
        <v>23195375</v>
      </c>
      <c r="CW182" s="230">
        <v>22613500</v>
      </c>
      <c r="CX182" s="230">
        <v>581875</v>
      </c>
      <c r="CY182" s="229">
        <v>2.5700000000000001E-2</v>
      </c>
      <c r="CZ182" s="228">
        <v>34.11</v>
      </c>
      <c r="DA182" s="228">
        <v>34.85</v>
      </c>
      <c r="DB182" s="228">
        <v>-0.74</v>
      </c>
      <c r="DC182" s="228">
        <v>-0.74</v>
      </c>
      <c r="DD182" s="228">
        <v>39.68</v>
      </c>
      <c r="DE182" s="228">
        <v>39.729999999999997</v>
      </c>
      <c r="DF182" s="228">
        <v>-5.57</v>
      </c>
      <c r="DG182" s="228">
        <v>-0.05</v>
      </c>
      <c r="DH182" s="228">
        <v>33.880000000000003</v>
      </c>
      <c r="DI182" s="228">
        <v>34.75</v>
      </c>
      <c r="DJ182" s="228">
        <v>-0.87</v>
      </c>
      <c r="DK182" s="228">
        <v>-0.87</v>
      </c>
      <c r="DL182" s="228">
        <v>35.11</v>
      </c>
      <c r="DM182" s="228">
        <v>35.049999999999997</v>
      </c>
      <c r="DN182" s="228">
        <v>0.06</v>
      </c>
      <c r="DO182" s="228">
        <v>0.06</v>
      </c>
      <c r="DP182" s="228">
        <v>0.66</v>
      </c>
      <c r="DQ182" s="228">
        <v>0.66</v>
      </c>
      <c r="DR182" s="228">
        <v>0</v>
      </c>
      <c r="DS182" s="229">
        <v>0</v>
      </c>
      <c r="DT182" s="228">
        <v>540</v>
      </c>
      <c r="DU182" s="228">
        <v>535</v>
      </c>
      <c r="DV182" s="228">
        <v>0.22</v>
      </c>
      <c r="DW182" s="228">
        <v>0.5</v>
      </c>
      <c r="DX182" s="228">
        <v>-0.28000000000000003</v>
      </c>
      <c r="DY182" s="229">
        <v>-0.56000000000000005</v>
      </c>
      <c r="DZ182" s="229">
        <v>1.9400000000000001E-2</v>
      </c>
      <c r="EA182" s="230">
        <v>298900</v>
      </c>
      <c r="EB182" s="229">
        <v>5.1000000000000004E-3</v>
      </c>
      <c r="EC182" s="229">
        <v>1.9400000000000001E-2</v>
      </c>
      <c r="ED182" s="228">
        <v>2.7</v>
      </c>
      <c r="EE182" s="229">
        <v>5.0000000000000001E-3</v>
      </c>
      <c r="EF182" s="230">
        <v>1155665</v>
      </c>
      <c r="EG182" s="230">
        <v>663554</v>
      </c>
      <c r="EH182" s="229">
        <v>0.74160000000000004</v>
      </c>
      <c r="EI182" s="229">
        <v>0.51280000000000003</v>
      </c>
      <c r="EJ182" s="231">
        <v>61191.91</v>
      </c>
      <c r="EK182" s="231">
        <v>13060.72</v>
      </c>
      <c r="EL182" s="231">
        <v>24146.95</v>
      </c>
      <c r="EM182" s="231">
        <v>2505</v>
      </c>
      <c r="EN182" s="231">
        <v>98399.58</v>
      </c>
      <c r="EO182" s="231">
        <v>45374.26</v>
      </c>
      <c r="EP182" s="231">
        <v>53025.32</v>
      </c>
      <c r="EQ182" s="229">
        <v>1.1686000000000001</v>
      </c>
      <c r="ER182" s="231">
        <v>31808</v>
      </c>
      <c r="ES182" s="231">
        <v>19471</v>
      </c>
      <c r="ET182" s="231">
        <v>72138</v>
      </c>
      <c r="EU182" s="231">
        <v>67126548</v>
      </c>
      <c r="EV182" s="231">
        <v>123417</v>
      </c>
      <c r="EW182" s="231">
        <v>119220</v>
      </c>
      <c r="EX182" s="231">
        <v>4197</v>
      </c>
      <c r="EY182" s="229">
        <v>3.5200000000000002E-2</v>
      </c>
      <c r="EZ182" s="229">
        <v>0.34549999999999997</v>
      </c>
      <c r="FA182" s="227" t="s">
        <v>555</v>
      </c>
      <c r="FB182" s="161">
        <f t="shared" si="4"/>
        <v>0</v>
      </c>
    </row>
    <row r="183" spans="1:158" ht="17.25" thickBot="1" x14ac:dyDescent="0.3">
      <c r="A183" s="226">
        <v>46064</v>
      </c>
      <c r="B183" s="227" t="s">
        <v>197</v>
      </c>
      <c r="C183" s="227" t="s">
        <v>286</v>
      </c>
      <c r="D183" s="228">
        <v>200</v>
      </c>
      <c r="E183" s="231">
        <v>2950.7</v>
      </c>
      <c r="F183" s="231">
        <v>2965.9</v>
      </c>
      <c r="G183" s="228">
        <v>-15.2</v>
      </c>
      <c r="H183" s="229">
        <v>-5.1000000000000004E-3</v>
      </c>
      <c r="I183" s="231">
        <v>2949.1</v>
      </c>
      <c r="J183" s="231">
        <v>2961.9</v>
      </c>
      <c r="K183" s="228">
        <v>-12.8</v>
      </c>
      <c r="L183" s="229">
        <v>-4.3E-3</v>
      </c>
      <c r="M183" s="231">
        <v>2950.7</v>
      </c>
      <c r="N183" s="231">
        <v>2965.9</v>
      </c>
      <c r="O183" s="228">
        <v>-15.2</v>
      </c>
      <c r="P183" s="229">
        <v>-5.1000000000000004E-3</v>
      </c>
      <c r="Q183" s="231">
        <v>2966.9</v>
      </c>
      <c r="R183" s="231">
        <v>2979.6</v>
      </c>
      <c r="S183" s="228">
        <v>-12.7</v>
      </c>
      <c r="T183" s="229">
        <v>-4.3E-3</v>
      </c>
      <c r="U183" s="231">
        <v>2991.6</v>
      </c>
      <c r="V183" s="231">
        <v>3005.7</v>
      </c>
      <c r="W183" s="228">
        <v>-14.1</v>
      </c>
      <c r="X183" s="229">
        <v>-4.7000000000000002E-3</v>
      </c>
      <c r="Y183" s="228">
        <v>1.6</v>
      </c>
      <c r="Z183" s="228">
        <v>4</v>
      </c>
      <c r="AA183" s="228">
        <v>-2.4</v>
      </c>
      <c r="AB183" s="229">
        <v>5.0000000000000001E-4</v>
      </c>
      <c r="AC183" s="228">
        <v>1.6</v>
      </c>
      <c r="AD183" s="228">
        <v>4</v>
      </c>
      <c r="AE183" s="228">
        <v>-2.4</v>
      </c>
      <c r="AF183" s="229">
        <v>5.0000000000000001E-4</v>
      </c>
      <c r="AG183" s="228">
        <v>17.8</v>
      </c>
      <c r="AH183" s="228">
        <v>17.7</v>
      </c>
      <c r="AI183" s="228">
        <v>0.1</v>
      </c>
      <c r="AJ183" s="229">
        <v>6.0000000000000001E-3</v>
      </c>
      <c r="AK183" s="228">
        <v>42.5</v>
      </c>
      <c r="AL183" s="228">
        <v>43.8</v>
      </c>
      <c r="AM183" s="228">
        <v>-1.3</v>
      </c>
      <c r="AN183" s="229">
        <v>1.44E-2</v>
      </c>
      <c r="AO183" s="231">
        <v>2946.02</v>
      </c>
      <c r="AP183" s="231">
        <v>2961.2</v>
      </c>
      <c r="AQ183" s="228">
        <v>0</v>
      </c>
      <c r="AR183" s="230">
        <v>257000</v>
      </c>
      <c r="AS183" s="230">
        <v>459600</v>
      </c>
      <c r="AT183" s="230">
        <v>-202600</v>
      </c>
      <c r="AU183" s="229">
        <v>-0.44080000000000003</v>
      </c>
      <c r="AV183" s="230">
        <v>235000</v>
      </c>
      <c r="AW183" s="230">
        <v>435200</v>
      </c>
      <c r="AX183" s="230">
        <v>-200200</v>
      </c>
      <c r="AY183" s="229">
        <v>-0.46</v>
      </c>
      <c r="AZ183" s="230">
        <v>19200</v>
      </c>
      <c r="BA183" s="230">
        <v>23200</v>
      </c>
      <c r="BB183" s="230">
        <v>-4000</v>
      </c>
      <c r="BC183" s="229">
        <v>-0.1724</v>
      </c>
      <c r="BD183" s="230">
        <v>2800</v>
      </c>
      <c r="BE183" s="230">
        <v>1200</v>
      </c>
      <c r="BF183" s="230">
        <v>1600</v>
      </c>
      <c r="BG183" s="229">
        <v>1.3332999999999999</v>
      </c>
      <c r="BH183" s="230">
        <v>820000</v>
      </c>
      <c r="BI183" s="230">
        <v>1052800</v>
      </c>
      <c r="BJ183" s="230">
        <v>-232800</v>
      </c>
      <c r="BK183" s="229">
        <v>-0.22109999999999999</v>
      </c>
      <c r="BL183" s="230">
        <v>411200</v>
      </c>
      <c r="BM183" s="230">
        <v>332400</v>
      </c>
      <c r="BN183" s="230">
        <v>78800</v>
      </c>
      <c r="BO183" s="229">
        <v>0.23710000000000001</v>
      </c>
      <c r="BP183" s="230">
        <v>1488200</v>
      </c>
      <c r="BQ183" s="230">
        <v>1844800</v>
      </c>
      <c r="BR183" s="230">
        <v>-356600</v>
      </c>
      <c r="BS183" s="229">
        <v>-0.1933</v>
      </c>
      <c r="BT183" s="230">
        <v>183409</v>
      </c>
      <c r="BU183" s="230">
        <v>227155</v>
      </c>
      <c r="BV183" s="230">
        <v>-43746</v>
      </c>
      <c r="BW183" s="229">
        <v>-0.19259999999999999</v>
      </c>
      <c r="BX183" s="230">
        <v>3717600</v>
      </c>
      <c r="BY183" s="230">
        <v>3711000</v>
      </c>
      <c r="BZ183" s="230">
        <v>6600</v>
      </c>
      <c r="CA183" s="229">
        <v>1.8E-3</v>
      </c>
      <c r="CB183" s="230">
        <v>3641200</v>
      </c>
      <c r="CC183" s="230">
        <v>3638600</v>
      </c>
      <c r="CD183" s="230">
        <v>2600</v>
      </c>
      <c r="CE183" s="229">
        <v>6.9999999999999999E-4</v>
      </c>
      <c r="CF183" s="230">
        <v>67200</v>
      </c>
      <c r="CG183" s="230">
        <v>63800</v>
      </c>
      <c r="CH183" s="230">
        <v>3400</v>
      </c>
      <c r="CI183" s="229">
        <v>5.33E-2</v>
      </c>
      <c r="CJ183" s="230">
        <v>9200</v>
      </c>
      <c r="CK183" s="230">
        <v>8600</v>
      </c>
      <c r="CL183" s="228">
        <v>600</v>
      </c>
      <c r="CM183" s="229">
        <v>6.9800000000000001E-2</v>
      </c>
      <c r="CN183" s="230">
        <v>1303800</v>
      </c>
      <c r="CO183" s="230">
        <v>1230400</v>
      </c>
      <c r="CP183" s="230">
        <v>73400</v>
      </c>
      <c r="CQ183" s="229">
        <v>5.9700000000000003E-2</v>
      </c>
      <c r="CR183" s="230">
        <v>792400</v>
      </c>
      <c r="CS183" s="230">
        <v>786600</v>
      </c>
      <c r="CT183" s="230">
        <v>5800</v>
      </c>
      <c r="CU183" s="229">
        <v>7.4000000000000003E-3</v>
      </c>
      <c r="CV183" s="230">
        <v>5813800</v>
      </c>
      <c r="CW183" s="230">
        <v>5728000</v>
      </c>
      <c r="CX183" s="230">
        <v>85800</v>
      </c>
      <c r="CY183" s="229">
        <v>1.4999999999999999E-2</v>
      </c>
      <c r="CZ183" s="228">
        <v>25.43</v>
      </c>
      <c r="DA183" s="228">
        <v>25.34</v>
      </c>
      <c r="DB183" s="228">
        <v>0.09</v>
      </c>
      <c r="DC183" s="228">
        <v>0.09</v>
      </c>
      <c r="DD183" s="228">
        <v>32.590000000000003</v>
      </c>
      <c r="DE183" s="228">
        <v>32.659999999999997</v>
      </c>
      <c r="DF183" s="228">
        <v>-7.16</v>
      </c>
      <c r="DG183" s="228">
        <v>-7.0000000000000007E-2</v>
      </c>
      <c r="DH183" s="228">
        <v>24.71</v>
      </c>
      <c r="DI183" s="228">
        <v>25.12</v>
      </c>
      <c r="DJ183" s="228">
        <v>-0.41</v>
      </c>
      <c r="DK183" s="228">
        <v>-0.41</v>
      </c>
      <c r="DL183" s="228">
        <v>26.87</v>
      </c>
      <c r="DM183" s="228">
        <v>26.03</v>
      </c>
      <c r="DN183" s="228">
        <v>0.84</v>
      </c>
      <c r="DO183" s="228">
        <v>0.84</v>
      </c>
      <c r="DP183" s="228">
        <v>0.61</v>
      </c>
      <c r="DQ183" s="228">
        <v>0.64</v>
      </c>
      <c r="DR183" s="228">
        <v>-0.03</v>
      </c>
      <c r="DS183" s="229">
        <v>-4.6899999999999997E-2</v>
      </c>
      <c r="DT183" s="231">
        <v>3000</v>
      </c>
      <c r="DU183" s="231">
        <v>2800</v>
      </c>
      <c r="DV183" s="228">
        <v>0.5</v>
      </c>
      <c r="DW183" s="228">
        <v>0.32</v>
      </c>
      <c r="DX183" s="228">
        <v>0.18</v>
      </c>
      <c r="DY183" s="229">
        <v>0.5625</v>
      </c>
      <c r="DZ183" s="229">
        <v>2.06E-2</v>
      </c>
      <c r="EA183" s="230">
        <v>72400</v>
      </c>
      <c r="EB183" s="229">
        <v>5.4999999999999997E-3</v>
      </c>
      <c r="EC183" s="229">
        <v>2.06E-2</v>
      </c>
      <c r="ED183" s="228">
        <v>15.18</v>
      </c>
      <c r="EE183" s="229">
        <v>5.1999999999999998E-3</v>
      </c>
      <c r="EF183" s="230">
        <v>112090</v>
      </c>
      <c r="EG183" s="230">
        <v>122302</v>
      </c>
      <c r="EH183" s="229">
        <v>-8.3500000000000005E-2</v>
      </c>
      <c r="EI183" s="229">
        <v>0.61109999999999998</v>
      </c>
      <c r="EJ183" s="231">
        <v>25052.18</v>
      </c>
      <c r="EK183" s="231">
        <v>11745.04</v>
      </c>
      <c r="EL183" s="231">
        <v>7575.12</v>
      </c>
      <c r="EM183" s="231">
        <v>2259</v>
      </c>
      <c r="EN183" s="231">
        <v>44372.34</v>
      </c>
      <c r="EO183" s="231">
        <v>55756.22</v>
      </c>
      <c r="EP183" s="231">
        <v>-11383.88</v>
      </c>
      <c r="EQ183" s="229">
        <v>-0.20419999999999999</v>
      </c>
      <c r="ER183" s="231">
        <v>39210</v>
      </c>
      <c r="ES183" s="231">
        <v>22269</v>
      </c>
      <c r="ET183" s="231">
        <v>109710</v>
      </c>
      <c r="EU183" s="231">
        <v>18529108</v>
      </c>
      <c r="EV183" s="231">
        <v>171189</v>
      </c>
      <c r="EW183" s="231">
        <v>169166</v>
      </c>
      <c r="EX183" s="231">
        <v>2023</v>
      </c>
      <c r="EY183" s="229">
        <v>1.2E-2</v>
      </c>
      <c r="EZ183" s="229">
        <v>0.31380000000000002</v>
      </c>
      <c r="FA183" s="227" t="s">
        <v>567</v>
      </c>
      <c r="FB183" s="161">
        <f t="shared" si="4"/>
        <v>0</v>
      </c>
    </row>
    <row r="184" spans="1:158" ht="17.25" thickBot="1" x14ac:dyDescent="0.3">
      <c r="A184" s="226">
        <v>46064</v>
      </c>
      <c r="B184" s="227" t="s">
        <v>170</v>
      </c>
      <c r="C184" s="227" t="s">
        <v>288</v>
      </c>
      <c r="D184" s="228">
        <v>350</v>
      </c>
      <c r="E184" s="231">
        <v>1712</v>
      </c>
      <c r="F184" s="231">
        <v>1708.9</v>
      </c>
      <c r="G184" s="228">
        <v>3.1</v>
      </c>
      <c r="H184" s="229">
        <v>1.8E-3</v>
      </c>
      <c r="I184" s="231">
        <v>1711.1</v>
      </c>
      <c r="J184" s="231">
        <v>1707.8</v>
      </c>
      <c r="K184" s="228">
        <v>3.3</v>
      </c>
      <c r="L184" s="229">
        <v>1.9E-3</v>
      </c>
      <c r="M184" s="231">
        <v>1712</v>
      </c>
      <c r="N184" s="231">
        <v>1708.9</v>
      </c>
      <c r="O184" s="228">
        <v>3.1</v>
      </c>
      <c r="P184" s="229">
        <v>1.8E-3</v>
      </c>
      <c r="Q184" s="231">
        <v>1722.4</v>
      </c>
      <c r="R184" s="231">
        <v>1719.3</v>
      </c>
      <c r="S184" s="228">
        <v>3.1</v>
      </c>
      <c r="T184" s="229">
        <v>1.8E-3</v>
      </c>
      <c r="U184" s="231">
        <v>1732.2</v>
      </c>
      <c r="V184" s="231">
        <v>1729.6</v>
      </c>
      <c r="W184" s="228">
        <v>2.6</v>
      </c>
      <c r="X184" s="229">
        <v>1.5E-3</v>
      </c>
      <c r="Y184" s="228">
        <v>0.9</v>
      </c>
      <c r="Z184" s="228">
        <v>1.1000000000000001</v>
      </c>
      <c r="AA184" s="228">
        <v>-0.2</v>
      </c>
      <c r="AB184" s="229">
        <v>5.0000000000000001E-4</v>
      </c>
      <c r="AC184" s="228">
        <v>0.9</v>
      </c>
      <c r="AD184" s="228">
        <v>1.1000000000000001</v>
      </c>
      <c r="AE184" s="228">
        <v>-0.2</v>
      </c>
      <c r="AF184" s="229">
        <v>5.0000000000000001E-4</v>
      </c>
      <c r="AG184" s="228">
        <v>11.3</v>
      </c>
      <c r="AH184" s="228">
        <v>11.5</v>
      </c>
      <c r="AI184" s="228">
        <v>-0.2</v>
      </c>
      <c r="AJ184" s="229">
        <v>6.6E-3</v>
      </c>
      <c r="AK184" s="228">
        <v>21.1</v>
      </c>
      <c r="AL184" s="228">
        <v>21.8</v>
      </c>
      <c r="AM184" s="228">
        <v>-0.7</v>
      </c>
      <c r="AN184" s="229">
        <v>1.23E-2</v>
      </c>
      <c r="AO184" s="231">
        <v>1711.53</v>
      </c>
      <c r="AP184" s="231">
        <v>1722.97</v>
      </c>
      <c r="AQ184" s="228">
        <v>0</v>
      </c>
      <c r="AR184" s="230">
        <v>955850</v>
      </c>
      <c r="AS184" s="230">
        <v>1712550</v>
      </c>
      <c r="AT184" s="230">
        <v>-756700</v>
      </c>
      <c r="AU184" s="229">
        <v>-0.44190000000000002</v>
      </c>
      <c r="AV184" s="230">
        <v>907900</v>
      </c>
      <c r="AW184" s="230">
        <v>1627850</v>
      </c>
      <c r="AX184" s="230">
        <v>-719950</v>
      </c>
      <c r="AY184" s="229">
        <v>-0.44230000000000003</v>
      </c>
      <c r="AZ184" s="230">
        <v>44100</v>
      </c>
      <c r="BA184" s="230">
        <v>78400</v>
      </c>
      <c r="BB184" s="230">
        <v>-34300</v>
      </c>
      <c r="BC184" s="229">
        <v>-0.4375</v>
      </c>
      <c r="BD184" s="230">
        <v>3850</v>
      </c>
      <c r="BE184" s="230">
        <v>6300</v>
      </c>
      <c r="BF184" s="230">
        <v>-2450</v>
      </c>
      <c r="BG184" s="229">
        <v>-0.38890000000000002</v>
      </c>
      <c r="BH184" s="230">
        <v>6452250</v>
      </c>
      <c r="BI184" s="230">
        <v>10530800</v>
      </c>
      <c r="BJ184" s="230">
        <v>-4078550</v>
      </c>
      <c r="BK184" s="229">
        <v>-0.38729999999999998</v>
      </c>
      <c r="BL184" s="230">
        <v>4104800</v>
      </c>
      <c r="BM184" s="230">
        <v>5400150</v>
      </c>
      <c r="BN184" s="230">
        <v>-1295350</v>
      </c>
      <c r="BO184" s="229">
        <v>-0.2399</v>
      </c>
      <c r="BP184" s="230">
        <v>11512900</v>
      </c>
      <c r="BQ184" s="230">
        <v>17643500</v>
      </c>
      <c r="BR184" s="230">
        <v>-6130600</v>
      </c>
      <c r="BS184" s="229">
        <v>-0.34749999999999998</v>
      </c>
      <c r="BT184" s="230">
        <v>1192686</v>
      </c>
      <c r="BU184" s="230">
        <v>1938210</v>
      </c>
      <c r="BV184" s="230">
        <v>-745524</v>
      </c>
      <c r="BW184" s="229">
        <v>-0.3846</v>
      </c>
      <c r="BX184" s="230">
        <v>22634850</v>
      </c>
      <c r="BY184" s="230">
        <v>22732150</v>
      </c>
      <c r="BZ184" s="230">
        <v>-97300</v>
      </c>
      <c r="CA184" s="229">
        <v>-4.3E-3</v>
      </c>
      <c r="CB184" s="230">
        <v>22212050</v>
      </c>
      <c r="CC184" s="230">
        <v>22311450</v>
      </c>
      <c r="CD184" s="230">
        <v>-99400</v>
      </c>
      <c r="CE184" s="229">
        <v>-4.4999999999999997E-3</v>
      </c>
      <c r="CF184" s="230">
        <v>367500</v>
      </c>
      <c r="CG184" s="230">
        <v>367150</v>
      </c>
      <c r="CH184" s="228">
        <v>350</v>
      </c>
      <c r="CI184" s="229">
        <v>1E-3</v>
      </c>
      <c r="CJ184" s="230">
        <v>55300</v>
      </c>
      <c r="CK184" s="230">
        <v>53550</v>
      </c>
      <c r="CL184" s="230">
        <v>1750</v>
      </c>
      <c r="CM184" s="229">
        <v>3.27E-2</v>
      </c>
      <c r="CN184" s="230">
        <v>14551250</v>
      </c>
      <c r="CO184" s="230">
        <v>14543550</v>
      </c>
      <c r="CP184" s="230">
        <v>7700</v>
      </c>
      <c r="CQ184" s="229">
        <v>5.0000000000000001E-4</v>
      </c>
      <c r="CR184" s="230">
        <v>8441300</v>
      </c>
      <c r="CS184" s="230">
        <v>8536150</v>
      </c>
      <c r="CT184" s="230">
        <v>-94850</v>
      </c>
      <c r="CU184" s="229">
        <v>-1.11E-2</v>
      </c>
      <c r="CV184" s="230">
        <v>45627400</v>
      </c>
      <c r="CW184" s="230">
        <v>45811850</v>
      </c>
      <c r="CX184" s="230">
        <v>-184450</v>
      </c>
      <c r="CY184" s="229">
        <v>-4.0000000000000001E-3</v>
      </c>
      <c r="CZ184" s="228">
        <v>17.02</v>
      </c>
      <c r="DA184" s="228">
        <v>16.07</v>
      </c>
      <c r="DB184" s="228">
        <v>0.95</v>
      </c>
      <c r="DC184" s="228">
        <v>0.95</v>
      </c>
      <c r="DD184" s="228">
        <v>23.25</v>
      </c>
      <c r="DE184" s="228">
        <v>23.3</v>
      </c>
      <c r="DF184" s="228">
        <v>-6.23</v>
      </c>
      <c r="DG184" s="228">
        <v>-0.05</v>
      </c>
      <c r="DH184" s="228">
        <v>15.26</v>
      </c>
      <c r="DI184" s="228">
        <v>15.17</v>
      </c>
      <c r="DJ184" s="228">
        <v>0.09</v>
      </c>
      <c r="DK184" s="228">
        <v>0.09</v>
      </c>
      <c r="DL184" s="228">
        <v>19.78</v>
      </c>
      <c r="DM184" s="228">
        <v>17.829999999999998</v>
      </c>
      <c r="DN184" s="228">
        <v>1.95</v>
      </c>
      <c r="DO184" s="228">
        <v>1.95</v>
      </c>
      <c r="DP184" s="228">
        <v>0.57999999999999996</v>
      </c>
      <c r="DQ184" s="228">
        <v>0.59</v>
      </c>
      <c r="DR184" s="228">
        <v>-0.01</v>
      </c>
      <c r="DS184" s="229">
        <v>-1.6899999999999998E-2</v>
      </c>
      <c r="DT184" s="231">
        <v>1720</v>
      </c>
      <c r="DU184" s="231">
        <v>1700</v>
      </c>
      <c r="DV184" s="228">
        <v>0.64</v>
      </c>
      <c r="DW184" s="228">
        <v>0.51</v>
      </c>
      <c r="DX184" s="228">
        <v>0.13</v>
      </c>
      <c r="DY184" s="229">
        <v>0.25490000000000002</v>
      </c>
      <c r="DZ184" s="229">
        <v>1.8700000000000001E-2</v>
      </c>
      <c r="EA184" s="230">
        <v>420700</v>
      </c>
      <c r="EB184" s="229">
        <v>6.1000000000000004E-3</v>
      </c>
      <c r="EC184" s="229">
        <v>1.8700000000000001E-2</v>
      </c>
      <c r="ED184" s="228">
        <v>11.44</v>
      </c>
      <c r="EE184" s="229">
        <v>6.7000000000000002E-3</v>
      </c>
      <c r="EF184" s="230">
        <v>893875</v>
      </c>
      <c r="EG184" s="230">
        <v>1428223</v>
      </c>
      <c r="EH184" s="229">
        <v>-0.37409999999999999</v>
      </c>
      <c r="EI184" s="229">
        <v>0.74950000000000006</v>
      </c>
      <c r="EJ184" s="231">
        <v>112579.07</v>
      </c>
      <c r="EK184" s="231">
        <v>68095.42</v>
      </c>
      <c r="EL184" s="231">
        <v>16365.5</v>
      </c>
      <c r="EM184" s="231">
        <v>5608</v>
      </c>
      <c r="EN184" s="231">
        <v>197039.99</v>
      </c>
      <c r="EO184" s="231">
        <v>303771.57</v>
      </c>
      <c r="EP184" s="231">
        <v>-106731.58</v>
      </c>
      <c r="EQ184" s="229">
        <v>-0.35139999999999999</v>
      </c>
      <c r="ER184" s="231">
        <v>247607</v>
      </c>
      <c r="ES184" s="231">
        <v>137352</v>
      </c>
      <c r="ET184" s="231">
        <v>387558</v>
      </c>
      <c r="EU184" s="231">
        <v>109220043</v>
      </c>
      <c r="EV184" s="231">
        <v>772516</v>
      </c>
      <c r="EW184" s="231">
        <v>774885</v>
      </c>
      <c r="EX184" s="231">
        <v>-2369</v>
      </c>
      <c r="EY184" s="229">
        <v>-3.0999999999999999E-3</v>
      </c>
      <c r="EZ184" s="229">
        <v>0.4178</v>
      </c>
      <c r="FA184" s="227" t="s">
        <v>556</v>
      </c>
      <c r="FB184" s="161">
        <f t="shared" si="4"/>
        <v>0</v>
      </c>
    </row>
    <row r="185" spans="1:158" ht="17.25" thickBot="1" x14ac:dyDescent="0.3">
      <c r="A185" s="226">
        <v>46064</v>
      </c>
      <c r="B185" s="227" t="s">
        <v>184</v>
      </c>
      <c r="C185" s="227" t="s">
        <v>574</v>
      </c>
      <c r="D185" s="228">
        <v>175</v>
      </c>
      <c r="E185" s="231">
        <v>3850.8</v>
      </c>
      <c r="F185" s="231">
        <v>3698.3</v>
      </c>
      <c r="G185" s="228">
        <v>152.5</v>
      </c>
      <c r="H185" s="229">
        <v>4.1200000000000001E-2</v>
      </c>
      <c r="I185" s="231">
        <v>3849.4</v>
      </c>
      <c r="J185" s="231">
        <v>3690.7</v>
      </c>
      <c r="K185" s="228">
        <v>158.69999999999999</v>
      </c>
      <c r="L185" s="229">
        <v>4.2999999999999997E-2</v>
      </c>
      <c r="M185" s="231">
        <v>3850.8</v>
      </c>
      <c r="N185" s="231">
        <v>3698.3</v>
      </c>
      <c r="O185" s="228">
        <v>152.5</v>
      </c>
      <c r="P185" s="229">
        <v>4.1200000000000001E-2</v>
      </c>
      <c r="Q185" s="231">
        <v>3856.2</v>
      </c>
      <c r="R185" s="231">
        <v>3705.4</v>
      </c>
      <c r="S185" s="228">
        <v>150.80000000000001</v>
      </c>
      <c r="T185" s="229">
        <v>4.07E-2</v>
      </c>
      <c r="U185" s="231">
        <v>3870</v>
      </c>
      <c r="V185" s="231">
        <v>3770</v>
      </c>
      <c r="W185" s="228">
        <v>100</v>
      </c>
      <c r="X185" s="229">
        <v>2.6499999999999999E-2</v>
      </c>
      <c r="Y185" s="228">
        <v>1.4</v>
      </c>
      <c r="Z185" s="228">
        <v>7.6</v>
      </c>
      <c r="AA185" s="228">
        <v>-6.2</v>
      </c>
      <c r="AB185" s="229">
        <v>4.0000000000000002E-4</v>
      </c>
      <c r="AC185" s="228">
        <v>1.4</v>
      </c>
      <c r="AD185" s="228">
        <v>7.6</v>
      </c>
      <c r="AE185" s="228">
        <v>-6.2</v>
      </c>
      <c r="AF185" s="229">
        <v>4.0000000000000002E-4</v>
      </c>
      <c r="AG185" s="228">
        <v>6.8</v>
      </c>
      <c r="AH185" s="228">
        <v>14.7</v>
      </c>
      <c r="AI185" s="228">
        <v>-7.9</v>
      </c>
      <c r="AJ185" s="229">
        <v>1.8E-3</v>
      </c>
      <c r="AK185" s="228">
        <v>20.6</v>
      </c>
      <c r="AL185" s="228">
        <v>79.3</v>
      </c>
      <c r="AM185" s="228">
        <v>-58.7</v>
      </c>
      <c r="AN185" s="229">
        <v>5.4000000000000003E-3</v>
      </c>
      <c r="AO185" s="231">
        <v>3804.92</v>
      </c>
      <c r="AP185" s="231">
        <v>3799.93</v>
      </c>
      <c r="AQ185" s="228">
        <v>0</v>
      </c>
      <c r="AR185" s="230">
        <v>631050</v>
      </c>
      <c r="AS185" s="230">
        <v>536550</v>
      </c>
      <c r="AT185" s="230">
        <v>94500</v>
      </c>
      <c r="AU185" s="229">
        <v>0.17610000000000001</v>
      </c>
      <c r="AV185" s="230">
        <v>562275</v>
      </c>
      <c r="AW185" s="230">
        <v>483000</v>
      </c>
      <c r="AX185" s="230">
        <v>79275</v>
      </c>
      <c r="AY185" s="229">
        <v>0.1641</v>
      </c>
      <c r="AZ185" s="230">
        <v>66675</v>
      </c>
      <c r="BA185" s="230">
        <v>52500</v>
      </c>
      <c r="BB185" s="230">
        <v>14175</v>
      </c>
      <c r="BC185" s="229">
        <v>0.27</v>
      </c>
      <c r="BD185" s="230">
        <v>2100</v>
      </c>
      <c r="BE185" s="230">
        <v>1050</v>
      </c>
      <c r="BF185" s="230">
        <v>1050</v>
      </c>
      <c r="BG185" s="229">
        <v>1</v>
      </c>
      <c r="BH185" s="230">
        <v>4778550</v>
      </c>
      <c r="BI185" s="230">
        <v>3604650</v>
      </c>
      <c r="BJ185" s="230">
        <v>1173900</v>
      </c>
      <c r="BK185" s="229">
        <v>0.32569999999999999</v>
      </c>
      <c r="BL185" s="230">
        <v>986825</v>
      </c>
      <c r="BM185" s="230">
        <v>760375</v>
      </c>
      <c r="BN185" s="230">
        <v>226450</v>
      </c>
      <c r="BO185" s="229">
        <v>0.29780000000000001</v>
      </c>
      <c r="BP185" s="230">
        <v>6396425</v>
      </c>
      <c r="BQ185" s="230">
        <v>4901575</v>
      </c>
      <c r="BR185" s="230">
        <v>1494850</v>
      </c>
      <c r="BS185" s="229">
        <v>0.30499999999999999</v>
      </c>
      <c r="BT185" s="230">
        <v>606006</v>
      </c>
      <c r="BU185" s="230">
        <v>449201</v>
      </c>
      <c r="BV185" s="230">
        <v>156805</v>
      </c>
      <c r="BW185" s="229">
        <v>0.34910000000000002</v>
      </c>
      <c r="BX185" s="230">
        <v>1732500</v>
      </c>
      <c r="BY185" s="230">
        <v>1821050</v>
      </c>
      <c r="BZ185" s="230">
        <v>-88550</v>
      </c>
      <c r="CA185" s="229">
        <v>-4.8599999999999997E-2</v>
      </c>
      <c r="CB185" s="230">
        <v>1668975</v>
      </c>
      <c r="CC185" s="230">
        <v>1759450</v>
      </c>
      <c r="CD185" s="230">
        <v>-90475</v>
      </c>
      <c r="CE185" s="229">
        <v>-5.1400000000000001E-2</v>
      </c>
      <c r="CF185" s="230">
        <v>61250</v>
      </c>
      <c r="CG185" s="230">
        <v>59675</v>
      </c>
      <c r="CH185" s="230">
        <v>1575</v>
      </c>
      <c r="CI185" s="229">
        <v>2.64E-2</v>
      </c>
      <c r="CJ185" s="230">
        <v>2275</v>
      </c>
      <c r="CK185" s="230">
        <v>1925</v>
      </c>
      <c r="CL185" s="228">
        <v>350</v>
      </c>
      <c r="CM185" s="229">
        <v>0.18179999999999999</v>
      </c>
      <c r="CN185" s="230">
        <v>739550</v>
      </c>
      <c r="CO185" s="230">
        <v>810250</v>
      </c>
      <c r="CP185" s="230">
        <v>-70700</v>
      </c>
      <c r="CQ185" s="229">
        <v>-8.7300000000000003E-2</v>
      </c>
      <c r="CR185" s="230">
        <v>525700</v>
      </c>
      <c r="CS185" s="230">
        <v>437325</v>
      </c>
      <c r="CT185" s="230">
        <v>88375</v>
      </c>
      <c r="CU185" s="229">
        <v>0.2021</v>
      </c>
      <c r="CV185" s="230">
        <v>2997750</v>
      </c>
      <c r="CW185" s="230">
        <v>3068625</v>
      </c>
      <c r="CX185" s="230">
        <v>-70875</v>
      </c>
      <c r="CY185" s="229">
        <v>-2.3099999999999999E-2</v>
      </c>
      <c r="CZ185" s="228">
        <v>30.88</v>
      </c>
      <c r="DA185" s="228">
        <v>30.07</v>
      </c>
      <c r="DB185" s="228">
        <v>0.81</v>
      </c>
      <c r="DC185" s="228">
        <v>0.81</v>
      </c>
      <c r="DD185" s="228">
        <v>38.700000000000003</v>
      </c>
      <c r="DE185" s="228">
        <v>38.369999999999997</v>
      </c>
      <c r="DF185" s="228">
        <v>-7.82</v>
      </c>
      <c r="DG185" s="228">
        <v>0.33</v>
      </c>
      <c r="DH185" s="228">
        <v>30.67</v>
      </c>
      <c r="DI185" s="228">
        <v>30.13</v>
      </c>
      <c r="DJ185" s="228">
        <v>0.54</v>
      </c>
      <c r="DK185" s="228">
        <v>0.54</v>
      </c>
      <c r="DL185" s="228">
        <v>31.88</v>
      </c>
      <c r="DM185" s="228">
        <v>29.78</v>
      </c>
      <c r="DN185" s="228">
        <v>2.1</v>
      </c>
      <c r="DO185" s="228">
        <v>2.1</v>
      </c>
      <c r="DP185" s="228">
        <v>0.71</v>
      </c>
      <c r="DQ185" s="228">
        <v>0.54</v>
      </c>
      <c r="DR185" s="228">
        <v>0.17</v>
      </c>
      <c r="DS185" s="229">
        <v>0.31480000000000002</v>
      </c>
      <c r="DT185" s="231">
        <v>4000</v>
      </c>
      <c r="DU185" s="231">
        <v>3600</v>
      </c>
      <c r="DV185" s="228">
        <v>0.21</v>
      </c>
      <c r="DW185" s="228">
        <v>0.21</v>
      </c>
      <c r="DX185" s="228">
        <v>0</v>
      </c>
      <c r="DY185" s="229">
        <v>0</v>
      </c>
      <c r="DZ185" s="229">
        <v>3.6700000000000003E-2</v>
      </c>
      <c r="EA185" s="230">
        <v>61600</v>
      </c>
      <c r="EB185" s="229">
        <v>1.4E-3</v>
      </c>
      <c r="EC185" s="229">
        <v>3.6700000000000003E-2</v>
      </c>
      <c r="ED185" s="228">
        <v>-4.99</v>
      </c>
      <c r="EE185" s="229">
        <v>-1.2999999999999999E-3</v>
      </c>
      <c r="EF185" s="230">
        <v>322806</v>
      </c>
      <c r="EG185" s="230">
        <v>225530</v>
      </c>
      <c r="EH185" s="229">
        <v>0.43130000000000002</v>
      </c>
      <c r="EI185" s="229">
        <v>0.53269999999999995</v>
      </c>
      <c r="EJ185" s="231">
        <v>189627.73</v>
      </c>
      <c r="EK185" s="231">
        <v>36415.11</v>
      </c>
      <c r="EL185" s="231">
        <v>24008.61</v>
      </c>
      <c r="EM185" s="231">
        <v>2125</v>
      </c>
      <c r="EN185" s="231">
        <v>250051.45</v>
      </c>
      <c r="EO185" s="231">
        <v>189695.85</v>
      </c>
      <c r="EP185" s="231">
        <v>60355.6</v>
      </c>
      <c r="EQ185" s="229">
        <v>0.31819999999999998</v>
      </c>
      <c r="ER185" s="231">
        <v>28689</v>
      </c>
      <c r="ES185" s="231">
        <v>18623</v>
      </c>
      <c r="ET185" s="231">
        <v>66719</v>
      </c>
      <c r="EU185" s="231">
        <v>9736357</v>
      </c>
      <c r="EV185" s="231">
        <v>114031</v>
      </c>
      <c r="EW185" s="231">
        <v>113587</v>
      </c>
      <c r="EX185" s="228">
        <v>444</v>
      </c>
      <c r="EY185" s="229">
        <v>3.8999999999999998E-3</v>
      </c>
      <c r="EZ185" s="229">
        <v>0.30790000000000001</v>
      </c>
      <c r="FA185" s="227" t="s">
        <v>556</v>
      </c>
      <c r="FB185" s="161">
        <f t="shared" si="4"/>
        <v>0</v>
      </c>
    </row>
    <row r="186" spans="1:158" ht="17.25" thickBot="1" x14ac:dyDescent="0.3">
      <c r="A186" s="226">
        <v>46064</v>
      </c>
      <c r="B186" s="227" t="s">
        <v>161</v>
      </c>
      <c r="C186" s="227" t="s">
        <v>683</v>
      </c>
      <c r="D186" s="228">
        <v>9025</v>
      </c>
      <c r="E186" s="228">
        <v>47.44</v>
      </c>
      <c r="F186" s="228">
        <v>47.81</v>
      </c>
      <c r="G186" s="228">
        <v>-0.37</v>
      </c>
      <c r="H186" s="229">
        <v>-7.7000000000000002E-3</v>
      </c>
      <c r="I186" s="228">
        <v>47.38</v>
      </c>
      <c r="J186" s="228">
        <v>47.69</v>
      </c>
      <c r="K186" s="228">
        <v>-0.31</v>
      </c>
      <c r="L186" s="229">
        <v>-6.4999999999999997E-3</v>
      </c>
      <c r="M186" s="228">
        <v>47.44</v>
      </c>
      <c r="N186" s="228">
        <v>47.81</v>
      </c>
      <c r="O186" s="228">
        <v>-0.37</v>
      </c>
      <c r="P186" s="229">
        <v>-7.7000000000000002E-3</v>
      </c>
      <c r="Q186" s="228">
        <v>47.72</v>
      </c>
      <c r="R186" s="228">
        <v>48.09</v>
      </c>
      <c r="S186" s="228">
        <v>-0.37</v>
      </c>
      <c r="T186" s="229">
        <v>-7.7000000000000002E-3</v>
      </c>
      <c r="U186" s="228">
        <v>48.07</v>
      </c>
      <c r="V186" s="228">
        <v>48.41</v>
      </c>
      <c r="W186" s="228">
        <v>-0.34</v>
      </c>
      <c r="X186" s="229">
        <v>-7.0000000000000001E-3</v>
      </c>
      <c r="Y186" s="228">
        <v>0.06</v>
      </c>
      <c r="Z186" s="228">
        <v>0.12</v>
      </c>
      <c r="AA186" s="228">
        <v>-0.06</v>
      </c>
      <c r="AB186" s="229">
        <v>1.2999999999999999E-3</v>
      </c>
      <c r="AC186" s="228">
        <v>0.06</v>
      </c>
      <c r="AD186" s="228">
        <v>0.12</v>
      </c>
      <c r="AE186" s="228">
        <v>-0.06</v>
      </c>
      <c r="AF186" s="229">
        <v>1.2999999999999999E-3</v>
      </c>
      <c r="AG186" s="228">
        <v>0.34</v>
      </c>
      <c r="AH186" s="228">
        <v>0.4</v>
      </c>
      <c r="AI186" s="228">
        <v>-0.06</v>
      </c>
      <c r="AJ186" s="229">
        <v>7.1999999999999998E-3</v>
      </c>
      <c r="AK186" s="228">
        <v>0.69</v>
      </c>
      <c r="AL186" s="228">
        <v>0.72</v>
      </c>
      <c r="AM186" s="228">
        <v>-0.03</v>
      </c>
      <c r="AN186" s="229">
        <v>1.46E-2</v>
      </c>
      <c r="AO186" s="228">
        <v>47.14</v>
      </c>
      <c r="AP186" s="228">
        <v>47.37</v>
      </c>
      <c r="AQ186" s="228">
        <v>0</v>
      </c>
      <c r="AR186" s="230">
        <v>47336125</v>
      </c>
      <c r="AS186" s="230">
        <v>32589275</v>
      </c>
      <c r="AT186" s="230">
        <v>14746850</v>
      </c>
      <c r="AU186" s="229">
        <v>0.45250000000000001</v>
      </c>
      <c r="AV186" s="230">
        <v>38807500</v>
      </c>
      <c r="AW186" s="230">
        <v>26677900</v>
      </c>
      <c r="AX186" s="230">
        <v>12129600</v>
      </c>
      <c r="AY186" s="229">
        <v>0.45469999999999999</v>
      </c>
      <c r="AZ186" s="230">
        <v>7562950</v>
      </c>
      <c r="BA186" s="230">
        <v>4936675</v>
      </c>
      <c r="BB186" s="230">
        <v>2626275</v>
      </c>
      <c r="BC186" s="229">
        <v>0.53200000000000003</v>
      </c>
      <c r="BD186" s="230">
        <v>965675</v>
      </c>
      <c r="BE186" s="230">
        <v>974700</v>
      </c>
      <c r="BF186" s="230">
        <v>-9025</v>
      </c>
      <c r="BG186" s="229">
        <v>-9.2999999999999992E-3</v>
      </c>
      <c r="BH186" s="230">
        <v>155915900</v>
      </c>
      <c r="BI186" s="230">
        <v>136800950</v>
      </c>
      <c r="BJ186" s="230">
        <v>19114950</v>
      </c>
      <c r="BK186" s="229">
        <v>0.13969999999999999</v>
      </c>
      <c r="BL186" s="230">
        <v>38175750</v>
      </c>
      <c r="BM186" s="230">
        <v>25549775</v>
      </c>
      <c r="BN186" s="230">
        <v>12625975</v>
      </c>
      <c r="BO186" s="229">
        <v>0.49419999999999997</v>
      </c>
      <c r="BP186" s="230">
        <v>241427775</v>
      </c>
      <c r="BQ186" s="230">
        <v>194940000</v>
      </c>
      <c r="BR186" s="230">
        <v>46487775</v>
      </c>
      <c r="BS186" s="229">
        <v>0.23849999999999999</v>
      </c>
      <c r="BT186" s="230">
        <v>64589818</v>
      </c>
      <c r="BU186" s="230">
        <v>46521477</v>
      </c>
      <c r="BV186" s="230">
        <v>18068341</v>
      </c>
      <c r="BW186" s="229">
        <v>0.38840000000000002</v>
      </c>
      <c r="BX186" s="230">
        <v>333744500</v>
      </c>
      <c r="BY186" s="230">
        <v>331921450</v>
      </c>
      <c r="BZ186" s="230">
        <v>1823050</v>
      </c>
      <c r="CA186" s="229">
        <v>5.4999999999999997E-3</v>
      </c>
      <c r="CB186" s="230">
        <v>299106550</v>
      </c>
      <c r="CC186" s="230">
        <v>301425975</v>
      </c>
      <c r="CD186" s="230">
        <v>-2319425</v>
      </c>
      <c r="CE186" s="229">
        <v>-7.7000000000000002E-3</v>
      </c>
      <c r="CF186" s="230">
        <v>30802325</v>
      </c>
      <c r="CG186" s="230">
        <v>27174275</v>
      </c>
      <c r="CH186" s="230">
        <v>3628050</v>
      </c>
      <c r="CI186" s="229">
        <v>0.13350000000000001</v>
      </c>
      <c r="CJ186" s="230">
        <v>3835625</v>
      </c>
      <c r="CK186" s="230">
        <v>3321200</v>
      </c>
      <c r="CL186" s="230">
        <v>514425</v>
      </c>
      <c r="CM186" s="229">
        <v>0.15490000000000001</v>
      </c>
      <c r="CN186" s="230">
        <v>228332500</v>
      </c>
      <c r="CO186" s="230">
        <v>221599850</v>
      </c>
      <c r="CP186" s="230">
        <v>6732650</v>
      </c>
      <c r="CQ186" s="229">
        <v>3.04E-2</v>
      </c>
      <c r="CR186" s="230">
        <v>70936500</v>
      </c>
      <c r="CS186" s="230">
        <v>69465425</v>
      </c>
      <c r="CT186" s="230">
        <v>1471075</v>
      </c>
      <c r="CU186" s="229">
        <v>2.12E-2</v>
      </c>
      <c r="CV186" s="230">
        <v>633013500</v>
      </c>
      <c r="CW186" s="230">
        <v>622986725</v>
      </c>
      <c r="CX186" s="230">
        <v>10026775</v>
      </c>
      <c r="CY186" s="229">
        <v>1.61E-2</v>
      </c>
      <c r="CZ186" s="228">
        <v>35.93</v>
      </c>
      <c r="DA186" s="228">
        <v>38.770000000000003</v>
      </c>
      <c r="DB186" s="228">
        <v>-2.84</v>
      </c>
      <c r="DC186" s="228">
        <v>-2.84</v>
      </c>
      <c r="DD186" s="228">
        <v>46.32</v>
      </c>
      <c r="DE186" s="228">
        <v>46.42</v>
      </c>
      <c r="DF186" s="228">
        <v>-10.39</v>
      </c>
      <c r="DG186" s="228">
        <v>-0.1</v>
      </c>
      <c r="DH186" s="228">
        <v>36.159999999999997</v>
      </c>
      <c r="DI186" s="228">
        <v>39.229999999999997</v>
      </c>
      <c r="DJ186" s="228">
        <v>-3.07</v>
      </c>
      <c r="DK186" s="228">
        <v>-3.07</v>
      </c>
      <c r="DL186" s="228">
        <v>34.99</v>
      </c>
      <c r="DM186" s="228">
        <v>36.33</v>
      </c>
      <c r="DN186" s="228">
        <v>-1.34</v>
      </c>
      <c r="DO186" s="228">
        <v>-1.34</v>
      </c>
      <c r="DP186" s="228">
        <v>0.31</v>
      </c>
      <c r="DQ186" s="228">
        <v>0.31</v>
      </c>
      <c r="DR186" s="228">
        <v>0</v>
      </c>
      <c r="DS186" s="229">
        <v>0</v>
      </c>
      <c r="DT186" s="228">
        <v>50</v>
      </c>
      <c r="DU186" s="228">
        <v>45</v>
      </c>
      <c r="DV186" s="228">
        <v>0.24</v>
      </c>
      <c r="DW186" s="228">
        <v>0.19</v>
      </c>
      <c r="DX186" s="228">
        <v>0.05</v>
      </c>
      <c r="DY186" s="229">
        <v>0.26319999999999999</v>
      </c>
      <c r="DZ186" s="229">
        <v>0.1038</v>
      </c>
      <c r="EA186" s="230">
        <v>30495475</v>
      </c>
      <c r="EB186" s="229">
        <v>5.8999999999999999E-3</v>
      </c>
      <c r="EC186" s="229">
        <v>0.1038</v>
      </c>
      <c r="ED186" s="228">
        <v>0.23</v>
      </c>
      <c r="EE186" s="229">
        <v>4.8999999999999998E-3</v>
      </c>
      <c r="EF186" s="230">
        <v>27515993</v>
      </c>
      <c r="EG186" s="230">
        <v>21667062</v>
      </c>
      <c r="EH186" s="229">
        <v>0.26989999999999997</v>
      </c>
      <c r="EI186" s="229">
        <v>0.42599999999999999</v>
      </c>
      <c r="EJ186" s="231">
        <v>79882.490000000005</v>
      </c>
      <c r="EK186" s="231">
        <v>18085.53</v>
      </c>
      <c r="EL186" s="231">
        <v>22338.82</v>
      </c>
      <c r="EM186" s="231">
        <v>6404</v>
      </c>
      <c r="EN186" s="231">
        <v>120306.84</v>
      </c>
      <c r="EO186" s="231">
        <v>100296.39</v>
      </c>
      <c r="EP186" s="231">
        <v>20010.45</v>
      </c>
      <c r="EQ186" s="229">
        <v>0.19950000000000001</v>
      </c>
      <c r="ER186" s="231">
        <v>118950</v>
      </c>
      <c r="ES186" s="231">
        <v>33927</v>
      </c>
      <c r="ET186" s="231">
        <v>158439</v>
      </c>
      <c r="EU186" s="231">
        <v>1814982173</v>
      </c>
      <c r="EV186" s="231">
        <v>311316</v>
      </c>
      <c r="EW186" s="231">
        <v>307901</v>
      </c>
      <c r="EX186" s="231">
        <v>3415</v>
      </c>
      <c r="EY186" s="229">
        <v>1.11E-2</v>
      </c>
      <c r="EZ186" s="229">
        <v>0.3488</v>
      </c>
      <c r="FA186" s="227" t="s">
        <v>567</v>
      </c>
      <c r="FB186" s="161">
        <f t="shared" si="4"/>
        <v>0</v>
      </c>
    </row>
    <row r="187" spans="1:158" ht="17.25" thickBot="1" x14ac:dyDescent="0.3">
      <c r="A187" s="226">
        <v>46064</v>
      </c>
      <c r="B187" s="227" t="s">
        <v>615</v>
      </c>
      <c r="C187" s="227" t="s">
        <v>692</v>
      </c>
      <c r="D187" s="228">
        <v>1300</v>
      </c>
      <c r="E187" s="228">
        <v>341.6</v>
      </c>
      <c r="F187" s="228">
        <v>354</v>
      </c>
      <c r="G187" s="228">
        <v>-12.4</v>
      </c>
      <c r="H187" s="229">
        <v>-3.5000000000000003E-2</v>
      </c>
      <c r="I187" s="228">
        <v>342.3</v>
      </c>
      <c r="J187" s="228">
        <v>355.75</v>
      </c>
      <c r="K187" s="228">
        <v>-13.45</v>
      </c>
      <c r="L187" s="229">
        <v>-3.78E-2</v>
      </c>
      <c r="M187" s="228">
        <v>341.6</v>
      </c>
      <c r="N187" s="228">
        <v>354</v>
      </c>
      <c r="O187" s="228">
        <v>-12.4</v>
      </c>
      <c r="P187" s="229">
        <v>-3.5000000000000003E-2</v>
      </c>
      <c r="Q187" s="228">
        <v>339.2</v>
      </c>
      <c r="R187" s="228">
        <v>351.95</v>
      </c>
      <c r="S187" s="228">
        <v>-12.75</v>
      </c>
      <c r="T187" s="229">
        <v>-3.6200000000000003E-2</v>
      </c>
      <c r="U187" s="228">
        <v>338.6</v>
      </c>
      <c r="V187" s="228">
        <v>350.55</v>
      </c>
      <c r="W187" s="228">
        <v>-11.95</v>
      </c>
      <c r="X187" s="229">
        <v>-3.4099999999999998E-2</v>
      </c>
      <c r="Y187" s="228">
        <v>-0.7</v>
      </c>
      <c r="Z187" s="228">
        <v>-1.75</v>
      </c>
      <c r="AA187" s="228">
        <v>1.05</v>
      </c>
      <c r="AB187" s="229">
        <v>-2E-3</v>
      </c>
      <c r="AC187" s="228">
        <v>-0.7</v>
      </c>
      <c r="AD187" s="228">
        <v>-1.75</v>
      </c>
      <c r="AE187" s="228">
        <v>1.05</v>
      </c>
      <c r="AF187" s="229">
        <v>-2E-3</v>
      </c>
      <c r="AG187" s="228">
        <v>-3.1</v>
      </c>
      <c r="AH187" s="228">
        <v>-3.8</v>
      </c>
      <c r="AI187" s="228">
        <v>0.7</v>
      </c>
      <c r="AJ187" s="229">
        <v>-9.1000000000000004E-3</v>
      </c>
      <c r="AK187" s="228">
        <v>-3.7</v>
      </c>
      <c r="AL187" s="228">
        <v>-5.2</v>
      </c>
      <c r="AM187" s="228">
        <v>1.5</v>
      </c>
      <c r="AN187" s="229">
        <v>-1.0800000000000001E-2</v>
      </c>
      <c r="AO187" s="228">
        <v>343.6</v>
      </c>
      <c r="AP187" s="228">
        <v>340.7</v>
      </c>
      <c r="AQ187" s="228">
        <v>0</v>
      </c>
      <c r="AR187" s="230">
        <v>11276200</v>
      </c>
      <c r="AS187" s="230">
        <v>27062100</v>
      </c>
      <c r="AT187" s="230">
        <v>-15785900</v>
      </c>
      <c r="AU187" s="229">
        <v>-0.58330000000000004</v>
      </c>
      <c r="AV187" s="230">
        <v>8239400</v>
      </c>
      <c r="AW187" s="230">
        <v>21808800</v>
      </c>
      <c r="AX187" s="230">
        <v>-13569400</v>
      </c>
      <c r="AY187" s="229">
        <v>-0.62219999999999998</v>
      </c>
      <c r="AZ187" s="230">
        <v>3000400</v>
      </c>
      <c r="BA187" s="230">
        <v>5080400</v>
      </c>
      <c r="BB187" s="230">
        <v>-2080000</v>
      </c>
      <c r="BC187" s="229">
        <v>-0.40939999999999999</v>
      </c>
      <c r="BD187" s="230">
        <v>36400</v>
      </c>
      <c r="BE187" s="230">
        <v>172900</v>
      </c>
      <c r="BF187" s="230">
        <v>-136500</v>
      </c>
      <c r="BG187" s="229">
        <v>-0.78949999999999998</v>
      </c>
      <c r="BH187" s="230">
        <v>18461300</v>
      </c>
      <c r="BI187" s="230">
        <v>55491800</v>
      </c>
      <c r="BJ187" s="230">
        <v>-37030500</v>
      </c>
      <c r="BK187" s="229">
        <v>-0.6673</v>
      </c>
      <c r="BL187" s="230">
        <v>11908000</v>
      </c>
      <c r="BM187" s="230">
        <v>19539000</v>
      </c>
      <c r="BN187" s="230">
        <v>-7631000</v>
      </c>
      <c r="BO187" s="229">
        <v>-0.3906</v>
      </c>
      <c r="BP187" s="230">
        <v>41645500</v>
      </c>
      <c r="BQ187" s="230">
        <v>102092900</v>
      </c>
      <c r="BR187" s="230">
        <v>-60447400</v>
      </c>
      <c r="BS187" s="229">
        <v>-0.59209999999999996</v>
      </c>
      <c r="BT187" s="230">
        <v>8093842</v>
      </c>
      <c r="BU187" s="230">
        <v>31081429</v>
      </c>
      <c r="BV187" s="230">
        <v>-22987587</v>
      </c>
      <c r="BW187" s="229">
        <v>-0.73960000000000004</v>
      </c>
      <c r="BX187" s="230">
        <v>41003300</v>
      </c>
      <c r="BY187" s="230">
        <v>38686700</v>
      </c>
      <c r="BZ187" s="230">
        <v>2316600</v>
      </c>
      <c r="CA187" s="229">
        <v>5.9900000000000002E-2</v>
      </c>
      <c r="CB187" s="230">
        <v>36164700</v>
      </c>
      <c r="CC187" s="230">
        <v>35314500</v>
      </c>
      <c r="CD187" s="230">
        <v>850200</v>
      </c>
      <c r="CE187" s="229">
        <v>2.41E-2</v>
      </c>
      <c r="CF187" s="230">
        <v>4682600</v>
      </c>
      <c r="CG187" s="230">
        <v>3233100</v>
      </c>
      <c r="CH187" s="230">
        <v>1449500</v>
      </c>
      <c r="CI187" s="229">
        <v>0.44829999999999998</v>
      </c>
      <c r="CJ187" s="230">
        <v>156000</v>
      </c>
      <c r="CK187" s="230">
        <v>139100</v>
      </c>
      <c r="CL187" s="230">
        <v>16900</v>
      </c>
      <c r="CM187" s="229">
        <v>0.1215</v>
      </c>
      <c r="CN187" s="230">
        <v>6658600</v>
      </c>
      <c r="CO187" s="230">
        <v>7345000</v>
      </c>
      <c r="CP187" s="230">
        <v>-686400</v>
      </c>
      <c r="CQ187" s="229">
        <v>-9.35E-2</v>
      </c>
      <c r="CR187" s="230">
        <v>7376200</v>
      </c>
      <c r="CS187" s="230">
        <v>7256600</v>
      </c>
      <c r="CT187" s="230">
        <v>119600</v>
      </c>
      <c r="CU187" s="229">
        <v>1.6500000000000001E-2</v>
      </c>
      <c r="CV187" s="230">
        <v>55038100</v>
      </c>
      <c r="CW187" s="230">
        <v>53288300</v>
      </c>
      <c r="CX187" s="230">
        <v>1749800</v>
      </c>
      <c r="CY187" s="229">
        <v>3.2800000000000003E-2</v>
      </c>
      <c r="CZ187" s="228">
        <v>40.43</v>
      </c>
      <c r="DA187" s="228">
        <v>42.54</v>
      </c>
      <c r="DB187" s="228">
        <v>-2.11</v>
      </c>
      <c r="DC187" s="228">
        <v>-2.11</v>
      </c>
      <c r="DD187" s="228">
        <v>45.64</v>
      </c>
      <c r="DE187" s="228">
        <v>45.46</v>
      </c>
      <c r="DF187" s="228">
        <v>-5.21</v>
      </c>
      <c r="DG187" s="228">
        <v>0.18</v>
      </c>
      <c r="DH187" s="228">
        <v>39.65</v>
      </c>
      <c r="DI187" s="228">
        <v>41.68</v>
      </c>
      <c r="DJ187" s="228">
        <v>-2.0299999999999998</v>
      </c>
      <c r="DK187" s="228">
        <v>-2.0299999999999998</v>
      </c>
      <c r="DL187" s="228">
        <v>41.63</v>
      </c>
      <c r="DM187" s="228">
        <v>44.97</v>
      </c>
      <c r="DN187" s="228">
        <v>-3.34</v>
      </c>
      <c r="DO187" s="228">
        <v>-3.34</v>
      </c>
      <c r="DP187" s="228">
        <v>1.1100000000000001</v>
      </c>
      <c r="DQ187" s="228">
        <v>0.99</v>
      </c>
      <c r="DR187" s="228">
        <v>0.12</v>
      </c>
      <c r="DS187" s="229">
        <v>0.1212</v>
      </c>
      <c r="DT187" s="228">
        <v>350</v>
      </c>
      <c r="DU187" s="228">
        <v>300</v>
      </c>
      <c r="DV187" s="228">
        <v>0.65</v>
      </c>
      <c r="DW187" s="228">
        <v>0.35</v>
      </c>
      <c r="DX187" s="228">
        <v>0.3</v>
      </c>
      <c r="DY187" s="229">
        <v>0.85709999999999997</v>
      </c>
      <c r="DZ187" s="229">
        <v>0.11799999999999999</v>
      </c>
      <c r="EA187" s="230">
        <v>3372200</v>
      </c>
      <c r="EB187" s="229">
        <v>-7.0000000000000001E-3</v>
      </c>
      <c r="EC187" s="229">
        <v>0.11799999999999999</v>
      </c>
      <c r="ED187" s="228">
        <v>-2.9</v>
      </c>
      <c r="EE187" s="229">
        <v>-8.3999999999999995E-3</v>
      </c>
      <c r="EF187" s="230">
        <v>2663910</v>
      </c>
      <c r="EG187" s="230">
        <v>13410545</v>
      </c>
      <c r="EH187" s="229">
        <v>-0.8014</v>
      </c>
      <c r="EI187" s="229">
        <v>0.3291</v>
      </c>
      <c r="EJ187" s="231">
        <v>67816.77</v>
      </c>
      <c r="EK187" s="231">
        <v>40403.24</v>
      </c>
      <c r="EL187" s="231">
        <v>38656.839999999997</v>
      </c>
      <c r="EM187" s="231">
        <v>8262</v>
      </c>
      <c r="EN187" s="231">
        <v>146876.85</v>
      </c>
      <c r="EO187" s="231">
        <v>361912.54</v>
      </c>
      <c r="EP187" s="231">
        <v>-215035.69</v>
      </c>
      <c r="EQ187" s="229">
        <v>-0.59419999999999995</v>
      </c>
      <c r="ER187" s="231">
        <v>23288</v>
      </c>
      <c r="ES187" s="231">
        <v>23235</v>
      </c>
      <c r="ET187" s="231">
        <v>139950</v>
      </c>
      <c r="EU187" s="231">
        <v>375529891</v>
      </c>
      <c r="EV187" s="231">
        <v>186474</v>
      </c>
      <c r="EW187" s="231">
        <v>185693</v>
      </c>
      <c r="EX187" s="228">
        <v>781</v>
      </c>
      <c r="EY187" s="229">
        <v>4.1999999999999997E-3</v>
      </c>
      <c r="EZ187" s="229">
        <v>0.14660000000000001</v>
      </c>
      <c r="FA187" s="227" t="s">
        <v>567</v>
      </c>
      <c r="FB187" s="161">
        <f t="shared" si="4"/>
        <v>0</v>
      </c>
    </row>
    <row r="188" spans="1:158" ht="17.25" thickBot="1" x14ac:dyDescent="0.3">
      <c r="A188" s="226">
        <v>46064</v>
      </c>
      <c r="B188" s="227" t="s">
        <v>170</v>
      </c>
      <c r="C188" s="227" t="s">
        <v>520</v>
      </c>
      <c r="D188" s="228">
        <v>1000</v>
      </c>
      <c r="E188" s="228">
        <v>456.75</v>
      </c>
      <c r="F188" s="228">
        <v>454.65</v>
      </c>
      <c r="G188" s="228">
        <v>2.1</v>
      </c>
      <c r="H188" s="229">
        <v>4.5999999999999999E-3</v>
      </c>
      <c r="I188" s="228">
        <v>455.1</v>
      </c>
      <c r="J188" s="228">
        <v>452.8</v>
      </c>
      <c r="K188" s="228">
        <v>2.2999999999999998</v>
      </c>
      <c r="L188" s="229">
        <v>5.1000000000000004E-3</v>
      </c>
      <c r="M188" s="228">
        <v>456.75</v>
      </c>
      <c r="N188" s="228">
        <v>454.65</v>
      </c>
      <c r="O188" s="228">
        <v>2.1</v>
      </c>
      <c r="P188" s="229">
        <v>4.5999999999999999E-3</v>
      </c>
      <c r="Q188" s="228">
        <v>459.25</v>
      </c>
      <c r="R188" s="228">
        <v>457.05</v>
      </c>
      <c r="S188" s="228">
        <v>2.2000000000000002</v>
      </c>
      <c r="T188" s="229">
        <v>4.7999999999999996E-3</v>
      </c>
      <c r="U188" s="228">
        <v>0</v>
      </c>
      <c r="V188" s="228">
        <v>0</v>
      </c>
      <c r="W188" s="228">
        <v>0</v>
      </c>
      <c r="X188" s="229">
        <v>0</v>
      </c>
      <c r="Y188" s="228">
        <v>1.65</v>
      </c>
      <c r="Z188" s="228">
        <v>1.85</v>
      </c>
      <c r="AA188" s="228">
        <v>-0.2</v>
      </c>
      <c r="AB188" s="229">
        <v>3.5999999999999999E-3</v>
      </c>
      <c r="AC188" s="228">
        <v>1.65</v>
      </c>
      <c r="AD188" s="228">
        <v>1.85</v>
      </c>
      <c r="AE188" s="228">
        <v>-0.2</v>
      </c>
      <c r="AF188" s="229">
        <v>3.5999999999999999E-3</v>
      </c>
      <c r="AG188" s="228">
        <v>4.1500000000000004</v>
      </c>
      <c r="AH188" s="228">
        <v>4.25</v>
      </c>
      <c r="AI188" s="228">
        <v>-0.1</v>
      </c>
      <c r="AJ188" s="229">
        <v>9.1000000000000004E-3</v>
      </c>
      <c r="AK188" s="228">
        <v>0</v>
      </c>
      <c r="AL188" s="228">
        <v>0</v>
      </c>
      <c r="AM188" s="228">
        <v>0</v>
      </c>
      <c r="AN188" s="229">
        <v>0</v>
      </c>
      <c r="AO188" s="228">
        <v>457.28</v>
      </c>
      <c r="AP188" s="228">
        <v>459.54</v>
      </c>
      <c r="AQ188" s="228">
        <v>0</v>
      </c>
      <c r="AR188" s="230">
        <v>3090000</v>
      </c>
      <c r="AS188" s="230">
        <v>1943000</v>
      </c>
      <c r="AT188" s="230">
        <v>1147000</v>
      </c>
      <c r="AU188" s="229">
        <v>0.59030000000000005</v>
      </c>
      <c r="AV188" s="230">
        <v>2689000</v>
      </c>
      <c r="AW188" s="230">
        <v>1736000</v>
      </c>
      <c r="AX188" s="230">
        <v>953000</v>
      </c>
      <c r="AY188" s="229">
        <v>0.54900000000000004</v>
      </c>
      <c r="AZ188" s="230">
        <v>401000</v>
      </c>
      <c r="BA188" s="230">
        <v>207000</v>
      </c>
      <c r="BB188" s="230">
        <v>194000</v>
      </c>
      <c r="BC188" s="229">
        <v>0.93720000000000003</v>
      </c>
      <c r="BD188" s="228">
        <v>0</v>
      </c>
      <c r="BE188" s="228">
        <v>0</v>
      </c>
      <c r="BF188" s="228">
        <v>0</v>
      </c>
      <c r="BG188" s="229">
        <v>0</v>
      </c>
      <c r="BH188" s="230">
        <v>7289000</v>
      </c>
      <c r="BI188" s="230">
        <v>3902000</v>
      </c>
      <c r="BJ188" s="230">
        <v>3387000</v>
      </c>
      <c r="BK188" s="229">
        <v>0.86799999999999999</v>
      </c>
      <c r="BL188" s="230">
        <v>2077000</v>
      </c>
      <c r="BM188" s="230">
        <v>1199000</v>
      </c>
      <c r="BN188" s="230">
        <v>878000</v>
      </c>
      <c r="BO188" s="229">
        <v>0.73229999999999995</v>
      </c>
      <c r="BP188" s="230">
        <v>12456000</v>
      </c>
      <c r="BQ188" s="230">
        <v>7044000</v>
      </c>
      <c r="BR188" s="230">
        <v>5412000</v>
      </c>
      <c r="BS188" s="229">
        <v>0.76829999999999998</v>
      </c>
      <c r="BT188" s="230">
        <v>3131558</v>
      </c>
      <c r="BU188" s="230">
        <v>1235976</v>
      </c>
      <c r="BV188" s="230">
        <v>1895582</v>
      </c>
      <c r="BW188" s="229">
        <v>1.5337000000000001</v>
      </c>
      <c r="BX188" s="230">
        <v>10869000</v>
      </c>
      <c r="BY188" s="230">
        <v>9947000</v>
      </c>
      <c r="BZ188" s="230">
        <v>922000</v>
      </c>
      <c r="CA188" s="229">
        <v>9.2700000000000005E-2</v>
      </c>
      <c r="CB188" s="230">
        <v>10007000</v>
      </c>
      <c r="CC188" s="230">
        <v>9186000</v>
      </c>
      <c r="CD188" s="230">
        <v>821000</v>
      </c>
      <c r="CE188" s="229">
        <v>8.9399999999999993E-2</v>
      </c>
      <c r="CF188" s="230">
        <v>862000</v>
      </c>
      <c r="CG188" s="230">
        <v>761000</v>
      </c>
      <c r="CH188" s="230">
        <v>101000</v>
      </c>
      <c r="CI188" s="229">
        <v>0.13270000000000001</v>
      </c>
      <c r="CJ188" s="228">
        <v>0</v>
      </c>
      <c r="CK188" s="228">
        <v>0</v>
      </c>
      <c r="CL188" s="228">
        <v>0</v>
      </c>
      <c r="CM188" s="229">
        <v>0</v>
      </c>
      <c r="CN188" s="230">
        <v>9864000</v>
      </c>
      <c r="CO188" s="230">
        <v>9618000</v>
      </c>
      <c r="CP188" s="230">
        <v>246000</v>
      </c>
      <c r="CQ188" s="229">
        <v>2.5600000000000001E-2</v>
      </c>
      <c r="CR188" s="230">
        <v>5537000</v>
      </c>
      <c r="CS188" s="230">
        <v>5426000</v>
      </c>
      <c r="CT188" s="230">
        <v>111000</v>
      </c>
      <c r="CU188" s="229">
        <v>2.0500000000000001E-2</v>
      </c>
      <c r="CV188" s="230">
        <v>26270000</v>
      </c>
      <c r="CW188" s="230">
        <v>24991000</v>
      </c>
      <c r="CX188" s="230">
        <v>1279000</v>
      </c>
      <c r="CY188" s="229">
        <v>5.1200000000000002E-2</v>
      </c>
      <c r="CZ188" s="228">
        <v>41.36</v>
      </c>
      <c r="DA188" s="228">
        <v>41.26</v>
      </c>
      <c r="DB188" s="228">
        <v>0.1</v>
      </c>
      <c r="DC188" s="228">
        <v>0.1</v>
      </c>
      <c r="DD188" s="228">
        <v>36.340000000000003</v>
      </c>
      <c r="DE188" s="228">
        <v>36.43</v>
      </c>
      <c r="DF188" s="228">
        <v>5.0199999999999996</v>
      </c>
      <c r="DG188" s="228">
        <v>-0.09</v>
      </c>
      <c r="DH188" s="228">
        <v>41.72</v>
      </c>
      <c r="DI188" s="228">
        <v>41.81</v>
      </c>
      <c r="DJ188" s="228">
        <v>-0.09</v>
      </c>
      <c r="DK188" s="228">
        <v>-0.09</v>
      </c>
      <c r="DL188" s="228">
        <v>40.1</v>
      </c>
      <c r="DM188" s="228">
        <v>39.479999999999997</v>
      </c>
      <c r="DN188" s="228">
        <v>0.62</v>
      </c>
      <c r="DO188" s="228">
        <v>0.62</v>
      </c>
      <c r="DP188" s="228">
        <v>0.56000000000000005</v>
      </c>
      <c r="DQ188" s="228">
        <v>0.56000000000000005</v>
      </c>
      <c r="DR188" s="228">
        <v>0</v>
      </c>
      <c r="DS188" s="229">
        <v>0</v>
      </c>
      <c r="DT188" s="228">
        <v>500</v>
      </c>
      <c r="DU188" s="228">
        <v>450</v>
      </c>
      <c r="DV188" s="228">
        <v>0.28000000000000003</v>
      </c>
      <c r="DW188" s="228">
        <v>0.31</v>
      </c>
      <c r="DX188" s="228">
        <v>-0.03</v>
      </c>
      <c r="DY188" s="229">
        <v>-9.6799999999999997E-2</v>
      </c>
      <c r="DZ188" s="229">
        <v>7.9299999999999995E-2</v>
      </c>
      <c r="EA188" s="230">
        <v>761000</v>
      </c>
      <c r="EB188" s="229">
        <v>5.4999999999999997E-3</v>
      </c>
      <c r="EC188" s="229">
        <v>7.9299999999999995E-2</v>
      </c>
      <c r="ED188" s="228">
        <v>2.2599999999999998</v>
      </c>
      <c r="EE188" s="229">
        <v>4.8999999999999998E-3</v>
      </c>
      <c r="EF188" s="230">
        <v>2158412</v>
      </c>
      <c r="EG188" s="230">
        <v>684735</v>
      </c>
      <c r="EH188" s="229">
        <v>2.1522000000000001</v>
      </c>
      <c r="EI188" s="229">
        <v>0.68920000000000003</v>
      </c>
      <c r="EJ188" s="231">
        <v>35696.17</v>
      </c>
      <c r="EK188" s="231">
        <v>9661.8700000000008</v>
      </c>
      <c r="EL188" s="231">
        <v>14138.97</v>
      </c>
      <c r="EM188" s="231">
        <v>2091</v>
      </c>
      <c r="EN188" s="231">
        <v>59497.01</v>
      </c>
      <c r="EO188" s="231">
        <v>33778.76</v>
      </c>
      <c r="EP188" s="231">
        <v>25718.25</v>
      </c>
      <c r="EQ188" s="229">
        <v>0.76139999999999997</v>
      </c>
      <c r="ER188" s="231">
        <v>51148</v>
      </c>
      <c r="ES188" s="231">
        <v>27004</v>
      </c>
      <c r="ET188" s="231">
        <v>49666</v>
      </c>
      <c r="EU188" s="231">
        <v>24733183</v>
      </c>
      <c r="EV188" s="231">
        <v>127817</v>
      </c>
      <c r="EW188" s="231">
        <v>121828</v>
      </c>
      <c r="EX188" s="231">
        <v>5989</v>
      </c>
      <c r="EY188" s="229">
        <v>4.9200000000000001E-2</v>
      </c>
      <c r="EZ188" s="229">
        <v>1.0621</v>
      </c>
      <c r="FA188" s="227" t="s">
        <v>555</v>
      </c>
      <c r="FB188" s="161">
        <f t="shared" si="4"/>
        <v>0</v>
      </c>
    </row>
    <row r="189" spans="1:158" ht="17.25" thickBot="1" x14ac:dyDescent="0.3">
      <c r="A189" s="226">
        <v>46064</v>
      </c>
      <c r="B189" s="227" t="s">
        <v>168</v>
      </c>
      <c r="C189" s="227" t="s">
        <v>291</v>
      </c>
      <c r="D189" s="228">
        <v>550</v>
      </c>
      <c r="E189" s="231">
        <v>1155.7</v>
      </c>
      <c r="F189" s="231">
        <v>1156.2</v>
      </c>
      <c r="G189" s="228">
        <v>-0.5</v>
      </c>
      <c r="H189" s="229">
        <v>-4.0000000000000002E-4</v>
      </c>
      <c r="I189" s="231">
        <v>1152.5999999999999</v>
      </c>
      <c r="J189" s="231">
        <v>1152.2</v>
      </c>
      <c r="K189" s="228">
        <v>0.4</v>
      </c>
      <c r="L189" s="229">
        <v>2.9999999999999997E-4</v>
      </c>
      <c r="M189" s="231">
        <v>1155.7</v>
      </c>
      <c r="N189" s="231">
        <v>1156.2</v>
      </c>
      <c r="O189" s="228">
        <v>-0.5</v>
      </c>
      <c r="P189" s="229">
        <v>-4.0000000000000002E-4</v>
      </c>
      <c r="Q189" s="231">
        <v>1163.4000000000001</v>
      </c>
      <c r="R189" s="231">
        <v>1162.8</v>
      </c>
      <c r="S189" s="228">
        <v>0.6</v>
      </c>
      <c r="T189" s="229">
        <v>5.0000000000000001E-4</v>
      </c>
      <c r="U189" s="231">
        <v>1170.7</v>
      </c>
      <c r="V189" s="231">
        <v>1169</v>
      </c>
      <c r="W189" s="228">
        <v>1.7</v>
      </c>
      <c r="X189" s="229">
        <v>1.5E-3</v>
      </c>
      <c r="Y189" s="228">
        <v>3.1</v>
      </c>
      <c r="Z189" s="228">
        <v>4</v>
      </c>
      <c r="AA189" s="228">
        <v>-0.9</v>
      </c>
      <c r="AB189" s="229">
        <v>2.7000000000000001E-3</v>
      </c>
      <c r="AC189" s="228">
        <v>3.1</v>
      </c>
      <c r="AD189" s="228">
        <v>4</v>
      </c>
      <c r="AE189" s="228">
        <v>-0.9</v>
      </c>
      <c r="AF189" s="229">
        <v>2.7000000000000001E-3</v>
      </c>
      <c r="AG189" s="228">
        <v>10.8</v>
      </c>
      <c r="AH189" s="228">
        <v>10.6</v>
      </c>
      <c r="AI189" s="228">
        <v>0.2</v>
      </c>
      <c r="AJ189" s="229">
        <v>9.4000000000000004E-3</v>
      </c>
      <c r="AK189" s="228">
        <v>18.100000000000001</v>
      </c>
      <c r="AL189" s="228">
        <v>16.8</v>
      </c>
      <c r="AM189" s="228">
        <v>1.3</v>
      </c>
      <c r="AN189" s="229">
        <v>1.5699999999999999E-2</v>
      </c>
      <c r="AO189" s="231">
        <v>1157.8599999999999</v>
      </c>
      <c r="AP189" s="231">
        <v>1165.5899999999999</v>
      </c>
      <c r="AQ189" s="228">
        <v>0</v>
      </c>
      <c r="AR189" s="230">
        <v>833250</v>
      </c>
      <c r="AS189" s="230">
        <v>1268300</v>
      </c>
      <c r="AT189" s="230">
        <v>-435050</v>
      </c>
      <c r="AU189" s="229">
        <v>-0.34300000000000003</v>
      </c>
      <c r="AV189" s="230">
        <v>785400</v>
      </c>
      <c r="AW189" s="230">
        <v>1110450</v>
      </c>
      <c r="AX189" s="230">
        <v>-325050</v>
      </c>
      <c r="AY189" s="229">
        <v>-0.29270000000000002</v>
      </c>
      <c r="AZ189" s="230">
        <v>44550</v>
      </c>
      <c r="BA189" s="230">
        <v>155100</v>
      </c>
      <c r="BB189" s="230">
        <v>-110550</v>
      </c>
      <c r="BC189" s="229">
        <v>-0.71279999999999999</v>
      </c>
      <c r="BD189" s="230">
        <v>3300</v>
      </c>
      <c r="BE189" s="230">
        <v>2750</v>
      </c>
      <c r="BF189" s="228">
        <v>550</v>
      </c>
      <c r="BG189" s="229">
        <v>0.2</v>
      </c>
      <c r="BH189" s="230">
        <v>2271500</v>
      </c>
      <c r="BI189" s="230">
        <v>3092100</v>
      </c>
      <c r="BJ189" s="230">
        <v>-820600</v>
      </c>
      <c r="BK189" s="229">
        <v>-0.26540000000000002</v>
      </c>
      <c r="BL189" s="230">
        <v>690250</v>
      </c>
      <c r="BM189" s="230">
        <v>1751200</v>
      </c>
      <c r="BN189" s="230">
        <v>-1060950</v>
      </c>
      <c r="BO189" s="229">
        <v>-0.60580000000000001</v>
      </c>
      <c r="BP189" s="230">
        <v>3795000</v>
      </c>
      <c r="BQ189" s="230">
        <v>6111600</v>
      </c>
      <c r="BR189" s="230">
        <v>-2316600</v>
      </c>
      <c r="BS189" s="229">
        <v>-0.379</v>
      </c>
      <c r="BT189" s="230">
        <v>766971</v>
      </c>
      <c r="BU189" s="230">
        <v>1046398</v>
      </c>
      <c r="BV189" s="230">
        <v>-279427</v>
      </c>
      <c r="BW189" s="229">
        <v>-0.26700000000000002</v>
      </c>
      <c r="BX189" s="230">
        <v>13544300</v>
      </c>
      <c r="BY189" s="230">
        <v>13594900</v>
      </c>
      <c r="BZ189" s="230">
        <v>-50600</v>
      </c>
      <c r="CA189" s="229">
        <v>-3.7000000000000002E-3</v>
      </c>
      <c r="CB189" s="230">
        <v>12988250</v>
      </c>
      <c r="CC189" s="230">
        <v>13041600</v>
      </c>
      <c r="CD189" s="230">
        <v>-53350</v>
      </c>
      <c r="CE189" s="229">
        <v>-4.1000000000000003E-3</v>
      </c>
      <c r="CF189" s="230">
        <v>521400</v>
      </c>
      <c r="CG189" s="230">
        <v>520300</v>
      </c>
      <c r="CH189" s="230">
        <v>1100</v>
      </c>
      <c r="CI189" s="229">
        <v>2.0999999999999999E-3</v>
      </c>
      <c r="CJ189" s="230">
        <v>34650</v>
      </c>
      <c r="CK189" s="230">
        <v>33000</v>
      </c>
      <c r="CL189" s="230">
        <v>1650</v>
      </c>
      <c r="CM189" s="229">
        <v>0.05</v>
      </c>
      <c r="CN189" s="230">
        <v>4543000</v>
      </c>
      <c r="CO189" s="230">
        <v>4436300</v>
      </c>
      <c r="CP189" s="230">
        <v>106700</v>
      </c>
      <c r="CQ189" s="229">
        <v>2.41E-2</v>
      </c>
      <c r="CR189" s="230">
        <v>3399550</v>
      </c>
      <c r="CS189" s="230">
        <v>3399550</v>
      </c>
      <c r="CT189" s="228">
        <v>0</v>
      </c>
      <c r="CU189" s="229">
        <v>0</v>
      </c>
      <c r="CV189" s="230">
        <v>21486850</v>
      </c>
      <c r="CW189" s="230">
        <v>21430750</v>
      </c>
      <c r="CX189" s="230">
        <v>56100</v>
      </c>
      <c r="CY189" s="229">
        <v>2.5999999999999999E-3</v>
      </c>
      <c r="CZ189" s="228">
        <v>22.71</v>
      </c>
      <c r="DA189" s="228">
        <v>23.4</v>
      </c>
      <c r="DB189" s="228">
        <v>-0.69</v>
      </c>
      <c r="DC189" s="228">
        <v>-0.69</v>
      </c>
      <c r="DD189" s="228">
        <v>27.52</v>
      </c>
      <c r="DE189" s="228">
        <v>27.59</v>
      </c>
      <c r="DF189" s="228">
        <v>-4.8099999999999996</v>
      </c>
      <c r="DG189" s="228">
        <v>-7.0000000000000007E-2</v>
      </c>
      <c r="DH189" s="228">
        <v>22.58</v>
      </c>
      <c r="DI189" s="228">
        <v>22.82</v>
      </c>
      <c r="DJ189" s="228">
        <v>-0.24</v>
      </c>
      <c r="DK189" s="228">
        <v>-0.24</v>
      </c>
      <c r="DL189" s="228">
        <v>23.14</v>
      </c>
      <c r="DM189" s="228">
        <v>24.41</v>
      </c>
      <c r="DN189" s="228">
        <v>-1.27</v>
      </c>
      <c r="DO189" s="228">
        <v>-1.27</v>
      </c>
      <c r="DP189" s="228">
        <v>0.75</v>
      </c>
      <c r="DQ189" s="228">
        <v>0.77</v>
      </c>
      <c r="DR189" s="228">
        <v>-0.02</v>
      </c>
      <c r="DS189" s="229">
        <v>-2.5999999999999999E-2</v>
      </c>
      <c r="DT189" s="231">
        <v>1200</v>
      </c>
      <c r="DU189" s="231">
        <v>1120</v>
      </c>
      <c r="DV189" s="228">
        <v>0.3</v>
      </c>
      <c r="DW189" s="228">
        <v>0.56999999999999995</v>
      </c>
      <c r="DX189" s="228">
        <v>-0.27</v>
      </c>
      <c r="DY189" s="229">
        <v>-0.47370000000000001</v>
      </c>
      <c r="DZ189" s="229">
        <v>4.1099999999999998E-2</v>
      </c>
      <c r="EA189" s="230">
        <v>553300</v>
      </c>
      <c r="EB189" s="229">
        <v>6.7000000000000002E-3</v>
      </c>
      <c r="EC189" s="229">
        <v>4.1099999999999998E-2</v>
      </c>
      <c r="ED189" s="228">
        <v>7.73</v>
      </c>
      <c r="EE189" s="229">
        <v>6.7000000000000002E-3</v>
      </c>
      <c r="EF189" s="230">
        <v>399660</v>
      </c>
      <c r="EG189" s="230">
        <v>677652</v>
      </c>
      <c r="EH189" s="229">
        <v>-0.41020000000000001</v>
      </c>
      <c r="EI189" s="229">
        <v>0.52110000000000001</v>
      </c>
      <c r="EJ189" s="231">
        <v>27258.76</v>
      </c>
      <c r="EK189" s="231">
        <v>7860.96</v>
      </c>
      <c r="EL189" s="231">
        <v>9651.9</v>
      </c>
      <c r="EM189" s="231">
        <v>2653</v>
      </c>
      <c r="EN189" s="231">
        <v>44771.62</v>
      </c>
      <c r="EO189" s="231">
        <v>71722.720000000001</v>
      </c>
      <c r="EP189" s="231">
        <v>-26951.1</v>
      </c>
      <c r="EQ189" s="229">
        <v>-0.37580000000000002</v>
      </c>
      <c r="ER189" s="231">
        <v>54932</v>
      </c>
      <c r="ES189" s="231">
        <v>36878</v>
      </c>
      <c r="ET189" s="231">
        <v>156577</v>
      </c>
      <c r="EU189" s="231">
        <v>65472326</v>
      </c>
      <c r="EV189" s="231">
        <v>248387</v>
      </c>
      <c r="EW189" s="231">
        <v>247763</v>
      </c>
      <c r="EX189" s="228">
        <v>624</v>
      </c>
      <c r="EY189" s="229">
        <v>2.5000000000000001E-3</v>
      </c>
      <c r="EZ189" s="229">
        <v>0.32819999999999999</v>
      </c>
      <c r="FA189" s="227" t="s">
        <v>568</v>
      </c>
      <c r="FB189" s="161">
        <f t="shared" si="4"/>
        <v>0</v>
      </c>
    </row>
    <row r="190" spans="1:158" ht="17.25" thickBot="1" x14ac:dyDescent="0.3">
      <c r="A190" s="226">
        <v>46064</v>
      </c>
      <c r="B190" s="227" t="s">
        <v>221</v>
      </c>
      <c r="C190" s="227" t="s">
        <v>604</v>
      </c>
      <c r="D190" s="228">
        <v>100</v>
      </c>
      <c r="E190" s="231">
        <v>5240</v>
      </c>
      <c r="F190" s="231">
        <v>5385.5</v>
      </c>
      <c r="G190" s="228">
        <v>-145.5</v>
      </c>
      <c r="H190" s="229">
        <v>-2.7E-2</v>
      </c>
      <c r="I190" s="231">
        <v>5250.5</v>
      </c>
      <c r="J190" s="231">
        <v>5381</v>
      </c>
      <c r="K190" s="228">
        <v>-130.5</v>
      </c>
      <c r="L190" s="229">
        <v>-2.4299999999999999E-2</v>
      </c>
      <c r="M190" s="231">
        <v>5240</v>
      </c>
      <c r="N190" s="231">
        <v>5385.5</v>
      </c>
      <c r="O190" s="228">
        <v>-145.5</v>
      </c>
      <c r="P190" s="229">
        <v>-2.7E-2</v>
      </c>
      <c r="Q190" s="231">
        <v>5232</v>
      </c>
      <c r="R190" s="231">
        <v>5375.5</v>
      </c>
      <c r="S190" s="228">
        <v>-143.5</v>
      </c>
      <c r="T190" s="229">
        <v>-2.6700000000000002E-2</v>
      </c>
      <c r="U190" s="231">
        <v>5240</v>
      </c>
      <c r="V190" s="231">
        <v>5389</v>
      </c>
      <c r="W190" s="228">
        <v>-149</v>
      </c>
      <c r="X190" s="229">
        <v>-2.76E-2</v>
      </c>
      <c r="Y190" s="228">
        <v>-10.5</v>
      </c>
      <c r="Z190" s="228">
        <v>4.5</v>
      </c>
      <c r="AA190" s="228">
        <v>-15</v>
      </c>
      <c r="AB190" s="229">
        <v>-2E-3</v>
      </c>
      <c r="AC190" s="228">
        <v>-10.5</v>
      </c>
      <c r="AD190" s="228">
        <v>4.5</v>
      </c>
      <c r="AE190" s="228">
        <v>-15</v>
      </c>
      <c r="AF190" s="229">
        <v>-2E-3</v>
      </c>
      <c r="AG190" s="228">
        <v>-18.5</v>
      </c>
      <c r="AH190" s="228">
        <v>-5.5</v>
      </c>
      <c r="AI190" s="228">
        <v>-13</v>
      </c>
      <c r="AJ190" s="229">
        <v>-3.5000000000000001E-3</v>
      </c>
      <c r="AK190" s="228">
        <v>-10.5</v>
      </c>
      <c r="AL190" s="228">
        <v>8</v>
      </c>
      <c r="AM190" s="228">
        <v>-18.5</v>
      </c>
      <c r="AN190" s="229">
        <v>-2E-3</v>
      </c>
      <c r="AO190" s="231">
        <v>5277.36</v>
      </c>
      <c r="AP190" s="231">
        <v>5268.24</v>
      </c>
      <c r="AQ190" s="228">
        <v>0</v>
      </c>
      <c r="AR190" s="230">
        <v>287200</v>
      </c>
      <c r="AS190" s="230">
        <v>372700</v>
      </c>
      <c r="AT190" s="230">
        <v>-85500</v>
      </c>
      <c r="AU190" s="229">
        <v>-0.22939999999999999</v>
      </c>
      <c r="AV190" s="230">
        <v>212400</v>
      </c>
      <c r="AW190" s="230">
        <v>313100</v>
      </c>
      <c r="AX190" s="230">
        <v>-100700</v>
      </c>
      <c r="AY190" s="229">
        <v>-0.3216</v>
      </c>
      <c r="AZ190" s="230">
        <v>71600</v>
      </c>
      <c r="BA190" s="230">
        <v>56200</v>
      </c>
      <c r="BB190" s="230">
        <v>15400</v>
      </c>
      <c r="BC190" s="229">
        <v>0.27400000000000002</v>
      </c>
      <c r="BD190" s="230">
        <v>3200</v>
      </c>
      <c r="BE190" s="230">
        <v>3400</v>
      </c>
      <c r="BF190" s="228">
        <v>-200</v>
      </c>
      <c r="BG190" s="229">
        <v>-5.8799999999999998E-2</v>
      </c>
      <c r="BH190" s="230">
        <v>1491000</v>
      </c>
      <c r="BI190" s="230">
        <v>3119900</v>
      </c>
      <c r="BJ190" s="230">
        <v>-1628900</v>
      </c>
      <c r="BK190" s="229">
        <v>-0.52210000000000001</v>
      </c>
      <c r="BL190" s="230">
        <v>456700</v>
      </c>
      <c r="BM190" s="230">
        <v>589700</v>
      </c>
      <c r="BN190" s="230">
        <v>-133000</v>
      </c>
      <c r="BO190" s="229">
        <v>-0.22550000000000001</v>
      </c>
      <c r="BP190" s="230">
        <v>2234900</v>
      </c>
      <c r="BQ190" s="230">
        <v>4082300</v>
      </c>
      <c r="BR190" s="230">
        <v>-1847400</v>
      </c>
      <c r="BS190" s="229">
        <v>-0.45250000000000001</v>
      </c>
      <c r="BT190" s="230">
        <v>167998</v>
      </c>
      <c r="BU190" s="230">
        <v>234402</v>
      </c>
      <c r="BV190" s="230">
        <v>-66404</v>
      </c>
      <c r="BW190" s="229">
        <v>-0.2833</v>
      </c>
      <c r="BX190" s="230">
        <v>1420200</v>
      </c>
      <c r="BY190" s="230">
        <v>1366000</v>
      </c>
      <c r="BZ190" s="230">
        <v>54200</v>
      </c>
      <c r="CA190" s="229">
        <v>3.9699999999999999E-2</v>
      </c>
      <c r="CB190" s="230">
        <v>1177700</v>
      </c>
      <c r="CC190" s="230">
        <v>1161700</v>
      </c>
      <c r="CD190" s="230">
        <v>16000</v>
      </c>
      <c r="CE190" s="229">
        <v>1.38E-2</v>
      </c>
      <c r="CF190" s="230">
        <v>230400</v>
      </c>
      <c r="CG190" s="230">
        <v>194200</v>
      </c>
      <c r="CH190" s="230">
        <v>36200</v>
      </c>
      <c r="CI190" s="229">
        <v>0.18640000000000001</v>
      </c>
      <c r="CJ190" s="230">
        <v>12100</v>
      </c>
      <c r="CK190" s="230">
        <v>10100</v>
      </c>
      <c r="CL190" s="230">
        <v>2000</v>
      </c>
      <c r="CM190" s="229">
        <v>0.19800000000000001</v>
      </c>
      <c r="CN190" s="230">
        <v>1941500</v>
      </c>
      <c r="CO190" s="230">
        <v>1756100</v>
      </c>
      <c r="CP190" s="230">
        <v>185400</v>
      </c>
      <c r="CQ190" s="229">
        <v>0.1056</v>
      </c>
      <c r="CR190" s="230">
        <v>532000</v>
      </c>
      <c r="CS190" s="230">
        <v>540100</v>
      </c>
      <c r="CT190" s="230">
        <v>-8100</v>
      </c>
      <c r="CU190" s="229">
        <v>-1.4999999999999999E-2</v>
      </c>
      <c r="CV190" s="230">
        <v>3893700</v>
      </c>
      <c r="CW190" s="230">
        <v>3662200</v>
      </c>
      <c r="CX190" s="230">
        <v>231500</v>
      </c>
      <c r="CY190" s="229">
        <v>6.3200000000000006E-2</v>
      </c>
      <c r="CZ190" s="228">
        <v>38.880000000000003</v>
      </c>
      <c r="DA190" s="228">
        <v>37.5</v>
      </c>
      <c r="DB190" s="228">
        <v>1.38</v>
      </c>
      <c r="DC190" s="228">
        <v>1.38</v>
      </c>
      <c r="DD190" s="228">
        <v>37.76</v>
      </c>
      <c r="DE190" s="228">
        <v>37.67</v>
      </c>
      <c r="DF190" s="228">
        <v>1.1200000000000001</v>
      </c>
      <c r="DG190" s="228">
        <v>0.09</v>
      </c>
      <c r="DH190" s="228">
        <v>39.43</v>
      </c>
      <c r="DI190" s="228">
        <v>37.58</v>
      </c>
      <c r="DJ190" s="228">
        <v>1.85</v>
      </c>
      <c r="DK190" s="228">
        <v>1.85</v>
      </c>
      <c r="DL190" s="228">
        <v>37.1</v>
      </c>
      <c r="DM190" s="228">
        <v>37.090000000000003</v>
      </c>
      <c r="DN190" s="228">
        <v>0.01</v>
      </c>
      <c r="DO190" s="228">
        <v>0.01</v>
      </c>
      <c r="DP190" s="228">
        <v>0.27</v>
      </c>
      <c r="DQ190" s="228">
        <v>0.31</v>
      </c>
      <c r="DR190" s="228">
        <v>-0.04</v>
      </c>
      <c r="DS190" s="229">
        <v>-0.129</v>
      </c>
      <c r="DT190" s="231">
        <v>6000</v>
      </c>
      <c r="DU190" s="231">
        <v>5000</v>
      </c>
      <c r="DV190" s="228">
        <v>0.31</v>
      </c>
      <c r="DW190" s="228">
        <v>0.19</v>
      </c>
      <c r="DX190" s="228">
        <v>0.12</v>
      </c>
      <c r="DY190" s="229">
        <v>0.63160000000000005</v>
      </c>
      <c r="DZ190" s="229">
        <v>0.17080000000000001</v>
      </c>
      <c r="EA190" s="230">
        <v>204300</v>
      </c>
      <c r="EB190" s="229">
        <v>-1.5E-3</v>
      </c>
      <c r="EC190" s="229">
        <v>0.17080000000000001</v>
      </c>
      <c r="ED190" s="228">
        <v>-9.1199999999999992</v>
      </c>
      <c r="EE190" s="229">
        <v>-1.6999999999999999E-3</v>
      </c>
      <c r="EF190" s="230">
        <v>74225</v>
      </c>
      <c r="EG190" s="230">
        <v>77066</v>
      </c>
      <c r="EH190" s="229">
        <v>-3.6900000000000002E-2</v>
      </c>
      <c r="EI190" s="229">
        <v>0.44180000000000003</v>
      </c>
      <c r="EJ190" s="231">
        <v>84721.08</v>
      </c>
      <c r="EK190" s="231">
        <v>23757.88</v>
      </c>
      <c r="EL190" s="231">
        <v>15150.02</v>
      </c>
      <c r="EM190" s="231">
        <v>5206</v>
      </c>
      <c r="EN190" s="231">
        <v>123628.98</v>
      </c>
      <c r="EO190" s="231">
        <v>228251.28</v>
      </c>
      <c r="EP190" s="231">
        <v>-104622.3</v>
      </c>
      <c r="EQ190" s="229">
        <v>-0.45839999999999997</v>
      </c>
      <c r="ER190" s="231">
        <v>112273</v>
      </c>
      <c r="ES190" s="231">
        <v>27547</v>
      </c>
      <c r="ET190" s="231">
        <v>74400</v>
      </c>
      <c r="EU190" s="231">
        <v>5241546</v>
      </c>
      <c r="EV190" s="231">
        <v>214220</v>
      </c>
      <c r="EW190" s="231">
        <v>203651</v>
      </c>
      <c r="EX190" s="231">
        <v>10569</v>
      </c>
      <c r="EY190" s="229">
        <v>5.1900000000000002E-2</v>
      </c>
      <c r="EZ190" s="229">
        <v>0.7429</v>
      </c>
      <c r="FA190" s="227" t="s">
        <v>567</v>
      </c>
      <c r="FB190" s="161">
        <f t="shared" si="4"/>
        <v>0</v>
      </c>
    </row>
    <row r="191" spans="1:158" ht="17.25" thickBot="1" x14ac:dyDescent="0.3">
      <c r="A191" s="226">
        <v>46064</v>
      </c>
      <c r="B191" s="227" t="s">
        <v>161</v>
      </c>
      <c r="C191" s="227" t="s">
        <v>293</v>
      </c>
      <c r="D191" s="228">
        <v>1450</v>
      </c>
      <c r="E191" s="228">
        <v>376.8</v>
      </c>
      <c r="F191" s="228">
        <v>370.8</v>
      </c>
      <c r="G191" s="228">
        <v>6</v>
      </c>
      <c r="H191" s="229">
        <v>1.6199999999999999E-2</v>
      </c>
      <c r="I191" s="228">
        <v>375.65</v>
      </c>
      <c r="J191" s="228">
        <v>369.95</v>
      </c>
      <c r="K191" s="228">
        <v>5.7</v>
      </c>
      <c r="L191" s="229">
        <v>1.54E-2</v>
      </c>
      <c r="M191" s="228">
        <v>376.8</v>
      </c>
      <c r="N191" s="228">
        <v>370.8</v>
      </c>
      <c r="O191" s="228">
        <v>6</v>
      </c>
      <c r="P191" s="229">
        <v>1.6199999999999999E-2</v>
      </c>
      <c r="Q191" s="228">
        <v>379.05</v>
      </c>
      <c r="R191" s="228">
        <v>373.1</v>
      </c>
      <c r="S191" s="228">
        <v>5.95</v>
      </c>
      <c r="T191" s="229">
        <v>1.5900000000000001E-2</v>
      </c>
      <c r="U191" s="228">
        <v>381.55</v>
      </c>
      <c r="V191" s="228">
        <v>375.65</v>
      </c>
      <c r="W191" s="228">
        <v>5.9</v>
      </c>
      <c r="X191" s="229">
        <v>1.5699999999999999E-2</v>
      </c>
      <c r="Y191" s="228">
        <v>1.1499999999999999</v>
      </c>
      <c r="Z191" s="228">
        <v>0.85</v>
      </c>
      <c r="AA191" s="228">
        <v>0.3</v>
      </c>
      <c r="AB191" s="229">
        <v>3.0999999999999999E-3</v>
      </c>
      <c r="AC191" s="228">
        <v>1.1499999999999999</v>
      </c>
      <c r="AD191" s="228">
        <v>0.85</v>
      </c>
      <c r="AE191" s="228">
        <v>0.3</v>
      </c>
      <c r="AF191" s="229">
        <v>3.0999999999999999E-3</v>
      </c>
      <c r="AG191" s="228">
        <v>3.4</v>
      </c>
      <c r="AH191" s="228">
        <v>3.15</v>
      </c>
      <c r="AI191" s="228">
        <v>0.25</v>
      </c>
      <c r="AJ191" s="229">
        <v>9.1000000000000004E-3</v>
      </c>
      <c r="AK191" s="228">
        <v>5.9</v>
      </c>
      <c r="AL191" s="228">
        <v>5.7</v>
      </c>
      <c r="AM191" s="228">
        <v>0.2</v>
      </c>
      <c r="AN191" s="229">
        <v>1.5699999999999999E-2</v>
      </c>
      <c r="AO191" s="228">
        <v>373.28</v>
      </c>
      <c r="AP191" s="228">
        <v>374.93</v>
      </c>
      <c r="AQ191" s="228">
        <v>0</v>
      </c>
      <c r="AR191" s="230">
        <v>6936800</v>
      </c>
      <c r="AS191" s="230">
        <v>2947850</v>
      </c>
      <c r="AT191" s="230">
        <v>3988950</v>
      </c>
      <c r="AU191" s="229">
        <v>1.3532</v>
      </c>
      <c r="AV191" s="230">
        <v>5860900</v>
      </c>
      <c r="AW191" s="230">
        <v>2379450</v>
      </c>
      <c r="AX191" s="230">
        <v>3481450</v>
      </c>
      <c r="AY191" s="229">
        <v>1.4631000000000001</v>
      </c>
      <c r="AZ191" s="230">
        <v>938150</v>
      </c>
      <c r="BA191" s="230">
        <v>527800</v>
      </c>
      <c r="BB191" s="230">
        <v>410350</v>
      </c>
      <c r="BC191" s="229">
        <v>0.77749999999999997</v>
      </c>
      <c r="BD191" s="230">
        <v>137750</v>
      </c>
      <c r="BE191" s="230">
        <v>40600</v>
      </c>
      <c r="BF191" s="230">
        <v>97150</v>
      </c>
      <c r="BG191" s="229">
        <v>2.3929</v>
      </c>
      <c r="BH191" s="230">
        <v>44768750</v>
      </c>
      <c r="BI191" s="230">
        <v>16798250</v>
      </c>
      <c r="BJ191" s="230">
        <v>27970500</v>
      </c>
      <c r="BK191" s="229">
        <v>1.6651</v>
      </c>
      <c r="BL191" s="230">
        <v>17349250</v>
      </c>
      <c r="BM191" s="230">
        <v>10371850</v>
      </c>
      <c r="BN191" s="230">
        <v>6977400</v>
      </c>
      <c r="BO191" s="229">
        <v>0.67269999999999996</v>
      </c>
      <c r="BP191" s="230">
        <v>69054800</v>
      </c>
      <c r="BQ191" s="230">
        <v>30117950</v>
      </c>
      <c r="BR191" s="230">
        <v>38936850</v>
      </c>
      <c r="BS191" s="229">
        <v>1.2927999999999999</v>
      </c>
      <c r="BT191" s="230">
        <v>3660476</v>
      </c>
      <c r="BU191" s="230">
        <v>2170477</v>
      </c>
      <c r="BV191" s="230">
        <v>1489999</v>
      </c>
      <c r="BW191" s="229">
        <v>0.6865</v>
      </c>
      <c r="BX191" s="230">
        <v>57000950</v>
      </c>
      <c r="BY191" s="230">
        <v>57145950</v>
      </c>
      <c r="BZ191" s="230">
        <v>-145000</v>
      </c>
      <c r="CA191" s="229">
        <v>-2.5000000000000001E-3</v>
      </c>
      <c r="CB191" s="230">
        <v>54025550</v>
      </c>
      <c r="CC191" s="230">
        <v>54392400</v>
      </c>
      <c r="CD191" s="230">
        <v>-366850</v>
      </c>
      <c r="CE191" s="229">
        <v>-6.7000000000000002E-3</v>
      </c>
      <c r="CF191" s="230">
        <v>2530250</v>
      </c>
      <c r="CG191" s="230">
        <v>2349000</v>
      </c>
      <c r="CH191" s="230">
        <v>181250</v>
      </c>
      <c r="CI191" s="229">
        <v>7.7200000000000005E-2</v>
      </c>
      <c r="CJ191" s="230">
        <v>445150</v>
      </c>
      <c r="CK191" s="230">
        <v>404550</v>
      </c>
      <c r="CL191" s="230">
        <v>40600</v>
      </c>
      <c r="CM191" s="229">
        <v>0.1004</v>
      </c>
      <c r="CN191" s="230">
        <v>35477150</v>
      </c>
      <c r="CO191" s="230">
        <v>34154750</v>
      </c>
      <c r="CP191" s="230">
        <v>1322400</v>
      </c>
      <c r="CQ191" s="229">
        <v>3.8699999999999998E-2</v>
      </c>
      <c r="CR191" s="230">
        <v>28015450</v>
      </c>
      <c r="CS191" s="230">
        <v>27774750</v>
      </c>
      <c r="CT191" s="230">
        <v>240700</v>
      </c>
      <c r="CU191" s="229">
        <v>8.6999999999999994E-3</v>
      </c>
      <c r="CV191" s="230">
        <v>120493550</v>
      </c>
      <c r="CW191" s="230">
        <v>119075450</v>
      </c>
      <c r="CX191" s="230">
        <v>1418100</v>
      </c>
      <c r="CY191" s="229">
        <v>1.1900000000000001E-2</v>
      </c>
      <c r="CZ191" s="228">
        <v>25.88</v>
      </c>
      <c r="DA191" s="228">
        <v>24.11</v>
      </c>
      <c r="DB191" s="228">
        <v>1.77</v>
      </c>
      <c r="DC191" s="228">
        <v>1.77</v>
      </c>
      <c r="DD191" s="228">
        <v>31.21</v>
      </c>
      <c r="DE191" s="228">
        <v>31.22</v>
      </c>
      <c r="DF191" s="228">
        <v>-5.33</v>
      </c>
      <c r="DG191" s="228">
        <v>-0.01</v>
      </c>
      <c r="DH191" s="228">
        <v>25.45</v>
      </c>
      <c r="DI191" s="228">
        <v>24.02</v>
      </c>
      <c r="DJ191" s="228">
        <v>1.43</v>
      </c>
      <c r="DK191" s="228">
        <v>1.43</v>
      </c>
      <c r="DL191" s="228">
        <v>26.98</v>
      </c>
      <c r="DM191" s="228">
        <v>24.26</v>
      </c>
      <c r="DN191" s="228">
        <v>2.72</v>
      </c>
      <c r="DO191" s="228">
        <v>2.72</v>
      </c>
      <c r="DP191" s="228">
        <v>0.79</v>
      </c>
      <c r="DQ191" s="228">
        <v>0.81</v>
      </c>
      <c r="DR191" s="228">
        <v>-0.02</v>
      </c>
      <c r="DS191" s="229">
        <v>-2.47E-2</v>
      </c>
      <c r="DT191" s="228">
        <v>380</v>
      </c>
      <c r="DU191" s="228">
        <v>350</v>
      </c>
      <c r="DV191" s="228">
        <v>0.39</v>
      </c>
      <c r="DW191" s="228">
        <v>0.62</v>
      </c>
      <c r="DX191" s="228">
        <v>-0.23</v>
      </c>
      <c r="DY191" s="229">
        <v>-0.371</v>
      </c>
      <c r="DZ191" s="229">
        <v>5.2200000000000003E-2</v>
      </c>
      <c r="EA191" s="230">
        <v>2753550</v>
      </c>
      <c r="EB191" s="229">
        <v>6.0000000000000001E-3</v>
      </c>
      <c r="EC191" s="229">
        <v>5.2200000000000003E-2</v>
      </c>
      <c r="ED191" s="228">
        <v>1.65</v>
      </c>
      <c r="EE191" s="229">
        <v>4.4000000000000003E-3</v>
      </c>
      <c r="EF191" s="230">
        <v>1708574</v>
      </c>
      <c r="EG191" s="230">
        <v>898246</v>
      </c>
      <c r="EH191" s="229">
        <v>0.90210000000000001</v>
      </c>
      <c r="EI191" s="229">
        <v>0.46679999999999999</v>
      </c>
      <c r="EJ191" s="231">
        <v>173178.81</v>
      </c>
      <c r="EK191" s="231">
        <v>63726.04</v>
      </c>
      <c r="EL191" s="231">
        <v>25914.43</v>
      </c>
      <c r="EM191" s="231">
        <v>3989</v>
      </c>
      <c r="EN191" s="231">
        <v>262819.28000000003</v>
      </c>
      <c r="EO191" s="231">
        <v>113430.65</v>
      </c>
      <c r="EP191" s="231">
        <v>149388.63</v>
      </c>
      <c r="EQ191" s="229">
        <v>1.3169999999999999</v>
      </c>
      <c r="ER191" s="231">
        <v>136746</v>
      </c>
      <c r="ES191" s="231">
        <v>103976</v>
      </c>
      <c r="ET191" s="231">
        <v>214858</v>
      </c>
      <c r="EU191" s="231">
        <v>202215001</v>
      </c>
      <c r="EV191" s="231">
        <v>455580</v>
      </c>
      <c r="EW191" s="231">
        <v>446512</v>
      </c>
      <c r="EX191" s="231">
        <v>9068</v>
      </c>
      <c r="EY191" s="229">
        <v>2.0299999999999999E-2</v>
      </c>
      <c r="EZ191" s="229">
        <v>0.59589999999999999</v>
      </c>
      <c r="FA191" s="227" t="s">
        <v>556</v>
      </c>
      <c r="FB191" s="161">
        <f t="shared" si="4"/>
        <v>0</v>
      </c>
    </row>
    <row r="192" spans="1:158" ht="17.25" thickBot="1" x14ac:dyDescent="0.3">
      <c r="A192" s="226">
        <v>46064</v>
      </c>
      <c r="B192" s="227" t="s">
        <v>227</v>
      </c>
      <c r="C192" s="227" t="s">
        <v>294</v>
      </c>
      <c r="D192" s="228">
        <v>5500</v>
      </c>
      <c r="E192" s="228">
        <v>208.13</v>
      </c>
      <c r="F192" s="228">
        <v>208.09</v>
      </c>
      <c r="G192" s="228">
        <v>0.04</v>
      </c>
      <c r="H192" s="229">
        <v>2.0000000000000001E-4</v>
      </c>
      <c r="I192" s="228">
        <v>207.59</v>
      </c>
      <c r="J192" s="228">
        <v>208.01</v>
      </c>
      <c r="K192" s="228">
        <v>-0.42</v>
      </c>
      <c r="L192" s="229">
        <v>-2E-3</v>
      </c>
      <c r="M192" s="228">
        <v>208.13</v>
      </c>
      <c r="N192" s="228">
        <v>208.09</v>
      </c>
      <c r="O192" s="228">
        <v>0.04</v>
      </c>
      <c r="P192" s="229">
        <v>2.0000000000000001E-4</v>
      </c>
      <c r="Q192" s="228">
        <v>209.4</v>
      </c>
      <c r="R192" s="228">
        <v>209.37</v>
      </c>
      <c r="S192" s="228">
        <v>0.03</v>
      </c>
      <c r="T192" s="229">
        <v>1E-4</v>
      </c>
      <c r="U192" s="228">
        <v>210.81</v>
      </c>
      <c r="V192" s="228">
        <v>210.62</v>
      </c>
      <c r="W192" s="228">
        <v>0.19</v>
      </c>
      <c r="X192" s="229">
        <v>8.9999999999999998E-4</v>
      </c>
      <c r="Y192" s="228">
        <v>0.54</v>
      </c>
      <c r="Z192" s="228">
        <v>0.08</v>
      </c>
      <c r="AA192" s="228">
        <v>0.46</v>
      </c>
      <c r="AB192" s="229">
        <v>2.5999999999999999E-3</v>
      </c>
      <c r="AC192" s="228">
        <v>0.54</v>
      </c>
      <c r="AD192" s="228">
        <v>0.08</v>
      </c>
      <c r="AE192" s="228">
        <v>0.46</v>
      </c>
      <c r="AF192" s="229">
        <v>2.5999999999999999E-3</v>
      </c>
      <c r="AG192" s="228">
        <v>1.81</v>
      </c>
      <c r="AH192" s="228">
        <v>1.36</v>
      </c>
      <c r="AI192" s="228">
        <v>0.45</v>
      </c>
      <c r="AJ192" s="229">
        <v>8.6999999999999994E-3</v>
      </c>
      <c r="AK192" s="228">
        <v>3.22</v>
      </c>
      <c r="AL192" s="228">
        <v>2.61</v>
      </c>
      <c r="AM192" s="228">
        <v>0.61</v>
      </c>
      <c r="AN192" s="229">
        <v>1.55E-2</v>
      </c>
      <c r="AO192" s="228">
        <v>208.31</v>
      </c>
      <c r="AP192" s="228">
        <v>209.54</v>
      </c>
      <c r="AQ192" s="228">
        <v>0</v>
      </c>
      <c r="AR192" s="230">
        <v>51700000</v>
      </c>
      <c r="AS192" s="230">
        <v>106210500</v>
      </c>
      <c r="AT192" s="230">
        <v>-54510500</v>
      </c>
      <c r="AU192" s="229">
        <v>-0.51319999999999999</v>
      </c>
      <c r="AV192" s="230">
        <v>44902000</v>
      </c>
      <c r="AW192" s="230">
        <v>93412000</v>
      </c>
      <c r="AX192" s="230">
        <v>-48510000</v>
      </c>
      <c r="AY192" s="229">
        <v>-0.51929999999999998</v>
      </c>
      <c r="AZ192" s="230">
        <v>5511000</v>
      </c>
      <c r="BA192" s="230">
        <v>10505000</v>
      </c>
      <c r="BB192" s="230">
        <v>-4994000</v>
      </c>
      <c r="BC192" s="229">
        <v>-0.47539999999999999</v>
      </c>
      <c r="BD192" s="230">
        <v>1287000</v>
      </c>
      <c r="BE192" s="230">
        <v>2293500</v>
      </c>
      <c r="BF192" s="230">
        <v>-1006500</v>
      </c>
      <c r="BG192" s="229">
        <v>-0.43880000000000002</v>
      </c>
      <c r="BH192" s="230">
        <v>248479000</v>
      </c>
      <c r="BI192" s="230">
        <v>687643000</v>
      </c>
      <c r="BJ192" s="230">
        <v>-439164000</v>
      </c>
      <c r="BK192" s="229">
        <v>-0.63870000000000005</v>
      </c>
      <c r="BL192" s="230">
        <v>138006000</v>
      </c>
      <c r="BM192" s="230">
        <v>311547500</v>
      </c>
      <c r="BN192" s="230">
        <v>-173541500</v>
      </c>
      <c r="BO192" s="229">
        <v>-0.55700000000000005</v>
      </c>
      <c r="BP192" s="230">
        <v>438185000</v>
      </c>
      <c r="BQ192" s="230">
        <v>1105401000</v>
      </c>
      <c r="BR192" s="230">
        <v>-667216000</v>
      </c>
      <c r="BS192" s="229">
        <v>-0.60360000000000003</v>
      </c>
      <c r="BT192" s="230">
        <v>49968274</v>
      </c>
      <c r="BU192" s="230">
        <v>107760584</v>
      </c>
      <c r="BV192" s="230">
        <v>-57792310</v>
      </c>
      <c r="BW192" s="229">
        <v>-0.5363</v>
      </c>
      <c r="BX192" s="230">
        <v>216557000</v>
      </c>
      <c r="BY192" s="230">
        <v>220720500</v>
      </c>
      <c r="BZ192" s="230">
        <v>-4163500</v>
      </c>
      <c r="CA192" s="229">
        <v>-1.89E-2</v>
      </c>
      <c r="CB192" s="230">
        <v>191757500</v>
      </c>
      <c r="CC192" s="230">
        <v>196955000</v>
      </c>
      <c r="CD192" s="230">
        <v>-5197500</v>
      </c>
      <c r="CE192" s="229">
        <v>-2.64E-2</v>
      </c>
      <c r="CF192" s="230">
        <v>21263000</v>
      </c>
      <c r="CG192" s="230">
        <v>20487500</v>
      </c>
      <c r="CH192" s="230">
        <v>775500</v>
      </c>
      <c r="CI192" s="229">
        <v>3.7900000000000003E-2</v>
      </c>
      <c r="CJ192" s="230">
        <v>3536500</v>
      </c>
      <c r="CK192" s="230">
        <v>3278000</v>
      </c>
      <c r="CL192" s="230">
        <v>258500</v>
      </c>
      <c r="CM192" s="229">
        <v>7.8899999999999998E-2</v>
      </c>
      <c r="CN192" s="230">
        <v>141982500</v>
      </c>
      <c r="CO192" s="230">
        <v>142010000</v>
      </c>
      <c r="CP192" s="230">
        <v>-27500</v>
      </c>
      <c r="CQ192" s="229">
        <v>-2.0000000000000001E-4</v>
      </c>
      <c r="CR192" s="230">
        <v>116616500</v>
      </c>
      <c r="CS192" s="230">
        <v>114796000</v>
      </c>
      <c r="CT192" s="230">
        <v>1820500</v>
      </c>
      <c r="CU192" s="229">
        <v>1.5900000000000001E-2</v>
      </c>
      <c r="CV192" s="230">
        <v>475156000</v>
      </c>
      <c r="CW192" s="230">
        <v>477526500</v>
      </c>
      <c r="CX192" s="230">
        <v>-2370500</v>
      </c>
      <c r="CY192" s="229">
        <v>-5.0000000000000001E-3</v>
      </c>
      <c r="CZ192" s="228">
        <v>31.51</v>
      </c>
      <c r="DA192" s="228">
        <v>30.54</v>
      </c>
      <c r="DB192" s="228">
        <v>0.97</v>
      </c>
      <c r="DC192" s="228">
        <v>0.97</v>
      </c>
      <c r="DD192" s="228">
        <v>33.79</v>
      </c>
      <c r="DE192" s="228">
        <v>33.880000000000003</v>
      </c>
      <c r="DF192" s="228">
        <v>-2.2799999999999998</v>
      </c>
      <c r="DG192" s="228">
        <v>-0.09</v>
      </c>
      <c r="DH192" s="228">
        <v>30.72</v>
      </c>
      <c r="DI192" s="228">
        <v>29.79</v>
      </c>
      <c r="DJ192" s="228">
        <v>0.93</v>
      </c>
      <c r="DK192" s="228">
        <v>0.93</v>
      </c>
      <c r="DL192" s="228">
        <v>32.92</v>
      </c>
      <c r="DM192" s="228">
        <v>32.19</v>
      </c>
      <c r="DN192" s="228">
        <v>0.73</v>
      </c>
      <c r="DO192" s="228">
        <v>0.73</v>
      </c>
      <c r="DP192" s="228">
        <v>0.82</v>
      </c>
      <c r="DQ192" s="228">
        <v>0.81</v>
      </c>
      <c r="DR192" s="228">
        <v>0.01</v>
      </c>
      <c r="DS192" s="229">
        <v>1.23E-2</v>
      </c>
      <c r="DT192" s="228">
        <v>210</v>
      </c>
      <c r="DU192" s="228">
        <v>190</v>
      </c>
      <c r="DV192" s="228">
        <v>0.56000000000000005</v>
      </c>
      <c r="DW192" s="228">
        <v>0.45</v>
      </c>
      <c r="DX192" s="228">
        <v>0.11</v>
      </c>
      <c r="DY192" s="229">
        <v>0.24440000000000001</v>
      </c>
      <c r="DZ192" s="229">
        <v>0.1145</v>
      </c>
      <c r="EA192" s="230">
        <v>23765500</v>
      </c>
      <c r="EB192" s="229">
        <v>6.1000000000000004E-3</v>
      </c>
      <c r="EC192" s="229">
        <v>0.1145</v>
      </c>
      <c r="ED192" s="228">
        <v>1.23</v>
      </c>
      <c r="EE192" s="229">
        <v>5.8999999999999999E-3</v>
      </c>
      <c r="EF192" s="230">
        <v>22576316</v>
      </c>
      <c r="EG192" s="230">
        <v>49111971</v>
      </c>
      <c r="EH192" s="229">
        <v>-0.5403</v>
      </c>
      <c r="EI192" s="229">
        <v>0.45179999999999998</v>
      </c>
      <c r="EJ192" s="231">
        <v>536580.27</v>
      </c>
      <c r="EK192" s="231">
        <v>282435.27</v>
      </c>
      <c r="EL192" s="231">
        <v>107798.45</v>
      </c>
      <c r="EM192" s="231">
        <v>11808</v>
      </c>
      <c r="EN192" s="231">
        <v>926813.99</v>
      </c>
      <c r="EO192" s="231">
        <v>2330763.0499999998</v>
      </c>
      <c r="EP192" s="231">
        <v>-1403949.06</v>
      </c>
      <c r="EQ192" s="229">
        <v>-0.60240000000000005</v>
      </c>
      <c r="ER192" s="231">
        <v>294147</v>
      </c>
      <c r="ES192" s="231">
        <v>223226</v>
      </c>
      <c r="ET192" s="231">
        <v>451085</v>
      </c>
      <c r="EU192" s="231">
        <v>872935214</v>
      </c>
      <c r="EV192" s="231">
        <v>968458</v>
      </c>
      <c r="EW192" s="231">
        <v>972457</v>
      </c>
      <c r="EX192" s="231">
        <v>-3999</v>
      </c>
      <c r="EY192" s="229">
        <v>-4.1000000000000003E-3</v>
      </c>
      <c r="EZ192" s="229">
        <v>0.54430000000000001</v>
      </c>
      <c r="FA192" s="227" t="s">
        <v>556</v>
      </c>
      <c r="FB192" s="161">
        <f t="shared" si="4"/>
        <v>0</v>
      </c>
    </row>
    <row r="193" spans="1:158" ht="17.25" thickBot="1" x14ac:dyDescent="0.3">
      <c r="A193" s="226">
        <v>46064</v>
      </c>
      <c r="B193" s="227" t="s">
        <v>221</v>
      </c>
      <c r="C193" s="227" t="s">
        <v>663</v>
      </c>
      <c r="D193" s="228">
        <v>800</v>
      </c>
      <c r="E193" s="228">
        <v>628.65</v>
      </c>
      <c r="F193" s="228">
        <v>632.79999999999995</v>
      </c>
      <c r="G193" s="228">
        <v>-4.1500000000000004</v>
      </c>
      <c r="H193" s="229">
        <v>-6.6E-3</v>
      </c>
      <c r="I193" s="228">
        <v>627.95000000000005</v>
      </c>
      <c r="J193" s="228">
        <v>630.70000000000005</v>
      </c>
      <c r="K193" s="228">
        <v>-2.75</v>
      </c>
      <c r="L193" s="229">
        <v>-4.4000000000000003E-3</v>
      </c>
      <c r="M193" s="228">
        <v>628.65</v>
      </c>
      <c r="N193" s="228">
        <v>632.79999999999995</v>
      </c>
      <c r="O193" s="228">
        <v>-4.1500000000000004</v>
      </c>
      <c r="P193" s="229">
        <v>-6.6E-3</v>
      </c>
      <c r="Q193" s="228">
        <v>630.54999999999995</v>
      </c>
      <c r="R193" s="228">
        <v>635.15</v>
      </c>
      <c r="S193" s="228">
        <v>-4.5999999999999996</v>
      </c>
      <c r="T193" s="229">
        <v>-7.1999999999999998E-3</v>
      </c>
      <c r="U193" s="228">
        <v>633</v>
      </c>
      <c r="V193" s="228">
        <v>637.5</v>
      </c>
      <c r="W193" s="228">
        <v>-4.5</v>
      </c>
      <c r="X193" s="229">
        <v>-7.1000000000000004E-3</v>
      </c>
      <c r="Y193" s="228">
        <v>0.7</v>
      </c>
      <c r="Z193" s="228">
        <v>2.1</v>
      </c>
      <c r="AA193" s="228">
        <v>-1.4</v>
      </c>
      <c r="AB193" s="229">
        <v>1.1000000000000001E-3</v>
      </c>
      <c r="AC193" s="228">
        <v>0.7</v>
      </c>
      <c r="AD193" s="228">
        <v>2.1</v>
      </c>
      <c r="AE193" s="228">
        <v>-1.4</v>
      </c>
      <c r="AF193" s="229">
        <v>1.1000000000000001E-3</v>
      </c>
      <c r="AG193" s="228">
        <v>2.6</v>
      </c>
      <c r="AH193" s="228">
        <v>4.45</v>
      </c>
      <c r="AI193" s="228">
        <v>-1.85</v>
      </c>
      <c r="AJ193" s="229">
        <v>4.1000000000000003E-3</v>
      </c>
      <c r="AK193" s="228">
        <v>5.05</v>
      </c>
      <c r="AL193" s="228">
        <v>6.8</v>
      </c>
      <c r="AM193" s="228">
        <v>-1.75</v>
      </c>
      <c r="AN193" s="229">
        <v>8.0000000000000002E-3</v>
      </c>
      <c r="AO193" s="228">
        <v>628.17999999999995</v>
      </c>
      <c r="AP193" s="228">
        <v>630.07000000000005</v>
      </c>
      <c r="AQ193" s="228">
        <v>0</v>
      </c>
      <c r="AR193" s="230">
        <v>1196000</v>
      </c>
      <c r="AS193" s="230">
        <v>2595200</v>
      </c>
      <c r="AT193" s="230">
        <v>-1399200</v>
      </c>
      <c r="AU193" s="229">
        <v>-0.53910000000000002</v>
      </c>
      <c r="AV193" s="230">
        <v>875200</v>
      </c>
      <c r="AW193" s="230">
        <v>2088800</v>
      </c>
      <c r="AX193" s="230">
        <v>-1213600</v>
      </c>
      <c r="AY193" s="229">
        <v>-0.58099999999999996</v>
      </c>
      <c r="AZ193" s="230">
        <v>241600</v>
      </c>
      <c r="BA193" s="230">
        <v>425600</v>
      </c>
      <c r="BB193" s="230">
        <v>-184000</v>
      </c>
      <c r="BC193" s="229">
        <v>-0.43230000000000002</v>
      </c>
      <c r="BD193" s="230">
        <v>79200</v>
      </c>
      <c r="BE193" s="230">
        <v>80800</v>
      </c>
      <c r="BF193" s="230">
        <v>-1600</v>
      </c>
      <c r="BG193" s="229">
        <v>-1.9800000000000002E-2</v>
      </c>
      <c r="BH193" s="230">
        <v>2103200</v>
      </c>
      <c r="BI193" s="230">
        <v>6694400</v>
      </c>
      <c r="BJ193" s="230">
        <v>-4591200</v>
      </c>
      <c r="BK193" s="229">
        <v>-0.68579999999999997</v>
      </c>
      <c r="BL193" s="230">
        <v>1303200</v>
      </c>
      <c r="BM193" s="230">
        <v>2184000</v>
      </c>
      <c r="BN193" s="230">
        <v>-880800</v>
      </c>
      <c r="BO193" s="229">
        <v>-0.40329999999999999</v>
      </c>
      <c r="BP193" s="230">
        <v>4602400</v>
      </c>
      <c r="BQ193" s="230">
        <v>11473600</v>
      </c>
      <c r="BR193" s="230">
        <v>-6871200</v>
      </c>
      <c r="BS193" s="229">
        <v>-0.59889999999999999</v>
      </c>
      <c r="BT193" s="230">
        <v>486186</v>
      </c>
      <c r="BU193" s="230">
        <v>1165910</v>
      </c>
      <c r="BV193" s="230">
        <v>-679724</v>
      </c>
      <c r="BW193" s="229">
        <v>-0.58299999999999996</v>
      </c>
      <c r="BX193" s="230">
        <v>12110400</v>
      </c>
      <c r="BY193" s="230">
        <v>11870400</v>
      </c>
      <c r="BZ193" s="230">
        <v>240000</v>
      </c>
      <c r="CA193" s="229">
        <v>2.0199999999999999E-2</v>
      </c>
      <c r="CB193" s="230">
        <v>10708800</v>
      </c>
      <c r="CC193" s="230">
        <v>10628000</v>
      </c>
      <c r="CD193" s="230">
        <v>80800</v>
      </c>
      <c r="CE193" s="229">
        <v>7.6E-3</v>
      </c>
      <c r="CF193" s="230">
        <v>1156800</v>
      </c>
      <c r="CG193" s="230">
        <v>1052800</v>
      </c>
      <c r="CH193" s="230">
        <v>104000</v>
      </c>
      <c r="CI193" s="229">
        <v>9.8799999999999999E-2</v>
      </c>
      <c r="CJ193" s="230">
        <v>244800</v>
      </c>
      <c r="CK193" s="230">
        <v>189600</v>
      </c>
      <c r="CL193" s="230">
        <v>55200</v>
      </c>
      <c r="CM193" s="229">
        <v>0.29110000000000003</v>
      </c>
      <c r="CN193" s="230">
        <v>5234400</v>
      </c>
      <c r="CO193" s="230">
        <v>5196000</v>
      </c>
      <c r="CP193" s="230">
        <v>38400</v>
      </c>
      <c r="CQ193" s="229">
        <v>7.4000000000000003E-3</v>
      </c>
      <c r="CR193" s="230">
        <v>3539200</v>
      </c>
      <c r="CS193" s="230">
        <v>3480800</v>
      </c>
      <c r="CT193" s="230">
        <v>58400</v>
      </c>
      <c r="CU193" s="229">
        <v>1.6799999999999999E-2</v>
      </c>
      <c r="CV193" s="230">
        <v>20884000</v>
      </c>
      <c r="CW193" s="230">
        <v>20547200</v>
      </c>
      <c r="CX193" s="230">
        <v>336800</v>
      </c>
      <c r="CY193" s="229">
        <v>1.6400000000000001E-2</v>
      </c>
      <c r="CZ193" s="228">
        <v>30.81</v>
      </c>
      <c r="DA193" s="228">
        <v>29.81</v>
      </c>
      <c r="DB193" s="228">
        <v>1</v>
      </c>
      <c r="DC193" s="228">
        <v>1</v>
      </c>
      <c r="DD193" s="228">
        <v>30.61</v>
      </c>
      <c r="DE193" s="228">
        <v>30.68</v>
      </c>
      <c r="DF193" s="228">
        <v>0.2</v>
      </c>
      <c r="DG193" s="228">
        <v>-7.0000000000000007E-2</v>
      </c>
      <c r="DH193" s="228">
        <v>31.13</v>
      </c>
      <c r="DI193" s="228">
        <v>29.66</v>
      </c>
      <c r="DJ193" s="228">
        <v>1.47</v>
      </c>
      <c r="DK193" s="228">
        <v>1.47</v>
      </c>
      <c r="DL193" s="228">
        <v>30.29</v>
      </c>
      <c r="DM193" s="228">
        <v>30.27</v>
      </c>
      <c r="DN193" s="228">
        <v>0.02</v>
      </c>
      <c r="DO193" s="228">
        <v>0.02</v>
      </c>
      <c r="DP193" s="228">
        <v>0.68</v>
      </c>
      <c r="DQ193" s="228">
        <v>0.67</v>
      </c>
      <c r="DR193" s="228">
        <v>0.01</v>
      </c>
      <c r="DS193" s="229">
        <v>1.49E-2</v>
      </c>
      <c r="DT193" s="228">
        <v>650</v>
      </c>
      <c r="DU193" s="228">
        <v>620</v>
      </c>
      <c r="DV193" s="228">
        <v>0.62</v>
      </c>
      <c r="DW193" s="228">
        <v>0.33</v>
      </c>
      <c r="DX193" s="228">
        <v>0.28999999999999998</v>
      </c>
      <c r="DY193" s="229">
        <v>0.87880000000000003</v>
      </c>
      <c r="DZ193" s="229">
        <v>0.1157</v>
      </c>
      <c r="EA193" s="230">
        <v>1242400</v>
      </c>
      <c r="EB193" s="229">
        <v>3.0000000000000001E-3</v>
      </c>
      <c r="EC193" s="229">
        <v>0.1157</v>
      </c>
      <c r="ED193" s="228">
        <v>1.89</v>
      </c>
      <c r="EE193" s="229">
        <v>3.0000000000000001E-3</v>
      </c>
      <c r="EF193" s="230">
        <v>189110</v>
      </c>
      <c r="EG193" s="230">
        <v>398061</v>
      </c>
      <c r="EH193" s="229">
        <v>-0.52490000000000003</v>
      </c>
      <c r="EI193" s="229">
        <v>0.38900000000000001</v>
      </c>
      <c r="EJ193" s="231">
        <v>13905.47</v>
      </c>
      <c r="EK193" s="231">
        <v>8197.5400000000009</v>
      </c>
      <c r="EL193" s="231">
        <v>7521.82</v>
      </c>
      <c r="EM193" s="231">
        <v>3477</v>
      </c>
      <c r="EN193" s="231">
        <v>29624.83</v>
      </c>
      <c r="EO193" s="231">
        <v>74222.91</v>
      </c>
      <c r="EP193" s="231">
        <v>-44598.080000000002</v>
      </c>
      <c r="EQ193" s="229">
        <v>-0.60089999999999999</v>
      </c>
      <c r="ER193" s="231">
        <v>35152</v>
      </c>
      <c r="ES193" s="231">
        <v>22575</v>
      </c>
      <c r="ET193" s="231">
        <v>76165</v>
      </c>
      <c r="EU193" s="231">
        <v>25116370</v>
      </c>
      <c r="EV193" s="231">
        <v>133892</v>
      </c>
      <c r="EW193" s="231">
        <v>132328</v>
      </c>
      <c r="EX193" s="231">
        <v>1564</v>
      </c>
      <c r="EY193" s="229">
        <v>1.18E-2</v>
      </c>
      <c r="EZ193" s="229">
        <v>0.83150000000000002</v>
      </c>
      <c r="FA193" s="227" t="s">
        <v>567</v>
      </c>
      <c r="FB193" s="161">
        <f t="shared" si="4"/>
        <v>0</v>
      </c>
    </row>
    <row r="194" spans="1:158" ht="17.25" thickBot="1" x14ac:dyDescent="0.3">
      <c r="A194" s="226">
        <v>46064</v>
      </c>
      <c r="B194" s="227" t="s">
        <v>221</v>
      </c>
      <c r="C194" s="227" t="s">
        <v>295</v>
      </c>
      <c r="D194" s="228">
        <v>175</v>
      </c>
      <c r="E194" s="231">
        <v>2918.3</v>
      </c>
      <c r="F194" s="231">
        <v>2991.7</v>
      </c>
      <c r="G194" s="228">
        <v>-73.400000000000006</v>
      </c>
      <c r="H194" s="229">
        <v>-2.4500000000000001E-2</v>
      </c>
      <c r="I194" s="231">
        <v>2909.8</v>
      </c>
      <c r="J194" s="231">
        <v>2984.6</v>
      </c>
      <c r="K194" s="228">
        <v>-74.8</v>
      </c>
      <c r="L194" s="229">
        <v>-2.5100000000000001E-2</v>
      </c>
      <c r="M194" s="231">
        <v>2918.3</v>
      </c>
      <c r="N194" s="231">
        <v>2991.7</v>
      </c>
      <c r="O194" s="228">
        <v>-73.400000000000006</v>
      </c>
      <c r="P194" s="229">
        <v>-2.4500000000000001E-2</v>
      </c>
      <c r="Q194" s="231">
        <v>2936.3</v>
      </c>
      <c r="R194" s="231">
        <v>3010.4</v>
      </c>
      <c r="S194" s="228">
        <v>-74.099999999999994</v>
      </c>
      <c r="T194" s="229">
        <v>-2.46E-2</v>
      </c>
      <c r="U194" s="231">
        <v>2954.8</v>
      </c>
      <c r="V194" s="231">
        <v>3027.2</v>
      </c>
      <c r="W194" s="228">
        <v>-72.400000000000006</v>
      </c>
      <c r="X194" s="229">
        <v>-2.3900000000000001E-2</v>
      </c>
      <c r="Y194" s="228">
        <v>8.5</v>
      </c>
      <c r="Z194" s="228">
        <v>7.1</v>
      </c>
      <c r="AA194" s="228">
        <v>1.4</v>
      </c>
      <c r="AB194" s="229">
        <v>2.8999999999999998E-3</v>
      </c>
      <c r="AC194" s="228">
        <v>8.5</v>
      </c>
      <c r="AD194" s="228">
        <v>7.1</v>
      </c>
      <c r="AE194" s="228">
        <v>1.4</v>
      </c>
      <c r="AF194" s="229">
        <v>2.8999999999999998E-3</v>
      </c>
      <c r="AG194" s="228">
        <v>26.5</v>
      </c>
      <c r="AH194" s="228">
        <v>25.8</v>
      </c>
      <c r="AI194" s="228">
        <v>0.7</v>
      </c>
      <c r="AJ194" s="229">
        <v>9.1000000000000004E-3</v>
      </c>
      <c r="AK194" s="228">
        <v>45</v>
      </c>
      <c r="AL194" s="228">
        <v>42.6</v>
      </c>
      <c r="AM194" s="228">
        <v>2.4</v>
      </c>
      <c r="AN194" s="229">
        <v>1.55E-2</v>
      </c>
      <c r="AO194" s="231">
        <v>2951.44</v>
      </c>
      <c r="AP194" s="231">
        <v>2964.31</v>
      </c>
      <c r="AQ194" s="228">
        <v>0</v>
      </c>
      <c r="AR194" s="230">
        <v>4037600</v>
      </c>
      <c r="AS194" s="230">
        <v>4846625</v>
      </c>
      <c r="AT194" s="230">
        <v>-809025</v>
      </c>
      <c r="AU194" s="229">
        <v>-0.16689999999999999</v>
      </c>
      <c r="AV194" s="230">
        <v>3196900</v>
      </c>
      <c r="AW194" s="230">
        <v>4431525</v>
      </c>
      <c r="AX194" s="230">
        <v>-1234625</v>
      </c>
      <c r="AY194" s="229">
        <v>-0.27860000000000001</v>
      </c>
      <c r="AZ194" s="230">
        <v>735700</v>
      </c>
      <c r="BA194" s="230">
        <v>342825</v>
      </c>
      <c r="BB194" s="230">
        <v>392875</v>
      </c>
      <c r="BC194" s="229">
        <v>1.1459999999999999</v>
      </c>
      <c r="BD194" s="230">
        <v>105000</v>
      </c>
      <c r="BE194" s="230">
        <v>72275</v>
      </c>
      <c r="BF194" s="230">
        <v>32725</v>
      </c>
      <c r="BG194" s="229">
        <v>0.45279999999999998</v>
      </c>
      <c r="BH194" s="230">
        <v>24082975</v>
      </c>
      <c r="BI194" s="230">
        <v>25289950</v>
      </c>
      <c r="BJ194" s="230">
        <v>-1206975</v>
      </c>
      <c r="BK194" s="229">
        <v>-4.7699999999999999E-2</v>
      </c>
      <c r="BL194" s="230">
        <v>15260175</v>
      </c>
      <c r="BM194" s="230">
        <v>11415425</v>
      </c>
      <c r="BN194" s="230">
        <v>3844750</v>
      </c>
      <c r="BO194" s="229">
        <v>0.33679999999999999</v>
      </c>
      <c r="BP194" s="230">
        <v>43380750</v>
      </c>
      <c r="BQ194" s="230">
        <v>41552000</v>
      </c>
      <c r="BR194" s="230">
        <v>1828750</v>
      </c>
      <c r="BS194" s="229">
        <v>4.3999999999999997E-2</v>
      </c>
      <c r="BT194" s="230">
        <v>3512931</v>
      </c>
      <c r="BU194" s="230">
        <v>4016096</v>
      </c>
      <c r="BV194" s="230">
        <v>-503165</v>
      </c>
      <c r="BW194" s="229">
        <v>-0.12529999999999999</v>
      </c>
      <c r="BX194" s="230">
        <v>26766250</v>
      </c>
      <c r="BY194" s="230">
        <v>25944275</v>
      </c>
      <c r="BZ194" s="230">
        <v>821975</v>
      </c>
      <c r="CA194" s="229">
        <v>3.1699999999999999E-2</v>
      </c>
      <c r="CB194" s="230">
        <v>23532775</v>
      </c>
      <c r="CC194" s="230">
        <v>23189075</v>
      </c>
      <c r="CD194" s="230">
        <v>343700</v>
      </c>
      <c r="CE194" s="229">
        <v>1.4800000000000001E-2</v>
      </c>
      <c r="CF194" s="230">
        <v>2781100</v>
      </c>
      <c r="CG194" s="230">
        <v>2375450</v>
      </c>
      <c r="CH194" s="230">
        <v>405650</v>
      </c>
      <c r="CI194" s="229">
        <v>0.17080000000000001</v>
      </c>
      <c r="CJ194" s="230">
        <v>452375</v>
      </c>
      <c r="CK194" s="230">
        <v>379750</v>
      </c>
      <c r="CL194" s="230">
        <v>72625</v>
      </c>
      <c r="CM194" s="229">
        <v>0.19120000000000001</v>
      </c>
      <c r="CN194" s="230">
        <v>22135750</v>
      </c>
      <c r="CO194" s="230">
        <v>20279175</v>
      </c>
      <c r="CP194" s="230">
        <v>1856575</v>
      </c>
      <c r="CQ194" s="229">
        <v>9.1600000000000001E-2</v>
      </c>
      <c r="CR194" s="230">
        <v>12608400</v>
      </c>
      <c r="CS194" s="230">
        <v>11608275</v>
      </c>
      <c r="CT194" s="230">
        <v>1000125</v>
      </c>
      <c r="CU194" s="229">
        <v>8.6199999999999999E-2</v>
      </c>
      <c r="CV194" s="230">
        <v>61510400</v>
      </c>
      <c r="CW194" s="230">
        <v>57831725</v>
      </c>
      <c r="CX194" s="230">
        <v>3678675</v>
      </c>
      <c r="CY194" s="229">
        <v>6.3600000000000004E-2</v>
      </c>
      <c r="CZ194" s="228">
        <v>30.29</v>
      </c>
      <c r="DA194" s="228">
        <v>26.5</v>
      </c>
      <c r="DB194" s="228">
        <v>3.79</v>
      </c>
      <c r="DC194" s="228">
        <v>3.79</v>
      </c>
      <c r="DD194" s="228">
        <v>25.65</v>
      </c>
      <c r="DE194" s="228">
        <v>25.48</v>
      </c>
      <c r="DF194" s="228">
        <v>4.6399999999999997</v>
      </c>
      <c r="DG194" s="228">
        <v>0.17</v>
      </c>
      <c r="DH194" s="228">
        <v>30.3</v>
      </c>
      <c r="DI194" s="228">
        <v>26.25</v>
      </c>
      <c r="DJ194" s="228">
        <v>4.05</v>
      </c>
      <c r="DK194" s="228">
        <v>4.05</v>
      </c>
      <c r="DL194" s="228">
        <v>30.28</v>
      </c>
      <c r="DM194" s="228">
        <v>27.07</v>
      </c>
      <c r="DN194" s="228">
        <v>3.21</v>
      </c>
      <c r="DO194" s="228">
        <v>3.21</v>
      </c>
      <c r="DP194" s="228">
        <v>0.56999999999999995</v>
      </c>
      <c r="DQ194" s="228">
        <v>0.56999999999999995</v>
      </c>
      <c r="DR194" s="228">
        <v>0</v>
      </c>
      <c r="DS194" s="229">
        <v>0</v>
      </c>
      <c r="DT194" s="231">
        <v>3200</v>
      </c>
      <c r="DU194" s="231">
        <v>3000</v>
      </c>
      <c r="DV194" s="228">
        <v>0.63</v>
      </c>
      <c r="DW194" s="228">
        <v>0.45</v>
      </c>
      <c r="DX194" s="228">
        <v>0.18</v>
      </c>
      <c r="DY194" s="229">
        <v>0.4</v>
      </c>
      <c r="DZ194" s="229">
        <v>0.1208</v>
      </c>
      <c r="EA194" s="230">
        <v>2755200</v>
      </c>
      <c r="EB194" s="229">
        <v>6.1999999999999998E-3</v>
      </c>
      <c r="EC194" s="229">
        <v>0.1208</v>
      </c>
      <c r="ED194" s="228">
        <v>12.87</v>
      </c>
      <c r="EE194" s="229">
        <v>4.4000000000000003E-3</v>
      </c>
      <c r="EF194" s="230">
        <v>2294051</v>
      </c>
      <c r="EG194" s="230">
        <v>2415797</v>
      </c>
      <c r="EH194" s="229">
        <v>-5.04E-2</v>
      </c>
      <c r="EI194" s="229">
        <v>0.65300000000000002</v>
      </c>
      <c r="EJ194" s="231">
        <v>750830.12</v>
      </c>
      <c r="EK194" s="231">
        <v>446339.53</v>
      </c>
      <c r="EL194" s="231">
        <v>119286.98</v>
      </c>
      <c r="EM194" s="231">
        <v>33364</v>
      </c>
      <c r="EN194" s="231">
        <v>1316456.6299999999</v>
      </c>
      <c r="EO194" s="231">
        <v>1272483.33</v>
      </c>
      <c r="EP194" s="231">
        <v>43973.3</v>
      </c>
      <c r="EQ194" s="229">
        <v>3.4599999999999999E-2</v>
      </c>
      <c r="ER194" s="231">
        <v>698369</v>
      </c>
      <c r="ES194" s="231">
        <v>374911</v>
      </c>
      <c r="ET194" s="231">
        <v>781785</v>
      </c>
      <c r="EU194" s="231">
        <v>126444612</v>
      </c>
      <c r="EV194" s="231">
        <v>1855064</v>
      </c>
      <c r="EW194" s="231">
        <v>1767814</v>
      </c>
      <c r="EX194" s="231">
        <v>87250</v>
      </c>
      <c r="EY194" s="229">
        <v>4.9399999999999999E-2</v>
      </c>
      <c r="EZ194" s="229">
        <v>0.48649999999999999</v>
      </c>
      <c r="FA194" s="227" t="s">
        <v>567</v>
      </c>
      <c r="FB194" s="161">
        <f t="shared" si="4"/>
        <v>0</v>
      </c>
    </row>
    <row r="195" spans="1:158" ht="17.25" thickBot="1" x14ac:dyDescent="0.3">
      <c r="A195" s="226">
        <v>46064</v>
      </c>
      <c r="B195" s="227" t="s">
        <v>221</v>
      </c>
      <c r="C195" s="227" t="s">
        <v>296</v>
      </c>
      <c r="D195" s="228">
        <v>600</v>
      </c>
      <c r="E195" s="231">
        <v>1633.9</v>
      </c>
      <c r="F195" s="231">
        <v>1645.4</v>
      </c>
      <c r="G195" s="228">
        <v>-11.5</v>
      </c>
      <c r="H195" s="229">
        <v>-7.0000000000000001E-3</v>
      </c>
      <c r="I195" s="231">
        <v>1634.4</v>
      </c>
      <c r="J195" s="231">
        <v>1644.6</v>
      </c>
      <c r="K195" s="228">
        <v>-10.199999999999999</v>
      </c>
      <c r="L195" s="229">
        <v>-6.1999999999999998E-3</v>
      </c>
      <c r="M195" s="231">
        <v>1633.9</v>
      </c>
      <c r="N195" s="231">
        <v>1645.4</v>
      </c>
      <c r="O195" s="228">
        <v>-11.5</v>
      </c>
      <c r="P195" s="229">
        <v>-7.0000000000000001E-3</v>
      </c>
      <c r="Q195" s="231">
        <v>1643.4</v>
      </c>
      <c r="R195" s="231">
        <v>1655.3</v>
      </c>
      <c r="S195" s="228">
        <v>-11.9</v>
      </c>
      <c r="T195" s="229">
        <v>-7.1999999999999998E-3</v>
      </c>
      <c r="U195" s="231">
        <v>1651</v>
      </c>
      <c r="V195" s="231">
        <v>1665.7</v>
      </c>
      <c r="W195" s="228">
        <v>-14.7</v>
      </c>
      <c r="X195" s="229">
        <v>-8.8000000000000005E-3</v>
      </c>
      <c r="Y195" s="228">
        <v>-0.5</v>
      </c>
      <c r="Z195" s="228">
        <v>0.8</v>
      </c>
      <c r="AA195" s="228">
        <v>-1.3</v>
      </c>
      <c r="AB195" s="229">
        <v>-2.9999999999999997E-4</v>
      </c>
      <c r="AC195" s="228">
        <v>-0.5</v>
      </c>
      <c r="AD195" s="228">
        <v>0.8</v>
      </c>
      <c r="AE195" s="228">
        <v>-1.3</v>
      </c>
      <c r="AF195" s="229">
        <v>-2.9999999999999997E-4</v>
      </c>
      <c r="AG195" s="228">
        <v>9</v>
      </c>
      <c r="AH195" s="228">
        <v>10.7</v>
      </c>
      <c r="AI195" s="228">
        <v>-1.7</v>
      </c>
      <c r="AJ195" s="229">
        <v>5.4999999999999997E-3</v>
      </c>
      <c r="AK195" s="228">
        <v>16.600000000000001</v>
      </c>
      <c r="AL195" s="228">
        <v>21.1</v>
      </c>
      <c r="AM195" s="228">
        <v>-4.5</v>
      </c>
      <c r="AN195" s="229">
        <v>1.0200000000000001E-2</v>
      </c>
      <c r="AO195" s="231">
        <v>1640.52</v>
      </c>
      <c r="AP195" s="231">
        <v>1651.48</v>
      </c>
      <c r="AQ195" s="228">
        <v>0</v>
      </c>
      <c r="AR195" s="230">
        <v>2134200</v>
      </c>
      <c r="AS195" s="230">
        <v>3445800</v>
      </c>
      <c r="AT195" s="230">
        <v>-1311600</v>
      </c>
      <c r="AU195" s="229">
        <v>-0.38059999999999999</v>
      </c>
      <c r="AV195" s="230">
        <v>1999800</v>
      </c>
      <c r="AW195" s="230">
        <v>3138600</v>
      </c>
      <c r="AX195" s="230">
        <v>-1138800</v>
      </c>
      <c r="AY195" s="229">
        <v>-0.36280000000000001</v>
      </c>
      <c r="AZ195" s="230">
        <v>123600</v>
      </c>
      <c r="BA195" s="230">
        <v>256200</v>
      </c>
      <c r="BB195" s="230">
        <v>-132600</v>
      </c>
      <c r="BC195" s="229">
        <v>-0.51759999999999995</v>
      </c>
      <c r="BD195" s="230">
        <v>10800</v>
      </c>
      <c r="BE195" s="230">
        <v>51000</v>
      </c>
      <c r="BF195" s="230">
        <v>-40200</v>
      </c>
      <c r="BG195" s="229">
        <v>-0.78820000000000001</v>
      </c>
      <c r="BH195" s="230">
        <v>6001200</v>
      </c>
      <c r="BI195" s="230">
        <v>14967600</v>
      </c>
      <c r="BJ195" s="230">
        <v>-8966400</v>
      </c>
      <c r="BK195" s="229">
        <v>-0.59909999999999997</v>
      </c>
      <c r="BL195" s="230">
        <v>4774200</v>
      </c>
      <c r="BM195" s="230">
        <v>6522000</v>
      </c>
      <c r="BN195" s="230">
        <v>-1747800</v>
      </c>
      <c r="BO195" s="229">
        <v>-0.26800000000000002</v>
      </c>
      <c r="BP195" s="230">
        <v>12909600</v>
      </c>
      <c r="BQ195" s="230">
        <v>24935400</v>
      </c>
      <c r="BR195" s="230">
        <v>-12025800</v>
      </c>
      <c r="BS195" s="229">
        <v>-0.48230000000000001</v>
      </c>
      <c r="BT195" s="230">
        <v>1544594</v>
      </c>
      <c r="BU195" s="230">
        <v>1916319</v>
      </c>
      <c r="BV195" s="230">
        <v>-371725</v>
      </c>
      <c r="BW195" s="229">
        <v>-0.19400000000000001</v>
      </c>
      <c r="BX195" s="230">
        <v>17491800</v>
      </c>
      <c r="BY195" s="230">
        <v>17854200</v>
      </c>
      <c r="BZ195" s="230">
        <v>-362400</v>
      </c>
      <c r="CA195" s="229">
        <v>-2.0299999999999999E-2</v>
      </c>
      <c r="CB195" s="230">
        <v>16868400</v>
      </c>
      <c r="CC195" s="230">
        <v>17272200</v>
      </c>
      <c r="CD195" s="230">
        <v>-403800</v>
      </c>
      <c r="CE195" s="229">
        <v>-2.3400000000000001E-2</v>
      </c>
      <c r="CF195" s="230">
        <v>572400</v>
      </c>
      <c r="CG195" s="230">
        <v>535800</v>
      </c>
      <c r="CH195" s="230">
        <v>36600</v>
      </c>
      <c r="CI195" s="229">
        <v>6.83E-2</v>
      </c>
      <c r="CJ195" s="230">
        <v>51000</v>
      </c>
      <c r="CK195" s="230">
        <v>46200</v>
      </c>
      <c r="CL195" s="230">
        <v>4800</v>
      </c>
      <c r="CM195" s="229">
        <v>0.10390000000000001</v>
      </c>
      <c r="CN195" s="230">
        <v>9282600</v>
      </c>
      <c r="CO195" s="230">
        <v>9089400</v>
      </c>
      <c r="CP195" s="230">
        <v>193200</v>
      </c>
      <c r="CQ195" s="229">
        <v>2.1299999999999999E-2</v>
      </c>
      <c r="CR195" s="230">
        <v>5728200</v>
      </c>
      <c r="CS195" s="230">
        <v>5591400</v>
      </c>
      <c r="CT195" s="230">
        <v>136800</v>
      </c>
      <c r="CU195" s="229">
        <v>2.4500000000000001E-2</v>
      </c>
      <c r="CV195" s="230">
        <v>32502600</v>
      </c>
      <c r="CW195" s="230">
        <v>32535000</v>
      </c>
      <c r="CX195" s="230">
        <v>-32400</v>
      </c>
      <c r="CY195" s="229">
        <v>-1E-3</v>
      </c>
      <c r="CZ195" s="228">
        <v>28.28</v>
      </c>
      <c r="DA195" s="228">
        <v>26.85</v>
      </c>
      <c r="DB195" s="228">
        <v>1.43</v>
      </c>
      <c r="DC195" s="228">
        <v>1.43</v>
      </c>
      <c r="DD195" s="228">
        <v>29.13</v>
      </c>
      <c r="DE195" s="228">
        <v>29.19</v>
      </c>
      <c r="DF195" s="228">
        <v>-0.85</v>
      </c>
      <c r="DG195" s="228">
        <v>-0.06</v>
      </c>
      <c r="DH195" s="228">
        <v>28.08</v>
      </c>
      <c r="DI195" s="228">
        <v>26.66</v>
      </c>
      <c r="DJ195" s="228">
        <v>1.42</v>
      </c>
      <c r="DK195" s="228">
        <v>1.42</v>
      </c>
      <c r="DL195" s="228">
        <v>28.54</v>
      </c>
      <c r="DM195" s="228">
        <v>27.28</v>
      </c>
      <c r="DN195" s="228">
        <v>1.26</v>
      </c>
      <c r="DO195" s="228">
        <v>1.26</v>
      </c>
      <c r="DP195" s="228">
        <v>0.62</v>
      </c>
      <c r="DQ195" s="228">
        <v>0.62</v>
      </c>
      <c r="DR195" s="228">
        <v>0</v>
      </c>
      <c r="DS195" s="229">
        <v>0</v>
      </c>
      <c r="DT195" s="231">
        <v>1760</v>
      </c>
      <c r="DU195" s="231">
        <v>1620</v>
      </c>
      <c r="DV195" s="228">
        <v>0.8</v>
      </c>
      <c r="DW195" s="228">
        <v>0.44</v>
      </c>
      <c r="DX195" s="228">
        <v>0.36</v>
      </c>
      <c r="DY195" s="229">
        <v>0.81820000000000004</v>
      </c>
      <c r="DZ195" s="229">
        <v>3.56E-2</v>
      </c>
      <c r="EA195" s="230">
        <v>582000</v>
      </c>
      <c r="EB195" s="229">
        <v>5.7999999999999996E-3</v>
      </c>
      <c r="EC195" s="229">
        <v>3.56E-2</v>
      </c>
      <c r="ED195" s="228">
        <v>10.96</v>
      </c>
      <c r="EE195" s="229">
        <v>6.7000000000000002E-3</v>
      </c>
      <c r="EF195" s="230">
        <v>976596</v>
      </c>
      <c r="EG195" s="230">
        <v>1114727</v>
      </c>
      <c r="EH195" s="229">
        <v>-0.1239</v>
      </c>
      <c r="EI195" s="229">
        <v>0.63229999999999997</v>
      </c>
      <c r="EJ195" s="231">
        <v>102500.11</v>
      </c>
      <c r="EK195" s="231">
        <v>77229.19</v>
      </c>
      <c r="EL195" s="231">
        <v>35028.019999999997</v>
      </c>
      <c r="EM195" s="231">
        <v>6162</v>
      </c>
      <c r="EN195" s="231">
        <v>214757.32</v>
      </c>
      <c r="EO195" s="231">
        <v>418237.71</v>
      </c>
      <c r="EP195" s="231">
        <v>-203480.39</v>
      </c>
      <c r="EQ195" s="229">
        <v>-0.48649999999999999</v>
      </c>
      <c r="ER195" s="231">
        <v>161949</v>
      </c>
      <c r="ES195" s="231">
        <v>91879</v>
      </c>
      <c r="ET195" s="231">
        <v>285862</v>
      </c>
      <c r="EU195" s="231">
        <v>80031540</v>
      </c>
      <c r="EV195" s="231">
        <v>539689</v>
      </c>
      <c r="EW195" s="231">
        <v>542409</v>
      </c>
      <c r="EX195" s="231">
        <v>-2720</v>
      </c>
      <c r="EY195" s="229">
        <v>-5.0000000000000001E-3</v>
      </c>
      <c r="EZ195" s="229">
        <v>0.40610000000000002</v>
      </c>
      <c r="FA195" s="227" t="s">
        <v>568</v>
      </c>
      <c r="FB195" s="161">
        <f t="shared" ref="FB195:FB258" si="5">BX260-CB260</f>
        <v>0</v>
      </c>
    </row>
    <row r="196" spans="1:158" ht="17.25" thickBot="1" x14ac:dyDescent="0.3">
      <c r="A196" s="226">
        <v>46064</v>
      </c>
      <c r="B196" s="227" t="s">
        <v>184</v>
      </c>
      <c r="C196" s="227" t="s">
        <v>595</v>
      </c>
      <c r="D196" s="228">
        <v>200</v>
      </c>
      <c r="E196" s="231">
        <v>2451.8000000000002</v>
      </c>
      <c r="F196" s="231">
        <v>2448.8000000000002</v>
      </c>
      <c r="G196" s="228">
        <v>3</v>
      </c>
      <c r="H196" s="229">
        <v>1.1999999999999999E-3</v>
      </c>
      <c r="I196" s="231">
        <v>2450.1999999999998</v>
      </c>
      <c r="J196" s="231">
        <v>2438.6</v>
      </c>
      <c r="K196" s="228">
        <v>11.6</v>
      </c>
      <c r="L196" s="229">
        <v>4.7999999999999996E-3</v>
      </c>
      <c r="M196" s="231">
        <v>2451.8000000000002</v>
      </c>
      <c r="N196" s="231">
        <v>2448.8000000000002</v>
      </c>
      <c r="O196" s="228">
        <v>3</v>
      </c>
      <c r="P196" s="229">
        <v>1.1999999999999999E-3</v>
      </c>
      <c r="Q196" s="231">
        <v>2465.4</v>
      </c>
      <c r="R196" s="231">
        <v>2463.3000000000002</v>
      </c>
      <c r="S196" s="228">
        <v>2.1</v>
      </c>
      <c r="T196" s="229">
        <v>8.9999999999999998E-4</v>
      </c>
      <c r="U196" s="231">
        <v>2478.8000000000002</v>
      </c>
      <c r="V196" s="231">
        <v>2478.3000000000002</v>
      </c>
      <c r="W196" s="228">
        <v>0.5</v>
      </c>
      <c r="X196" s="229">
        <v>2.0000000000000001E-4</v>
      </c>
      <c r="Y196" s="228">
        <v>1.6</v>
      </c>
      <c r="Z196" s="228">
        <v>10.199999999999999</v>
      </c>
      <c r="AA196" s="228">
        <v>-8.6</v>
      </c>
      <c r="AB196" s="229">
        <v>6.9999999999999999E-4</v>
      </c>
      <c r="AC196" s="228">
        <v>1.6</v>
      </c>
      <c r="AD196" s="228">
        <v>10.199999999999999</v>
      </c>
      <c r="AE196" s="228">
        <v>-8.6</v>
      </c>
      <c r="AF196" s="229">
        <v>6.9999999999999999E-4</v>
      </c>
      <c r="AG196" s="228">
        <v>15.2</v>
      </c>
      <c r="AH196" s="228">
        <v>24.7</v>
      </c>
      <c r="AI196" s="228">
        <v>-9.5</v>
      </c>
      <c r="AJ196" s="229">
        <v>6.1999999999999998E-3</v>
      </c>
      <c r="AK196" s="228">
        <v>28.6</v>
      </c>
      <c r="AL196" s="228">
        <v>39.700000000000003</v>
      </c>
      <c r="AM196" s="228">
        <v>-11.1</v>
      </c>
      <c r="AN196" s="229">
        <v>1.17E-2</v>
      </c>
      <c r="AO196" s="231">
        <v>2453.92</v>
      </c>
      <c r="AP196" s="231">
        <v>2467.09</v>
      </c>
      <c r="AQ196" s="228">
        <v>0</v>
      </c>
      <c r="AR196" s="230">
        <v>514800</v>
      </c>
      <c r="AS196" s="230">
        <v>996200</v>
      </c>
      <c r="AT196" s="230">
        <v>-481400</v>
      </c>
      <c r="AU196" s="229">
        <v>-0.48320000000000002</v>
      </c>
      <c r="AV196" s="230">
        <v>466400</v>
      </c>
      <c r="AW196" s="230">
        <v>927200</v>
      </c>
      <c r="AX196" s="230">
        <v>-460800</v>
      </c>
      <c r="AY196" s="229">
        <v>-0.497</v>
      </c>
      <c r="AZ196" s="230">
        <v>45400</v>
      </c>
      <c r="BA196" s="230">
        <v>63200</v>
      </c>
      <c r="BB196" s="230">
        <v>-17800</v>
      </c>
      <c r="BC196" s="229">
        <v>-0.28160000000000002</v>
      </c>
      <c r="BD196" s="230">
        <v>3000</v>
      </c>
      <c r="BE196" s="230">
        <v>5800</v>
      </c>
      <c r="BF196" s="230">
        <v>-2800</v>
      </c>
      <c r="BG196" s="229">
        <v>-0.48280000000000001</v>
      </c>
      <c r="BH196" s="230">
        <v>2070600</v>
      </c>
      <c r="BI196" s="230">
        <v>4381400</v>
      </c>
      <c r="BJ196" s="230">
        <v>-2310800</v>
      </c>
      <c r="BK196" s="229">
        <v>-0.52739999999999998</v>
      </c>
      <c r="BL196" s="230">
        <v>561400</v>
      </c>
      <c r="BM196" s="230">
        <v>1646800</v>
      </c>
      <c r="BN196" s="230">
        <v>-1085400</v>
      </c>
      <c r="BO196" s="229">
        <v>-0.65910000000000002</v>
      </c>
      <c r="BP196" s="230">
        <v>3146800</v>
      </c>
      <c r="BQ196" s="230">
        <v>7024400</v>
      </c>
      <c r="BR196" s="230">
        <v>-3877600</v>
      </c>
      <c r="BS196" s="229">
        <v>-0.55200000000000005</v>
      </c>
      <c r="BT196" s="230">
        <v>370514</v>
      </c>
      <c r="BU196" s="230">
        <v>1382285</v>
      </c>
      <c r="BV196" s="230">
        <v>-1011771</v>
      </c>
      <c r="BW196" s="229">
        <v>-0.73199999999999998</v>
      </c>
      <c r="BX196" s="230">
        <v>3631000</v>
      </c>
      <c r="BY196" s="230">
        <v>3642200</v>
      </c>
      <c r="BZ196" s="230">
        <v>-11200</v>
      </c>
      <c r="CA196" s="229">
        <v>-3.0999999999999999E-3</v>
      </c>
      <c r="CB196" s="230">
        <v>3490400</v>
      </c>
      <c r="CC196" s="230">
        <v>3505600</v>
      </c>
      <c r="CD196" s="230">
        <v>-15200</v>
      </c>
      <c r="CE196" s="229">
        <v>-4.3E-3</v>
      </c>
      <c r="CF196" s="230">
        <v>126400</v>
      </c>
      <c r="CG196" s="230">
        <v>121400</v>
      </c>
      <c r="CH196" s="230">
        <v>5000</v>
      </c>
      <c r="CI196" s="229">
        <v>4.1200000000000001E-2</v>
      </c>
      <c r="CJ196" s="230">
        <v>14200</v>
      </c>
      <c r="CK196" s="230">
        <v>15200</v>
      </c>
      <c r="CL196" s="230">
        <v>-1000</v>
      </c>
      <c r="CM196" s="229">
        <v>-6.5799999999999997E-2</v>
      </c>
      <c r="CN196" s="230">
        <v>1609600</v>
      </c>
      <c r="CO196" s="230">
        <v>1705600</v>
      </c>
      <c r="CP196" s="230">
        <v>-96000</v>
      </c>
      <c r="CQ196" s="229">
        <v>-5.6300000000000003E-2</v>
      </c>
      <c r="CR196" s="230">
        <v>889600</v>
      </c>
      <c r="CS196" s="230">
        <v>925000</v>
      </c>
      <c r="CT196" s="230">
        <v>-35400</v>
      </c>
      <c r="CU196" s="229">
        <v>-3.8300000000000001E-2</v>
      </c>
      <c r="CV196" s="230">
        <v>6130200</v>
      </c>
      <c r="CW196" s="230">
        <v>6272800</v>
      </c>
      <c r="CX196" s="230">
        <v>-142600</v>
      </c>
      <c r="CY196" s="229">
        <v>-2.2700000000000001E-2</v>
      </c>
      <c r="CZ196" s="228">
        <v>37.729999999999997</v>
      </c>
      <c r="DA196" s="228">
        <v>38.15</v>
      </c>
      <c r="DB196" s="228">
        <v>-0.42</v>
      </c>
      <c r="DC196" s="228">
        <v>-0.42</v>
      </c>
      <c r="DD196" s="228">
        <v>43.74</v>
      </c>
      <c r="DE196" s="228">
        <v>43.85</v>
      </c>
      <c r="DF196" s="228">
        <v>-6.01</v>
      </c>
      <c r="DG196" s="228">
        <v>-0.11</v>
      </c>
      <c r="DH196" s="228">
        <v>37.159999999999997</v>
      </c>
      <c r="DI196" s="228">
        <v>37.520000000000003</v>
      </c>
      <c r="DJ196" s="228">
        <v>-0.36</v>
      </c>
      <c r="DK196" s="228">
        <v>-0.36</v>
      </c>
      <c r="DL196" s="228">
        <v>39.83</v>
      </c>
      <c r="DM196" s="228">
        <v>39.81</v>
      </c>
      <c r="DN196" s="228">
        <v>0.02</v>
      </c>
      <c r="DO196" s="228">
        <v>0.02</v>
      </c>
      <c r="DP196" s="228">
        <v>0.55000000000000004</v>
      </c>
      <c r="DQ196" s="228">
        <v>0.54</v>
      </c>
      <c r="DR196" s="228">
        <v>0.01</v>
      </c>
      <c r="DS196" s="229">
        <v>1.8499999999999999E-2</v>
      </c>
      <c r="DT196" s="231">
        <v>2500</v>
      </c>
      <c r="DU196" s="231">
        <v>2300</v>
      </c>
      <c r="DV196" s="228">
        <v>0.27</v>
      </c>
      <c r="DW196" s="228">
        <v>0.38</v>
      </c>
      <c r="DX196" s="228">
        <v>-0.11</v>
      </c>
      <c r="DY196" s="229">
        <v>-0.28949999999999998</v>
      </c>
      <c r="DZ196" s="229">
        <v>3.8699999999999998E-2</v>
      </c>
      <c r="EA196" s="230">
        <v>136600</v>
      </c>
      <c r="EB196" s="229">
        <v>5.4999999999999997E-3</v>
      </c>
      <c r="EC196" s="229">
        <v>3.8699999999999998E-2</v>
      </c>
      <c r="ED196" s="228">
        <v>13.17</v>
      </c>
      <c r="EE196" s="229">
        <v>5.4000000000000003E-3</v>
      </c>
      <c r="EF196" s="230">
        <v>141768</v>
      </c>
      <c r="EG196" s="230">
        <v>987039</v>
      </c>
      <c r="EH196" s="229">
        <v>-0.85640000000000005</v>
      </c>
      <c r="EI196" s="229">
        <v>0.3826</v>
      </c>
      <c r="EJ196" s="231">
        <v>53512.66</v>
      </c>
      <c r="EK196" s="231">
        <v>13360.91</v>
      </c>
      <c r="EL196" s="231">
        <v>12639.75</v>
      </c>
      <c r="EM196" s="231">
        <v>6656</v>
      </c>
      <c r="EN196" s="231">
        <v>79513.320000000007</v>
      </c>
      <c r="EO196" s="231">
        <v>175583.54</v>
      </c>
      <c r="EP196" s="231">
        <v>-96070.22</v>
      </c>
      <c r="EQ196" s="229">
        <v>-0.54710000000000003</v>
      </c>
      <c r="ER196" s="231">
        <v>40820</v>
      </c>
      <c r="ES196" s="231">
        <v>20580</v>
      </c>
      <c r="ET196" s="231">
        <v>89046</v>
      </c>
      <c r="EU196" s="231">
        <v>15879795</v>
      </c>
      <c r="EV196" s="231">
        <v>150445</v>
      </c>
      <c r="EW196" s="231">
        <v>153878</v>
      </c>
      <c r="EX196" s="231">
        <v>-3433</v>
      </c>
      <c r="EY196" s="229">
        <v>-2.23E-2</v>
      </c>
      <c r="EZ196" s="229">
        <v>0.38600000000000001</v>
      </c>
      <c r="FA196" s="227" t="s">
        <v>556</v>
      </c>
      <c r="FB196" s="161">
        <f t="shared" si="5"/>
        <v>0</v>
      </c>
    </row>
    <row r="197" spans="1:158" ht="17.25" thickBot="1" x14ac:dyDescent="0.3">
      <c r="A197" s="226">
        <v>46064</v>
      </c>
      <c r="B197" s="227" t="s">
        <v>168</v>
      </c>
      <c r="C197" s="227" t="s">
        <v>297</v>
      </c>
      <c r="D197" s="228">
        <v>175</v>
      </c>
      <c r="E197" s="231">
        <v>4252.5</v>
      </c>
      <c r="F197" s="231">
        <v>4283.1000000000004</v>
      </c>
      <c r="G197" s="228">
        <v>-30.6</v>
      </c>
      <c r="H197" s="229">
        <v>-7.1000000000000004E-3</v>
      </c>
      <c r="I197" s="231">
        <v>4249.1000000000004</v>
      </c>
      <c r="J197" s="231">
        <v>4269.1000000000004</v>
      </c>
      <c r="K197" s="228">
        <v>-20</v>
      </c>
      <c r="L197" s="229">
        <v>-4.7000000000000002E-3</v>
      </c>
      <c r="M197" s="231">
        <v>4252.5</v>
      </c>
      <c r="N197" s="231">
        <v>4283.1000000000004</v>
      </c>
      <c r="O197" s="228">
        <v>-30.6</v>
      </c>
      <c r="P197" s="229">
        <v>-7.1000000000000004E-3</v>
      </c>
      <c r="Q197" s="231">
        <v>4278.2</v>
      </c>
      <c r="R197" s="231">
        <v>4309.1000000000004</v>
      </c>
      <c r="S197" s="228">
        <v>-30.9</v>
      </c>
      <c r="T197" s="229">
        <v>-7.1999999999999998E-3</v>
      </c>
      <c r="U197" s="231">
        <v>4303.8999999999996</v>
      </c>
      <c r="V197" s="231">
        <v>4337.3999999999996</v>
      </c>
      <c r="W197" s="228">
        <v>-33.5</v>
      </c>
      <c r="X197" s="229">
        <v>-7.7000000000000002E-3</v>
      </c>
      <c r="Y197" s="228">
        <v>3.4</v>
      </c>
      <c r="Z197" s="228">
        <v>14</v>
      </c>
      <c r="AA197" s="228">
        <v>-10.6</v>
      </c>
      <c r="AB197" s="229">
        <v>8.0000000000000004E-4</v>
      </c>
      <c r="AC197" s="228">
        <v>3.4</v>
      </c>
      <c r="AD197" s="228">
        <v>14</v>
      </c>
      <c r="AE197" s="228">
        <v>-10.6</v>
      </c>
      <c r="AF197" s="229">
        <v>8.0000000000000004E-4</v>
      </c>
      <c r="AG197" s="228">
        <v>29.1</v>
      </c>
      <c r="AH197" s="228">
        <v>40</v>
      </c>
      <c r="AI197" s="228">
        <v>-10.9</v>
      </c>
      <c r="AJ197" s="229">
        <v>6.7999999999999996E-3</v>
      </c>
      <c r="AK197" s="228">
        <v>54.8</v>
      </c>
      <c r="AL197" s="228">
        <v>68.3</v>
      </c>
      <c r="AM197" s="228">
        <v>-13.5</v>
      </c>
      <c r="AN197" s="229">
        <v>1.29E-2</v>
      </c>
      <c r="AO197" s="231">
        <v>4298.7700000000004</v>
      </c>
      <c r="AP197" s="231">
        <v>4324.33</v>
      </c>
      <c r="AQ197" s="228">
        <v>0</v>
      </c>
      <c r="AR197" s="230">
        <v>5075525</v>
      </c>
      <c r="AS197" s="230">
        <v>2717925</v>
      </c>
      <c r="AT197" s="230">
        <v>2357600</v>
      </c>
      <c r="AU197" s="229">
        <v>0.86739999999999995</v>
      </c>
      <c r="AV197" s="230">
        <v>4692800</v>
      </c>
      <c r="AW197" s="230">
        <v>2501800</v>
      </c>
      <c r="AX197" s="230">
        <v>2191000</v>
      </c>
      <c r="AY197" s="229">
        <v>0.87580000000000002</v>
      </c>
      <c r="AZ197" s="230">
        <v>334250</v>
      </c>
      <c r="BA197" s="230">
        <v>192150</v>
      </c>
      <c r="BB197" s="230">
        <v>142100</v>
      </c>
      <c r="BC197" s="229">
        <v>0.73950000000000005</v>
      </c>
      <c r="BD197" s="230">
        <v>48475</v>
      </c>
      <c r="BE197" s="230">
        <v>23975</v>
      </c>
      <c r="BF197" s="230">
        <v>24500</v>
      </c>
      <c r="BG197" s="229">
        <v>1.0219</v>
      </c>
      <c r="BH197" s="230">
        <v>46053175</v>
      </c>
      <c r="BI197" s="230">
        <v>24602900</v>
      </c>
      <c r="BJ197" s="230">
        <v>21450275</v>
      </c>
      <c r="BK197" s="229">
        <v>0.87190000000000001</v>
      </c>
      <c r="BL197" s="230">
        <v>22459150</v>
      </c>
      <c r="BM197" s="230">
        <v>7730800</v>
      </c>
      <c r="BN197" s="230">
        <v>14728350</v>
      </c>
      <c r="BO197" s="229">
        <v>1.9052</v>
      </c>
      <c r="BP197" s="230">
        <v>73587850</v>
      </c>
      <c r="BQ197" s="230">
        <v>35051625</v>
      </c>
      <c r="BR197" s="230">
        <v>38536225</v>
      </c>
      <c r="BS197" s="229">
        <v>1.0993999999999999</v>
      </c>
      <c r="BT197" s="230">
        <v>3518529</v>
      </c>
      <c r="BU197" s="230">
        <v>1766732</v>
      </c>
      <c r="BV197" s="230">
        <v>1751797</v>
      </c>
      <c r="BW197" s="229">
        <v>0.99150000000000005</v>
      </c>
      <c r="BX197" s="230">
        <v>10361225</v>
      </c>
      <c r="BY197" s="230">
        <v>9972200</v>
      </c>
      <c r="BZ197" s="230">
        <v>389025</v>
      </c>
      <c r="CA197" s="229">
        <v>3.9E-2</v>
      </c>
      <c r="CB197" s="230">
        <v>9748375</v>
      </c>
      <c r="CC197" s="230">
        <v>9413775</v>
      </c>
      <c r="CD197" s="230">
        <v>334600</v>
      </c>
      <c r="CE197" s="229">
        <v>3.5499999999999997E-2</v>
      </c>
      <c r="CF197" s="230">
        <v>561400</v>
      </c>
      <c r="CG197" s="230">
        <v>518700</v>
      </c>
      <c r="CH197" s="230">
        <v>42700</v>
      </c>
      <c r="CI197" s="229">
        <v>8.2299999999999998E-2</v>
      </c>
      <c r="CJ197" s="230">
        <v>51450</v>
      </c>
      <c r="CK197" s="230">
        <v>39725</v>
      </c>
      <c r="CL197" s="230">
        <v>11725</v>
      </c>
      <c r="CM197" s="229">
        <v>0.29520000000000002</v>
      </c>
      <c r="CN197" s="230">
        <v>8510600</v>
      </c>
      <c r="CO197" s="230">
        <v>6201125</v>
      </c>
      <c r="CP197" s="230">
        <v>2309475</v>
      </c>
      <c r="CQ197" s="229">
        <v>0.37240000000000001</v>
      </c>
      <c r="CR197" s="230">
        <v>4207350</v>
      </c>
      <c r="CS197" s="230">
        <v>3590650</v>
      </c>
      <c r="CT197" s="230">
        <v>616700</v>
      </c>
      <c r="CU197" s="229">
        <v>0.17180000000000001</v>
      </c>
      <c r="CV197" s="230">
        <v>23079175</v>
      </c>
      <c r="CW197" s="230">
        <v>19763975</v>
      </c>
      <c r="CX197" s="230">
        <v>3315200</v>
      </c>
      <c r="CY197" s="229">
        <v>0.16769999999999999</v>
      </c>
      <c r="CZ197" s="228">
        <v>27.35</v>
      </c>
      <c r="DA197" s="228">
        <v>37.07</v>
      </c>
      <c r="DB197" s="228">
        <v>-9.7200000000000006</v>
      </c>
      <c r="DC197" s="228">
        <v>-9.7200000000000006</v>
      </c>
      <c r="DD197" s="228">
        <v>24.65</v>
      </c>
      <c r="DE197" s="228">
        <v>24.71</v>
      </c>
      <c r="DF197" s="228">
        <v>2.7</v>
      </c>
      <c r="DG197" s="228">
        <v>-0.06</v>
      </c>
      <c r="DH197" s="228">
        <v>27.5</v>
      </c>
      <c r="DI197" s="228">
        <v>37.549999999999997</v>
      </c>
      <c r="DJ197" s="228">
        <v>-10.050000000000001</v>
      </c>
      <c r="DK197" s="228">
        <v>-10.050000000000001</v>
      </c>
      <c r="DL197" s="228">
        <v>27.03</v>
      </c>
      <c r="DM197" s="228">
        <v>35.54</v>
      </c>
      <c r="DN197" s="228">
        <v>-8.51</v>
      </c>
      <c r="DO197" s="228">
        <v>-8.51</v>
      </c>
      <c r="DP197" s="228">
        <v>0.49</v>
      </c>
      <c r="DQ197" s="228">
        <v>0.57999999999999996</v>
      </c>
      <c r="DR197" s="228">
        <v>-0.09</v>
      </c>
      <c r="DS197" s="229">
        <v>-0.1552</v>
      </c>
      <c r="DT197" s="231">
        <v>4300</v>
      </c>
      <c r="DU197" s="231">
        <v>4000</v>
      </c>
      <c r="DV197" s="228">
        <v>0.49</v>
      </c>
      <c r="DW197" s="228">
        <v>0.31</v>
      </c>
      <c r="DX197" s="228">
        <v>0.18</v>
      </c>
      <c r="DY197" s="229">
        <v>0.5806</v>
      </c>
      <c r="DZ197" s="229">
        <v>5.91E-2</v>
      </c>
      <c r="EA197" s="230">
        <v>558425</v>
      </c>
      <c r="EB197" s="229">
        <v>6.0000000000000001E-3</v>
      </c>
      <c r="EC197" s="229">
        <v>5.91E-2</v>
      </c>
      <c r="ED197" s="228">
        <v>25.56</v>
      </c>
      <c r="EE197" s="229">
        <v>5.8999999999999999E-3</v>
      </c>
      <c r="EF197" s="230">
        <v>905859</v>
      </c>
      <c r="EG197" s="230">
        <v>789568</v>
      </c>
      <c r="EH197" s="229">
        <v>0.14729999999999999</v>
      </c>
      <c r="EI197" s="229">
        <v>0.25750000000000001</v>
      </c>
      <c r="EJ197" s="231">
        <v>2051683.63</v>
      </c>
      <c r="EK197" s="231">
        <v>950444.91</v>
      </c>
      <c r="EL197" s="231">
        <v>218296.1</v>
      </c>
      <c r="EM197" s="231">
        <v>10168</v>
      </c>
      <c r="EN197" s="231">
        <v>3220424.64</v>
      </c>
      <c r="EO197" s="231">
        <v>1545105.16</v>
      </c>
      <c r="EP197" s="231">
        <v>1675319.48</v>
      </c>
      <c r="EQ197" s="229">
        <v>1.0843</v>
      </c>
      <c r="ER197" s="231">
        <v>371196</v>
      </c>
      <c r="ES197" s="231">
        <v>170275</v>
      </c>
      <c r="ET197" s="231">
        <v>440782</v>
      </c>
      <c r="EU197" s="231">
        <v>45680146</v>
      </c>
      <c r="EV197" s="231">
        <v>982253</v>
      </c>
      <c r="EW197" s="231">
        <v>840843</v>
      </c>
      <c r="EX197" s="231">
        <v>141410</v>
      </c>
      <c r="EY197" s="229">
        <v>0.16819999999999999</v>
      </c>
      <c r="EZ197" s="229">
        <v>0.50519999999999998</v>
      </c>
      <c r="FA197" s="227" t="s">
        <v>567</v>
      </c>
      <c r="FB197" s="161">
        <f t="shared" si="5"/>
        <v>0</v>
      </c>
    </row>
    <row r="198" spans="1:158" ht="17.25" thickBot="1" x14ac:dyDescent="0.3">
      <c r="A198" s="226">
        <v>46064</v>
      </c>
      <c r="B198" s="227" t="s">
        <v>162</v>
      </c>
      <c r="C198" s="227" t="s">
        <v>688</v>
      </c>
      <c r="D198" s="228">
        <v>800</v>
      </c>
      <c r="E198" s="228">
        <v>385.75</v>
      </c>
      <c r="F198" s="228">
        <v>380.55</v>
      </c>
      <c r="G198" s="228">
        <v>5.2</v>
      </c>
      <c r="H198" s="229">
        <v>1.37E-2</v>
      </c>
      <c r="I198" s="228">
        <v>384.7</v>
      </c>
      <c r="J198" s="228">
        <v>379.35</v>
      </c>
      <c r="K198" s="228">
        <v>5.35</v>
      </c>
      <c r="L198" s="229">
        <v>1.41E-2</v>
      </c>
      <c r="M198" s="228">
        <v>385.75</v>
      </c>
      <c r="N198" s="228">
        <v>380.55</v>
      </c>
      <c r="O198" s="228">
        <v>5.2</v>
      </c>
      <c r="P198" s="229">
        <v>1.37E-2</v>
      </c>
      <c r="Q198" s="228">
        <v>387.25</v>
      </c>
      <c r="R198" s="228">
        <v>382</v>
      </c>
      <c r="S198" s="228">
        <v>5.25</v>
      </c>
      <c r="T198" s="229">
        <v>1.37E-2</v>
      </c>
      <c r="U198" s="228">
        <v>389.25</v>
      </c>
      <c r="V198" s="228">
        <v>382.9</v>
      </c>
      <c r="W198" s="228">
        <v>6.35</v>
      </c>
      <c r="X198" s="229">
        <v>1.66E-2</v>
      </c>
      <c r="Y198" s="228">
        <v>1.05</v>
      </c>
      <c r="Z198" s="228">
        <v>1.2</v>
      </c>
      <c r="AA198" s="228">
        <v>-0.15</v>
      </c>
      <c r="AB198" s="229">
        <v>2.7000000000000001E-3</v>
      </c>
      <c r="AC198" s="228">
        <v>1.05</v>
      </c>
      <c r="AD198" s="228">
        <v>1.2</v>
      </c>
      <c r="AE198" s="228">
        <v>-0.15</v>
      </c>
      <c r="AF198" s="229">
        <v>2.7000000000000001E-3</v>
      </c>
      <c r="AG198" s="228">
        <v>2.5499999999999998</v>
      </c>
      <c r="AH198" s="228">
        <v>2.65</v>
      </c>
      <c r="AI198" s="228">
        <v>-0.1</v>
      </c>
      <c r="AJ198" s="229">
        <v>6.6E-3</v>
      </c>
      <c r="AK198" s="228">
        <v>4.55</v>
      </c>
      <c r="AL198" s="228">
        <v>3.55</v>
      </c>
      <c r="AM198" s="228">
        <v>1</v>
      </c>
      <c r="AN198" s="229">
        <v>1.18E-2</v>
      </c>
      <c r="AO198" s="228">
        <v>386.14</v>
      </c>
      <c r="AP198" s="228">
        <v>387.43</v>
      </c>
      <c r="AQ198" s="228">
        <v>0</v>
      </c>
      <c r="AR198" s="230">
        <v>16409600</v>
      </c>
      <c r="AS198" s="230">
        <v>11553600</v>
      </c>
      <c r="AT198" s="230">
        <v>4856000</v>
      </c>
      <c r="AU198" s="229">
        <v>0.42030000000000001</v>
      </c>
      <c r="AV198" s="230">
        <v>13128800</v>
      </c>
      <c r="AW198" s="230">
        <v>9666400</v>
      </c>
      <c r="AX198" s="230">
        <v>3462400</v>
      </c>
      <c r="AY198" s="229">
        <v>0.35820000000000002</v>
      </c>
      <c r="AZ198" s="230">
        <v>3004000</v>
      </c>
      <c r="BA198" s="230">
        <v>1616000</v>
      </c>
      <c r="BB198" s="230">
        <v>1388000</v>
      </c>
      <c r="BC198" s="229">
        <v>0.8589</v>
      </c>
      <c r="BD198" s="230">
        <v>276800</v>
      </c>
      <c r="BE198" s="230">
        <v>271200</v>
      </c>
      <c r="BF198" s="230">
        <v>5600</v>
      </c>
      <c r="BG198" s="229">
        <v>2.06E-2</v>
      </c>
      <c r="BH198" s="230">
        <v>76440000</v>
      </c>
      <c r="BI198" s="230">
        <v>43594400</v>
      </c>
      <c r="BJ198" s="230">
        <v>32845600</v>
      </c>
      <c r="BK198" s="229">
        <v>0.75339999999999996</v>
      </c>
      <c r="BL198" s="230">
        <v>37932000</v>
      </c>
      <c r="BM198" s="230">
        <v>23128000</v>
      </c>
      <c r="BN198" s="230">
        <v>14804000</v>
      </c>
      <c r="BO198" s="229">
        <v>0.6401</v>
      </c>
      <c r="BP198" s="230">
        <v>130781600</v>
      </c>
      <c r="BQ198" s="230">
        <v>78276000</v>
      </c>
      <c r="BR198" s="230">
        <v>52505600</v>
      </c>
      <c r="BS198" s="229">
        <v>0.67079999999999995</v>
      </c>
      <c r="BT198" s="230">
        <v>10933658</v>
      </c>
      <c r="BU198" s="230">
        <v>8921719</v>
      </c>
      <c r="BV198" s="230">
        <v>2011939</v>
      </c>
      <c r="BW198" s="229">
        <v>0.22550000000000001</v>
      </c>
      <c r="BX198" s="230">
        <v>84694400</v>
      </c>
      <c r="BY198" s="230">
        <v>85645600</v>
      </c>
      <c r="BZ198" s="230">
        <v>-951200</v>
      </c>
      <c r="CA198" s="229">
        <v>-1.11E-2</v>
      </c>
      <c r="CB198" s="230">
        <v>76588800</v>
      </c>
      <c r="CC198" s="230">
        <v>78380000</v>
      </c>
      <c r="CD198" s="230">
        <v>-1791200</v>
      </c>
      <c r="CE198" s="229">
        <v>-2.29E-2</v>
      </c>
      <c r="CF198" s="230">
        <v>7327200</v>
      </c>
      <c r="CG198" s="230">
        <v>6506400</v>
      </c>
      <c r="CH198" s="230">
        <v>820800</v>
      </c>
      <c r="CI198" s="229">
        <v>0.12620000000000001</v>
      </c>
      <c r="CJ198" s="230">
        <v>778400</v>
      </c>
      <c r="CK198" s="230">
        <v>759200</v>
      </c>
      <c r="CL198" s="230">
        <v>19200</v>
      </c>
      <c r="CM198" s="229">
        <v>2.53E-2</v>
      </c>
      <c r="CN198" s="230">
        <v>36900800</v>
      </c>
      <c r="CO198" s="230">
        <v>36744000</v>
      </c>
      <c r="CP198" s="230">
        <v>156800</v>
      </c>
      <c r="CQ198" s="229">
        <v>4.3E-3</v>
      </c>
      <c r="CR198" s="230">
        <v>31059200</v>
      </c>
      <c r="CS198" s="230">
        <v>31816000</v>
      </c>
      <c r="CT198" s="230">
        <v>-756800</v>
      </c>
      <c r="CU198" s="229">
        <v>-2.3800000000000002E-2</v>
      </c>
      <c r="CV198" s="230">
        <v>152654400</v>
      </c>
      <c r="CW198" s="230">
        <v>154205600</v>
      </c>
      <c r="CX198" s="230">
        <v>-1551200</v>
      </c>
      <c r="CY198" s="229">
        <v>-1.01E-2</v>
      </c>
      <c r="CZ198" s="228">
        <v>29.91</v>
      </c>
      <c r="DA198" s="228">
        <v>29.28</v>
      </c>
      <c r="DB198" s="228">
        <v>0.63</v>
      </c>
      <c r="DC198" s="228">
        <v>0.63</v>
      </c>
      <c r="DD198" s="228">
        <v>33.83</v>
      </c>
      <c r="DE198" s="228">
        <v>33.869999999999997</v>
      </c>
      <c r="DF198" s="228">
        <v>-3.92</v>
      </c>
      <c r="DG198" s="228">
        <v>-0.04</v>
      </c>
      <c r="DH198" s="228">
        <v>28.45</v>
      </c>
      <c r="DI198" s="228">
        <v>28.42</v>
      </c>
      <c r="DJ198" s="228">
        <v>0.03</v>
      </c>
      <c r="DK198" s="228">
        <v>0.03</v>
      </c>
      <c r="DL198" s="228">
        <v>32.86</v>
      </c>
      <c r="DM198" s="228">
        <v>30.92</v>
      </c>
      <c r="DN198" s="228">
        <v>1.94</v>
      </c>
      <c r="DO198" s="228">
        <v>1.94</v>
      </c>
      <c r="DP198" s="228">
        <v>0.84</v>
      </c>
      <c r="DQ198" s="228">
        <v>0.87</v>
      </c>
      <c r="DR198" s="228">
        <v>-0.03</v>
      </c>
      <c r="DS198" s="229">
        <v>-3.4500000000000003E-2</v>
      </c>
      <c r="DT198" s="228">
        <v>400</v>
      </c>
      <c r="DU198" s="228">
        <v>360</v>
      </c>
      <c r="DV198" s="228">
        <v>0.5</v>
      </c>
      <c r="DW198" s="228">
        <v>0.53</v>
      </c>
      <c r="DX198" s="228">
        <v>-0.03</v>
      </c>
      <c r="DY198" s="229">
        <v>-5.6599999999999998E-2</v>
      </c>
      <c r="DZ198" s="229">
        <v>9.5699999999999993E-2</v>
      </c>
      <c r="EA198" s="230">
        <v>7265600</v>
      </c>
      <c r="EB198" s="229">
        <v>3.8999999999999998E-3</v>
      </c>
      <c r="EC198" s="229">
        <v>9.5699999999999993E-2</v>
      </c>
      <c r="ED198" s="228">
        <v>1.29</v>
      </c>
      <c r="EE198" s="229">
        <v>3.3E-3</v>
      </c>
      <c r="EF198" s="230">
        <v>4596283</v>
      </c>
      <c r="EG198" s="230">
        <v>4726337</v>
      </c>
      <c r="EH198" s="229">
        <v>-2.75E-2</v>
      </c>
      <c r="EI198" s="229">
        <v>0.4204</v>
      </c>
      <c r="EJ198" s="231">
        <v>306764.65999999997</v>
      </c>
      <c r="EK198" s="231">
        <v>140025.38</v>
      </c>
      <c r="EL198" s="231">
        <v>63411.95</v>
      </c>
      <c r="EM198" s="231">
        <v>23173</v>
      </c>
      <c r="EN198" s="231">
        <v>510201.99</v>
      </c>
      <c r="EO198" s="231">
        <v>302663.24</v>
      </c>
      <c r="EP198" s="231">
        <v>207538.75</v>
      </c>
      <c r="EQ198" s="229">
        <v>0.68569999999999998</v>
      </c>
      <c r="ER198" s="231">
        <v>144375</v>
      </c>
      <c r="ES198" s="231">
        <v>110309</v>
      </c>
      <c r="ET198" s="231">
        <v>326846</v>
      </c>
      <c r="EU198" s="231">
        <v>317235726</v>
      </c>
      <c r="EV198" s="231">
        <v>581530</v>
      </c>
      <c r="EW198" s="231">
        <v>581632</v>
      </c>
      <c r="EX198" s="228">
        <v>-102</v>
      </c>
      <c r="EY198" s="229">
        <v>-2.0000000000000001E-4</v>
      </c>
      <c r="EZ198" s="229">
        <v>0.48120000000000002</v>
      </c>
      <c r="FA198" s="227" t="s">
        <v>556</v>
      </c>
      <c r="FB198" s="161">
        <f t="shared" si="5"/>
        <v>0</v>
      </c>
    </row>
    <row r="199" spans="1:158" ht="17.25" thickBot="1" x14ac:dyDescent="0.3">
      <c r="A199" s="226">
        <v>46064</v>
      </c>
      <c r="B199" s="227" t="s">
        <v>170</v>
      </c>
      <c r="C199" s="227" t="s">
        <v>298</v>
      </c>
      <c r="D199" s="228">
        <v>250</v>
      </c>
      <c r="E199" s="231">
        <v>4026.5</v>
      </c>
      <c r="F199" s="231">
        <v>4049</v>
      </c>
      <c r="G199" s="228">
        <v>-22.5</v>
      </c>
      <c r="H199" s="229">
        <v>-5.5999999999999999E-3</v>
      </c>
      <c r="I199" s="231">
        <v>4056.7</v>
      </c>
      <c r="J199" s="231">
        <v>4079.6</v>
      </c>
      <c r="K199" s="228">
        <v>-22.9</v>
      </c>
      <c r="L199" s="229">
        <v>-5.5999999999999999E-3</v>
      </c>
      <c r="M199" s="231">
        <v>4026.5</v>
      </c>
      <c r="N199" s="231">
        <v>4049</v>
      </c>
      <c r="O199" s="228">
        <v>-22.5</v>
      </c>
      <c r="P199" s="229">
        <v>-5.5999999999999999E-3</v>
      </c>
      <c r="Q199" s="231">
        <v>4041</v>
      </c>
      <c r="R199" s="231">
        <v>4061.2</v>
      </c>
      <c r="S199" s="228">
        <v>-20.2</v>
      </c>
      <c r="T199" s="229">
        <v>-5.0000000000000001E-3</v>
      </c>
      <c r="U199" s="231">
        <v>4056.5</v>
      </c>
      <c r="V199" s="231">
        <v>4078.9</v>
      </c>
      <c r="W199" s="228">
        <v>-22.4</v>
      </c>
      <c r="X199" s="229">
        <v>-5.4999999999999997E-3</v>
      </c>
      <c r="Y199" s="228">
        <v>-30.2</v>
      </c>
      <c r="Z199" s="228">
        <v>-30.6</v>
      </c>
      <c r="AA199" s="228">
        <v>0.4</v>
      </c>
      <c r="AB199" s="229">
        <v>-7.4000000000000003E-3</v>
      </c>
      <c r="AC199" s="228">
        <v>-30.2</v>
      </c>
      <c r="AD199" s="228">
        <v>-30.6</v>
      </c>
      <c r="AE199" s="228">
        <v>0.4</v>
      </c>
      <c r="AF199" s="229">
        <v>-7.4000000000000003E-3</v>
      </c>
      <c r="AG199" s="228">
        <v>-15.7</v>
      </c>
      <c r="AH199" s="228">
        <v>-18.399999999999999</v>
      </c>
      <c r="AI199" s="228">
        <v>2.7</v>
      </c>
      <c r="AJ199" s="229">
        <v>-3.8999999999999998E-3</v>
      </c>
      <c r="AK199" s="228">
        <v>-0.2</v>
      </c>
      <c r="AL199" s="228">
        <v>-0.7</v>
      </c>
      <c r="AM199" s="228">
        <v>0.5</v>
      </c>
      <c r="AN199" s="229">
        <v>0</v>
      </c>
      <c r="AO199" s="231">
        <v>4033.17</v>
      </c>
      <c r="AP199" s="231">
        <v>4051.8</v>
      </c>
      <c r="AQ199" s="228">
        <v>0</v>
      </c>
      <c r="AR199" s="230">
        <v>447250</v>
      </c>
      <c r="AS199" s="230">
        <v>374000</v>
      </c>
      <c r="AT199" s="230">
        <v>73250</v>
      </c>
      <c r="AU199" s="229">
        <v>0.19589999999999999</v>
      </c>
      <c r="AV199" s="230">
        <v>426250</v>
      </c>
      <c r="AW199" s="230">
        <v>354000</v>
      </c>
      <c r="AX199" s="230">
        <v>72250</v>
      </c>
      <c r="AY199" s="229">
        <v>0.2041</v>
      </c>
      <c r="AZ199" s="230">
        <v>20500</v>
      </c>
      <c r="BA199" s="230">
        <v>18500</v>
      </c>
      <c r="BB199" s="230">
        <v>2000</v>
      </c>
      <c r="BC199" s="229">
        <v>0.1081</v>
      </c>
      <c r="BD199" s="228">
        <v>500</v>
      </c>
      <c r="BE199" s="230">
        <v>1500</v>
      </c>
      <c r="BF199" s="230">
        <v>-1000</v>
      </c>
      <c r="BG199" s="229">
        <v>-0.66669999999999996</v>
      </c>
      <c r="BH199" s="230">
        <v>778250</v>
      </c>
      <c r="BI199" s="230">
        <v>1224500</v>
      </c>
      <c r="BJ199" s="230">
        <v>-446250</v>
      </c>
      <c r="BK199" s="229">
        <v>-0.3644</v>
      </c>
      <c r="BL199" s="230">
        <v>240500</v>
      </c>
      <c r="BM199" s="230">
        <v>209000</v>
      </c>
      <c r="BN199" s="230">
        <v>31500</v>
      </c>
      <c r="BO199" s="229">
        <v>0.1507</v>
      </c>
      <c r="BP199" s="230">
        <v>1466000</v>
      </c>
      <c r="BQ199" s="230">
        <v>1807500</v>
      </c>
      <c r="BR199" s="230">
        <v>-341500</v>
      </c>
      <c r="BS199" s="229">
        <v>-0.18890000000000001</v>
      </c>
      <c r="BT199" s="230">
        <v>185364</v>
      </c>
      <c r="BU199" s="230">
        <v>195370</v>
      </c>
      <c r="BV199" s="230">
        <v>-10006</v>
      </c>
      <c r="BW199" s="229">
        <v>-5.1200000000000002E-2</v>
      </c>
      <c r="BX199" s="230">
        <v>2869750</v>
      </c>
      <c r="BY199" s="230">
        <v>2784000</v>
      </c>
      <c r="BZ199" s="230">
        <v>85750</v>
      </c>
      <c r="CA199" s="229">
        <v>3.0800000000000001E-2</v>
      </c>
      <c r="CB199" s="230">
        <v>2833000</v>
      </c>
      <c r="CC199" s="230">
        <v>2759500</v>
      </c>
      <c r="CD199" s="230">
        <v>73500</v>
      </c>
      <c r="CE199" s="229">
        <v>2.6599999999999999E-2</v>
      </c>
      <c r="CF199" s="230">
        <v>33750</v>
      </c>
      <c r="CG199" s="230">
        <v>22000</v>
      </c>
      <c r="CH199" s="230">
        <v>11750</v>
      </c>
      <c r="CI199" s="229">
        <v>0.53410000000000002</v>
      </c>
      <c r="CJ199" s="230">
        <v>3000</v>
      </c>
      <c r="CK199" s="230">
        <v>2500</v>
      </c>
      <c r="CL199" s="228">
        <v>500</v>
      </c>
      <c r="CM199" s="229">
        <v>0.2</v>
      </c>
      <c r="CN199" s="230">
        <v>674250</v>
      </c>
      <c r="CO199" s="230">
        <v>563750</v>
      </c>
      <c r="CP199" s="230">
        <v>110500</v>
      </c>
      <c r="CQ199" s="229">
        <v>0.19600000000000001</v>
      </c>
      <c r="CR199" s="230">
        <v>373500</v>
      </c>
      <c r="CS199" s="230">
        <v>334250</v>
      </c>
      <c r="CT199" s="230">
        <v>39250</v>
      </c>
      <c r="CU199" s="229">
        <v>0.1174</v>
      </c>
      <c r="CV199" s="230">
        <v>3917500</v>
      </c>
      <c r="CW199" s="230">
        <v>3682000</v>
      </c>
      <c r="CX199" s="230">
        <v>235500</v>
      </c>
      <c r="CY199" s="229">
        <v>6.4000000000000001E-2</v>
      </c>
      <c r="CZ199" s="228">
        <v>32.090000000000003</v>
      </c>
      <c r="DA199" s="228">
        <v>30.39</v>
      </c>
      <c r="DB199" s="228">
        <v>1.7</v>
      </c>
      <c r="DC199" s="228">
        <v>1.7</v>
      </c>
      <c r="DD199" s="228">
        <v>25.24</v>
      </c>
      <c r="DE199" s="228">
        <v>25.29</v>
      </c>
      <c r="DF199" s="228">
        <v>6.85</v>
      </c>
      <c r="DG199" s="228">
        <v>-0.05</v>
      </c>
      <c r="DH199" s="228">
        <v>31.75</v>
      </c>
      <c r="DI199" s="228">
        <v>29.99</v>
      </c>
      <c r="DJ199" s="228">
        <v>1.76</v>
      </c>
      <c r="DK199" s="228">
        <v>1.76</v>
      </c>
      <c r="DL199" s="228">
        <v>33.200000000000003</v>
      </c>
      <c r="DM199" s="228">
        <v>32.72</v>
      </c>
      <c r="DN199" s="228">
        <v>0.48</v>
      </c>
      <c r="DO199" s="228">
        <v>0.48</v>
      </c>
      <c r="DP199" s="228">
        <v>0.55000000000000004</v>
      </c>
      <c r="DQ199" s="228">
        <v>0.59</v>
      </c>
      <c r="DR199" s="228">
        <v>-0.04</v>
      </c>
      <c r="DS199" s="229">
        <v>-6.7799999999999999E-2</v>
      </c>
      <c r="DT199" s="231">
        <v>4100</v>
      </c>
      <c r="DU199" s="231">
        <v>3700</v>
      </c>
      <c r="DV199" s="228">
        <v>0.31</v>
      </c>
      <c r="DW199" s="228">
        <v>0.17</v>
      </c>
      <c r="DX199" s="228">
        <v>0.14000000000000001</v>
      </c>
      <c r="DY199" s="229">
        <v>0.82350000000000001</v>
      </c>
      <c r="DZ199" s="229">
        <v>1.2800000000000001E-2</v>
      </c>
      <c r="EA199" s="230">
        <v>24500</v>
      </c>
      <c r="EB199" s="229">
        <v>3.5999999999999999E-3</v>
      </c>
      <c r="EC199" s="229">
        <v>1.2800000000000001E-2</v>
      </c>
      <c r="ED199" s="228">
        <v>18.63</v>
      </c>
      <c r="EE199" s="229">
        <v>4.5999999999999999E-3</v>
      </c>
      <c r="EF199" s="230">
        <v>123146</v>
      </c>
      <c r="EG199" s="230">
        <v>102090</v>
      </c>
      <c r="EH199" s="229">
        <v>0.20619999999999999</v>
      </c>
      <c r="EI199" s="229">
        <v>0.6643</v>
      </c>
      <c r="EJ199" s="231">
        <v>32849.300000000003</v>
      </c>
      <c r="EK199" s="231">
        <v>9466.73</v>
      </c>
      <c r="EL199" s="231">
        <v>18042.32</v>
      </c>
      <c r="EM199" s="231">
        <v>1754</v>
      </c>
      <c r="EN199" s="231">
        <v>60358.35</v>
      </c>
      <c r="EO199" s="231">
        <v>74681.33</v>
      </c>
      <c r="EP199" s="231">
        <v>-14322.98</v>
      </c>
      <c r="EQ199" s="229">
        <v>-0.1918</v>
      </c>
      <c r="ER199" s="231">
        <v>28080</v>
      </c>
      <c r="ES199" s="231">
        <v>14366</v>
      </c>
      <c r="ET199" s="231">
        <v>115556</v>
      </c>
      <c r="EU199" s="231">
        <v>10726004</v>
      </c>
      <c r="EV199" s="231">
        <v>158001</v>
      </c>
      <c r="EW199" s="231">
        <v>148943</v>
      </c>
      <c r="EX199" s="231">
        <v>9058</v>
      </c>
      <c r="EY199" s="229">
        <v>6.08E-2</v>
      </c>
      <c r="EZ199" s="229">
        <v>0.36520000000000002</v>
      </c>
      <c r="FA199" s="227" t="s">
        <v>567</v>
      </c>
      <c r="FB199" s="161">
        <f t="shared" si="5"/>
        <v>0</v>
      </c>
    </row>
    <row r="200" spans="1:158" ht="17.25" thickBot="1" x14ac:dyDescent="0.3">
      <c r="A200" s="226">
        <v>46064</v>
      </c>
      <c r="B200" s="227" t="s">
        <v>161</v>
      </c>
      <c r="C200" s="227" t="s">
        <v>299</v>
      </c>
      <c r="D200" s="228">
        <v>425</v>
      </c>
      <c r="E200" s="231">
        <v>1414.8</v>
      </c>
      <c r="F200" s="231">
        <v>1475.2</v>
      </c>
      <c r="G200" s="228">
        <v>-60.4</v>
      </c>
      <c r="H200" s="229">
        <v>-4.0899999999999999E-2</v>
      </c>
      <c r="I200" s="231">
        <v>1428.6</v>
      </c>
      <c r="J200" s="231">
        <v>1483</v>
      </c>
      <c r="K200" s="228">
        <v>-54.4</v>
      </c>
      <c r="L200" s="229">
        <v>-3.6700000000000003E-2</v>
      </c>
      <c r="M200" s="231">
        <v>1414.8</v>
      </c>
      <c r="N200" s="231">
        <v>1475.2</v>
      </c>
      <c r="O200" s="228">
        <v>-60.4</v>
      </c>
      <c r="P200" s="229">
        <v>-4.0899999999999999E-2</v>
      </c>
      <c r="Q200" s="231">
        <v>1417.3</v>
      </c>
      <c r="R200" s="231">
        <v>1479.3</v>
      </c>
      <c r="S200" s="228">
        <v>-62</v>
      </c>
      <c r="T200" s="229">
        <v>-4.19E-2</v>
      </c>
      <c r="U200" s="231">
        <v>1422.7</v>
      </c>
      <c r="V200" s="231">
        <v>1479.6</v>
      </c>
      <c r="W200" s="228">
        <v>-56.9</v>
      </c>
      <c r="X200" s="229">
        <v>-3.85E-2</v>
      </c>
      <c r="Y200" s="228">
        <v>-13.8</v>
      </c>
      <c r="Z200" s="228">
        <v>-7.8</v>
      </c>
      <c r="AA200" s="228">
        <v>-6</v>
      </c>
      <c r="AB200" s="229">
        <v>-9.7000000000000003E-3</v>
      </c>
      <c r="AC200" s="228">
        <v>-13.8</v>
      </c>
      <c r="AD200" s="228">
        <v>-7.8</v>
      </c>
      <c r="AE200" s="228">
        <v>-6</v>
      </c>
      <c r="AF200" s="229">
        <v>-9.7000000000000003E-3</v>
      </c>
      <c r="AG200" s="228">
        <v>-11.3</v>
      </c>
      <c r="AH200" s="228">
        <v>-3.7</v>
      </c>
      <c r="AI200" s="228">
        <v>-7.6</v>
      </c>
      <c r="AJ200" s="229">
        <v>-7.9000000000000008E-3</v>
      </c>
      <c r="AK200" s="228">
        <v>-5.9</v>
      </c>
      <c r="AL200" s="228">
        <v>-3.4</v>
      </c>
      <c r="AM200" s="228">
        <v>-2.5</v>
      </c>
      <c r="AN200" s="229">
        <v>-4.1000000000000003E-3</v>
      </c>
      <c r="AO200" s="231">
        <v>1400.07</v>
      </c>
      <c r="AP200" s="231">
        <v>1397.24</v>
      </c>
      <c r="AQ200" s="228">
        <v>0</v>
      </c>
      <c r="AR200" s="230">
        <v>4118250</v>
      </c>
      <c r="AS200" s="230">
        <v>2284800</v>
      </c>
      <c r="AT200" s="230">
        <v>1833450</v>
      </c>
      <c r="AU200" s="229">
        <v>0.80249999999999999</v>
      </c>
      <c r="AV200" s="230">
        <v>3781225</v>
      </c>
      <c r="AW200" s="230">
        <v>2175575</v>
      </c>
      <c r="AX200" s="230">
        <v>1605650</v>
      </c>
      <c r="AY200" s="229">
        <v>0.73799999999999999</v>
      </c>
      <c r="AZ200" s="230">
        <v>306850</v>
      </c>
      <c r="BA200" s="230">
        <v>102850</v>
      </c>
      <c r="BB200" s="230">
        <v>204000</v>
      </c>
      <c r="BC200" s="229">
        <v>1.9835</v>
      </c>
      <c r="BD200" s="230">
        <v>30175</v>
      </c>
      <c r="BE200" s="230">
        <v>6375</v>
      </c>
      <c r="BF200" s="230">
        <v>23800</v>
      </c>
      <c r="BG200" s="229">
        <v>3.7332999999999998</v>
      </c>
      <c r="BH200" s="230">
        <v>17733125</v>
      </c>
      <c r="BI200" s="230">
        <v>13731325</v>
      </c>
      <c r="BJ200" s="230">
        <v>4001800</v>
      </c>
      <c r="BK200" s="229">
        <v>0.29139999999999999</v>
      </c>
      <c r="BL200" s="230">
        <v>9285400</v>
      </c>
      <c r="BM200" s="230">
        <v>4778700</v>
      </c>
      <c r="BN200" s="230">
        <v>4506700</v>
      </c>
      <c r="BO200" s="229">
        <v>0.94310000000000005</v>
      </c>
      <c r="BP200" s="230">
        <v>31136775</v>
      </c>
      <c r="BQ200" s="230">
        <v>20794825</v>
      </c>
      <c r="BR200" s="230">
        <v>10341950</v>
      </c>
      <c r="BS200" s="229">
        <v>0.49730000000000002</v>
      </c>
      <c r="BT200" s="230">
        <v>3413448</v>
      </c>
      <c r="BU200" s="230">
        <v>1432969</v>
      </c>
      <c r="BV200" s="230">
        <v>1980479</v>
      </c>
      <c r="BW200" s="229">
        <v>1.3821000000000001</v>
      </c>
      <c r="BX200" s="230">
        <v>4750650</v>
      </c>
      <c r="BY200" s="230">
        <v>3958450</v>
      </c>
      <c r="BZ200" s="230">
        <v>792200</v>
      </c>
      <c r="CA200" s="229">
        <v>0.2001</v>
      </c>
      <c r="CB200" s="230">
        <v>4583200</v>
      </c>
      <c r="CC200" s="230">
        <v>3898950</v>
      </c>
      <c r="CD200" s="230">
        <v>684250</v>
      </c>
      <c r="CE200" s="229">
        <v>0.17549999999999999</v>
      </c>
      <c r="CF200" s="230">
        <v>149175</v>
      </c>
      <c r="CG200" s="230">
        <v>54825</v>
      </c>
      <c r="CH200" s="230">
        <v>94350</v>
      </c>
      <c r="CI200" s="229">
        <v>1.7209000000000001</v>
      </c>
      <c r="CJ200" s="230">
        <v>18275</v>
      </c>
      <c r="CK200" s="230">
        <v>4675</v>
      </c>
      <c r="CL200" s="230">
        <v>13600</v>
      </c>
      <c r="CM200" s="229">
        <v>2.9091</v>
      </c>
      <c r="CN200" s="230">
        <v>3719175</v>
      </c>
      <c r="CO200" s="230">
        <v>2402950</v>
      </c>
      <c r="CP200" s="230">
        <v>1316225</v>
      </c>
      <c r="CQ200" s="229">
        <v>0.54779999999999995</v>
      </c>
      <c r="CR200" s="230">
        <v>2043400</v>
      </c>
      <c r="CS200" s="230">
        <v>2007700</v>
      </c>
      <c r="CT200" s="230">
        <v>35700</v>
      </c>
      <c r="CU200" s="229">
        <v>1.78E-2</v>
      </c>
      <c r="CV200" s="230">
        <v>10513225</v>
      </c>
      <c r="CW200" s="230">
        <v>8369100</v>
      </c>
      <c r="CX200" s="230">
        <v>2144125</v>
      </c>
      <c r="CY200" s="229">
        <v>0.25619999999999998</v>
      </c>
      <c r="CZ200" s="228">
        <v>35.72</v>
      </c>
      <c r="DA200" s="228">
        <v>42.57</v>
      </c>
      <c r="DB200" s="228">
        <v>-6.85</v>
      </c>
      <c r="DC200" s="228">
        <v>-6.85</v>
      </c>
      <c r="DD200" s="228">
        <v>41.01</v>
      </c>
      <c r="DE200" s="228">
        <v>40.770000000000003</v>
      </c>
      <c r="DF200" s="228">
        <v>-5.29</v>
      </c>
      <c r="DG200" s="228">
        <v>0.24</v>
      </c>
      <c r="DH200" s="228">
        <v>36.14</v>
      </c>
      <c r="DI200" s="228">
        <v>42.37</v>
      </c>
      <c r="DJ200" s="228">
        <v>-6.23</v>
      </c>
      <c r="DK200" s="228">
        <v>-6.23</v>
      </c>
      <c r="DL200" s="228">
        <v>34.89</v>
      </c>
      <c r="DM200" s="228">
        <v>43.15</v>
      </c>
      <c r="DN200" s="228">
        <v>-8.26</v>
      </c>
      <c r="DO200" s="228">
        <v>-8.26</v>
      </c>
      <c r="DP200" s="228">
        <v>0.55000000000000004</v>
      </c>
      <c r="DQ200" s="228">
        <v>0.84</v>
      </c>
      <c r="DR200" s="228">
        <v>-0.28999999999999998</v>
      </c>
      <c r="DS200" s="229">
        <v>-0.34520000000000001</v>
      </c>
      <c r="DT200" s="231">
        <v>1500</v>
      </c>
      <c r="DU200" s="231">
        <v>1320</v>
      </c>
      <c r="DV200" s="228">
        <v>0.52</v>
      </c>
      <c r="DW200" s="228">
        <v>0.35</v>
      </c>
      <c r="DX200" s="228">
        <v>0.17</v>
      </c>
      <c r="DY200" s="229">
        <v>0.48570000000000002</v>
      </c>
      <c r="DZ200" s="229">
        <v>3.5200000000000002E-2</v>
      </c>
      <c r="EA200" s="230">
        <v>59500</v>
      </c>
      <c r="EB200" s="229">
        <v>1.8E-3</v>
      </c>
      <c r="EC200" s="229">
        <v>3.5200000000000002E-2</v>
      </c>
      <c r="ED200" s="228">
        <v>-2.83</v>
      </c>
      <c r="EE200" s="229">
        <v>-2E-3</v>
      </c>
      <c r="EF200" s="230">
        <v>963512</v>
      </c>
      <c r="EG200" s="230">
        <v>475891</v>
      </c>
      <c r="EH200" s="229">
        <v>1.0246</v>
      </c>
      <c r="EI200" s="229">
        <v>0.2823</v>
      </c>
      <c r="EJ200" s="231">
        <v>264910.43</v>
      </c>
      <c r="EK200" s="231">
        <v>129400.59</v>
      </c>
      <c r="EL200" s="231">
        <v>57649.19</v>
      </c>
      <c r="EM200" s="231">
        <v>2336</v>
      </c>
      <c r="EN200" s="231">
        <v>451960.21</v>
      </c>
      <c r="EO200" s="231">
        <v>312242.86</v>
      </c>
      <c r="EP200" s="231">
        <v>139717.35</v>
      </c>
      <c r="EQ200" s="229">
        <v>0.44750000000000001</v>
      </c>
      <c r="ER200" s="231">
        <v>55477</v>
      </c>
      <c r="ES200" s="231">
        <v>27127</v>
      </c>
      <c r="ET200" s="231">
        <v>67217</v>
      </c>
      <c r="EU200" s="231">
        <v>24646022</v>
      </c>
      <c r="EV200" s="231">
        <v>149821</v>
      </c>
      <c r="EW200" s="231">
        <v>121136</v>
      </c>
      <c r="EX200" s="231">
        <v>28685</v>
      </c>
      <c r="EY200" s="229">
        <v>0.23680000000000001</v>
      </c>
      <c r="EZ200" s="229">
        <v>0.42659999999999998</v>
      </c>
      <c r="FA200" s="227" t="s">
        <v>567</v>
      </c>
      <c r="FB200" s="161">
        <f t="shared" si="5"/>
        <v>0</v>
      </c>
    </row>
    <row r="201" spans="1:158" ht="17.25" thickBot="1" x14ac:dyDescent="0.3">
      <c r="A201" s="226">
        <v>46064</v>
      </c>
      <c r="B201" s="227" t="s">
        <v>197</v>
      </c>
      <c r="C201" s="227" t="s">
        <v>482</v>
      </c>
      <c r="D201" s="228">
        <v>100</v>
      </c>
      <c r="E201" s="231">
        <v>4224</v>
      </c>
      <c r="F201" s="231">
        <v>4186.3</v>
      </c>
      <c r="G201" s="228">
        <v>37.700000000000003</v>
      </c>
      <c r="H201" s="229">
        <v>8.9999999999999993E-3</v>
      </c>
      <c r="I201" s="231">
        <v>4218.8999999999996</v>
      </c>
      <c r="J201" s="231">
        <v>4184.3999999999996</v>
      </c>
      <c r="K201" s="228">
        <v>34.5</v>
      </c>
      <c r="L201" s="229">
        <v>8.2000000000000007E-3</v>
      </c>
      <c r="M201" s="231">
        <v>4224</v>
      </c>
      <c r="N201" s="231">
        <v>4186.3</v>
      </c>
      <c r="O201" s="228">
        <v>37.700000000000003</v>
      </c>
      <c r="P201" s="229">
        <v>8.9999999999999993E-3</v>
      </c>
      <c r="Q201" s="231">
        <v>4249.3999999999996</v>
      </c>
      <c r="R201" s="231">
        <v>4206.2</v>
      </c>
      <c r="S201" s="228">
        <v>43.2</v>
      </c>
      <c r="T201" s="229">
        <v>1.03E-2</v>
      </c>
      <c r="U201" s="231">
        <v>4276.2</v>
      </c>
      <c r="V201" s="231">
        <v>4234.2</v>
      </c>
      <c r="W201" s="228">
        <v>42</v>
      </c>
      <c r="X201" s="229">
        <v>9.9000000000000008E-3</v>
      </c>
      <c r="Y201" s="228">
        <v>5.0999999999999996</v>
      </c>
      <c r="Z201" s="228">
        <v>1.9</v>
      </c>
      <c r="AA201" s="228">
        <v>3.2</v>
      </c>
      <c r="AB201" s="229">
        <v>1.1999999999999999E-3</v>
      </c>
      <c r="AC201" s="228">
        <v>5.0999999999999996</v>
      </c>
      <c r="AD201" s="228">
        <v>1.9</v>
      </c>
      <c r="AE201" s="228">
        <v>3.2</v>
      </c>
      <c r="AF201" s="229">
        <v>1.1999999999999999E-3</v>
      </c>
      <c r="AG201" s="228">
        <v>30.5</v>
      </c>
      <c r="AH201" s="228">
        <v>21.8</v>
      </c>
      <c r="AI201" s="228">
        <v>8.6999999999999993</v>
      </c>
      <c r="AJ201" s="229">
        <v>7.1999999999999998E-3</v>
      </c>
      <c r="AK201" s="228">
        <v>57.3</v>
      </c>
      <c r="AL201" s="228">
        <v>49.8</v>
      </c>
      <c r="AM201" s="228">
        <v>7.5</v>
      </c>
      <c r="AN201" s="229">
        <v>1.3599999999999999E-2</v>
      </c>
      <c r="AO201" s="231">
        <v>4192.5</v>
      </c>
      <c r="AP201" s="231">
        <v>4206.87</v>
      </c>
      <c r="AQ201" s="228">
        <v>0</v>
      </c>
      <c r="AR201" s="230">
        <v>761900</v>
      </c>
      <c r="AS201" s="230">
        <v>559000</v>
      </c>
      <c r="AT201" s="230">
        <v>202900</v>
      </c>
      <c r="AU201" s="229">
        <v>0.36299999999999999</v>
      </c>
      <c r="AV201" s="230">
        <v>684900</v>
      </c>
      <c r="AW201" s="230">
        <v>516900</v>
      </c>
      <c r="AX201" s="230">
        <v>168000</v>
      </c>
      <c r="AY201" s="229">
        <v>0.32500000000000001</v>
      </c>
      <c r="AZ201" s="230">
        <v>60700</v>
      </c>
      <c r="BA201" s="230">
        <v>35300</v>
      </c>
      <c r="BB201" s="230">
        <v>25400</v>
      </c>
      <c r="BC201" s="229">
        <v>0.71950000000000003</v>
      </c>
      <c r="BD201" s="230">
        <v>16300</v>
      </c>
      <c r="BE201" s="230">
        <v>6800</v>
      </c>
      <c r="BF201" s="230">
        <v>9500</v>
      </c>
      <c r="BG201" s="229">
        <v>1.3971</v>
      </c>
      <c r="BH201" s="230">
        <v>4915000</v>
      </c>
      <c r="BI201" s="230">
        <v>2949900</v>
      </c>
      <c r="BJ201" s="230">
        <v>1965100</v>
      </c>
      <c r="BK201" s="229">
        <v>0.66620000000000001</v>
      </c>
      <c r="BL201" s="230">
        <v>2449000</v>
      </c>
      <c r="BM201" s="230">
        <v>1740000</v>
      </c>
      <c r="BN201" s="230">
        <v>709000</v>
      </c>
      <c r="BO201" s="229">
        <v>0.40749999999999997</v>
      </c>
      <c r="BP201" s="230">
        <v>8125900</v>
      </c>
      <c r="BQ201" s="230">
        <v>5248900</v>
      </c>
      <c r="BR201" s="230">
        <v>2877000</v>
      </c>
      <c r="BS201" s="229">
        <v>0.54810000000000003</v>
      </c>
      <c r="BT201" s="230">
        <v>604835</v>
      </c>
      <c r="BU201" s="230">
        <v>682041</v>
      </c>
      <c r="BV201" s="230">
        <v>-77206</v>
      </c>
      <c r="BW201" s="229">
        <v>-0.1132</v>
      </c>
      <c r="BX201" s="230">
        <v>7346300</v>
      </c>
      <c r="BY201" s="230">
        <v>7337000</v>
      </c>
      <c r="BZ201" s="230">
        <v>9300</v>
      </c>
      <c r="CA201" s="229">
        <v>1.2999999999999999E-3</v>
      </c>
      <c r="CB201" s="230">
        <v>6912500</v>
      </c>
      <c r="CC201" s="230">
        <v>6903300</v>
      </c>
      <c r="CD201" s="230">
        <v>9200</v>
      </c>
      <c r="CE201" s="229">
        <v>1.2999999999999999E-3</v>
      </c>
      <c r="CF201" s="230">
        <v>377400</v>
      </c>
      <c r="CG201" s="230">
        <v>380700</v>
      </c>
      <c r="CH201" s="230">
        <v>-3300</v>
      </c>
      <c r="CI201" s="229">
        <v>-8.6999999999999994E-3</v>
      </c>
      <c r="CJ201" s="230">
        <v>56400</v>
      </c>
      <c r="CK201" s="230">
        <v>53000</v>
      </c>
      <c r="CL201" s="230">
        <v>3400</v>
      </c>
      <c r="CM201" s="229">
        <v>6.4199999999999993E-2</v>
      </c>
      <c r="CN201" s="230">
        <v>4098500</v>
      </c>
      <c r="CO201" s="230">
        <v>4306200</v>
      </c>
      <c r="CP201" s="230">
        <v>-207700</v>
      </c>
      <c r="CQ201" s="229">
        <v>-4.82E-2</v>
      </c>
      <c r="CR201" s="230">
        <v>3023100</v>
      </c>
      <c r="CS201" s="230">
        <v>2942400</v>
      </c>
      <c r="CT201" s="230">
        <v>80700</v>
      </c>
      <c r="CU201" s="229">
        <v>2.7400000000000001E-2</v>
      </c>
      <c r="CV201" s="230">
        <v>14467900</v>
      </c>
      <c r="CW201" s="230">
        <v>14585600</v>
      </c>
      <c r="CX201" s="230">
        <v>-117700</v>
      </c>
      <c r="CY201" s="229">
        <v>-8.0999999999999996E-3</v>
      </c>
      <c r="CZ201" s="228">
        <v>30.35</v>
      </c>
      <c r="DA201" s="228">
        <v>30.02</v>
      </c>
      <c r="DB201" s="228">
        <v>0.33</v>
      </c>
      <c r="DC201" s="228">
        <v>0.33</v>
      </c>
      <c r="DD201" s="228">
        <v>42.64</v>
      </c>
      <c r="DE201" s="228">
        <v>42.73</v>
      </c>
      <c r="DF201" s="228">
        <v>-12.29</v>
      </c>
      <c r="DG201" s="228">
        <v>-0.09</v>
      </c>
      <c r="DH201" s="228">
        <v>30.02</v>
      </c>
      <c r="DI201" s="228">
        <v>29.58</v>
      </c>
      <c r="DJ201" s="228">
        <v>0.44</v>
      </c>
      <c r="DK201" s="228">
        <v>0.44</v>
      </c>
      <c r="DL201" s="228">
        <v>31.02</v>
      </c>
      <c r="DM201" s="228">
        <v>30.76</v>
      </c>
      <c r="DN201" s="228">
        <v>0.26</v>
      </c>
      <c r="DO201" s="228">
        <v>0.26</v>
      </c>
      <c r="DP201" s="228">
        <v>0.74</v>
      </c>
      <c r="DQ201" s="228">
        <v>0.68</v>
      </c>
      <c r="DR201" s="228">
        <v>0.06</v>
      </c>
      <c r="DS201" s="229">
        <v>8.8200000000000001E-2</v>
      </c>
      <c r="DT201" s="231">
        <v>4500</v>
      </c>
      <c r="DU201" s="231">
        <v>4000</v>
      </c>
      <c r="DV201" s="228">
        <v>0.5</v>
      </c>
      <c r="DW201" s="228">
        <v>0.59</v>
      </c>
      <c r="DX201" s="228">
        <v>-0.09</v>
      </c>
      <c r="DY201" s="229">
        <v>-0.1525</v>
      </c>
      <c r="DZ201" s="229">
        <v>5.91E-2</v>
      </c>
      <c r="EA201" s="230">
        <v>433700</v>
      </c>
      <c r="EB201" s="229">
        <v>6.0000000000000001E-3</v>
      </c>
      <c r="EC201" s="229">
        <v>5.91E-2</v>
      </c>
      <c r="ED201" s="228">
        <v>14.37</v>
      </c>
      <c r="EE201" s="229">
        <v>3.3999999999999998E-3</v>
      </c>
      <c r="EF201" s="230">
        <v>298698</v>
      </c>
      <c r="EG201" s="230">
        <v>382357</v>
      </c>
      <c r="EH201" s="229">
        <v>-0.21879999999999999</v>
      </c>
      <c r="EI201" s="229">
        <v>0.49390000000000001</v>
      </c>
      <c r="EJ201" s="231">
        <v>215887.03</v>
      </c>
      <c r="EK201" s="231">
        <v>99800.17</v>
      </c>
      <c r="EL201" s="231">
        <v>31957.61</v>
      </c>
      <c r="EM201" s="231">
        <v>21945</v>
      </c>
      <c r="EN201" s="231">
        <v>347644.81</v>
      </c>
      <c r="EO201" s="231">
        <v>222907.58</v>
      </c>
      <c r="EP201" s="231">
        <v>124737.23</v>
      </c>
      <c r="EQ201" s="229">
        <v>0.55959999999999999</v>
      </c>
      <c r="ER201" s="231">
        <v>176087</v>
      </c>
      <c r="ES201" s="231">
        <v>118044</v>
      </c>
      <c r="ET201" s="231">
        <v>310433</v>
      </c>
      <c r="EU201" s="231">
        <v>33590487</v>
      </c>
      <c r="EV201" s="231">
        <v>604564</v>
      </c>
      <c r="EW201" s="231">
        <v>607204</v>
      </c>
      <c r="EX201" s="231">
        <v>-2640</v>
      </c>
      <c r="EY201" s="229">
        <v>-4.3E-3</v>
      </c>
      <c r="EZ201" s="229">
        <v>0.43070000000000003</v>
      </c>
      <c r="FA201" s="227" t="s">
        <v>555</v>
      </c>
      <c r="FB201" s="161">
        <f t="shared" si="5"/>
        <v>0</v>
      </c>
    </row>
    <row r="202" spans="1:158" ht="17.25" thickBot="1" x14ac:dyDescent="0.3">
      <c r="A202" s="226">
        <v>46064</v>
      </c>
      <c r="B202" s="227" t="s">
        <v>162</v>
      </c>
      <c r="C202" s="227" t="s">
        <v>300</v>
      </c>
      <c r="D202" s="228">
        <v>175</v>
      </c>
      <c r="E202" s="231">
        <v>3868.5</v>
      </c>
      <c r="F202" s="231">
        <v>3775.2</v>
      </c>
      <c r="G202" s="228">
        <v>93.3</v>
      </c>
      <c r="H202" s="229">
        <v>2.47E-2</v>
      </c>
      <c r="I202" s="231">
        <v>3865.1</v>
      </c>
      <c r="J202" s="231">
        <v>3762.4</v>
      </c>
      <c r="K202" s="228">
        <v>102.7</v>
      </c>
      <c r="L202" s="229">
        <v>2.7300000000000001E-2</v>
      </c>
      <c r="M202" s="231">
        <v>3868.5</v>
      </c>
      <c r="N202" s="231">
        <v>3775.2</v>
      </c>
      <c r="O202" s="228">
        <v>93.3</v>
      </c>
      <c r="P202" s="229">
        <v>2.47E-2</v>
      </c>
      <c r="Q202" s="231">
        <v>3880.3</v>
      </c>
      <c r="R202" s="231">
        <v>3788.1</v>
      </c>
      <c r="S202" s="228">
        <v>92.2</v>
      </c>
      <c r="T202" s="229">
        <v>2.4299999999999999E-2</v>
      </c>
      <c r="U202" s="231">
        <v>3896.9</v>
      </c>
      <c r="V202" s="231">
        <v>3809.2</v>
      </c>
      <c r="W202" s="228">
        <v>87.7</v>
      </c>
      <c r="X202" s="229">
        <v>2.3E-2</v>
      </c>
      <c r="Y202" s="228">
        <v>3.4</v>
      </c>
      <c r="Z202" s="228">
        <v>12.8</v>
      </c>
      <c r="AA202" s="228">
        <v>-9.4</v>
      </c>
      <c r="AB202" s="229">
        <v>8.9999999999999998E-4</v>
      </c>
      <c r="AC202" s="228">
        <v>3.4</v>
      </c>
      <c r="AD202" s="228">
        <v>12.8</v>
      </c>
      <c r="AE202" s="228">
        <v>-9.4</v>
      </c>
      <c r="AF202" s="229">
        <v>8.9999999999999998E-4</v>
      </c>
      <c r="AG202" s="228">
        <v>15.2</v>
      </c>
      <c r="AH202" s="228">
        <v>25.7</v>
      </c>
      <c r="AI202" s="228">
        <v>-10.5</v>
      </c>
      <c r="AJ202" s="229">
        <v>3.8999999999999998E-3</v>
      </c>
      <c r="AK202" s="228">
        <v>31.8</v>
      </c>
      <c r="AL202" s="228">
        <v>46.8</v>
      </c>
      <c r="AM202" s="228">
        <v>-15</v>
      </c>
      <c r="AN202" s="229">
        <v>8.2000000000000007E-3</v>
      </c>
      <c r="AO202" s="231">
        <v>3859.65</v>
      </c>
      <c r="AP202" s="231">
        <v>3863.69</v>
      </c>
      <c r="AQ202" s="228">
        <v>0</v>
      </c>
      <c r="AR202" s="230">
        <v>1267525</v>
      </c>
      <c r="AS202" s="230">
        <v>837900</v>
      </c>
      <c r="AT202" s="230">
        <v>429625</v>
      </c>
      <c r="AU202" s="229">
        <v>0.51270000000000004</v>
      </c>
      <c r="AV202" s="230">
        <v>1153775</v>
      </c>
      <c r="AW202" s="230">
        <v>696325</v>
      </c>
      <c r="AX202" s="230">
        <v>457450</v>
      </c>
      <c r="AY202" s="229">
        <v>0.65690000000000004</v>
      </c>
      <c r="AZ202" s="230">
        <v>102550</v>
      </c>
      <c r="BA202" s="230">
        <v>138950</v>
      </c>
      <c r="BB202" s="230">
        <v>-36400</v>
      </c>
      <c r="BC202" s="229">
        <v>-0.26200000000000001</v>
      </c>
      <c r="BD202" s="230">
        <v>11200</v>
      </c>
      <c r="BE202" s="230">
        <v>2625</v>
      </c>
      <c r="BF202" s="230">
        <v>8575</v>
      </c>
      <c r="BG202" s="229">
        <v>3.2667000000000002</v>
      </c>
      <c r="BH202" s="230">
        <v>12622050</v>
      </c>
      <c r="BI202" s="230">
        <v>1398075</v>
      </c>
      <c r="BJ202" s="230">
        <v>11223975</v>
      </c>
      <c r="BK202" s="229">
        <v>8.0282</v>
      </c>
      <c r="BL202" s="230">
        <v>3277225</v>
      </c>
      <c r="BM202" s="230">
        <v>599900</v>
      </c>
      <c r="BN202" s="230">
        <v>2677325</v>
      </c>
      <c r="BO202" s="229">
        <v>4.4630000000000001</v>
      </c>
      <c r="BP202" s="230">
        <v>17166800</v>
      </c>
      <c r="BQ202" s="230">
        <v>2835875</v>
      </c>
      <c r="BR202" s="230">
        <v>14330925</v>
      </c>
      <c r="BS202" s="229">
        <v>5.0533999999999999</v>
      </c>
      <c r="BT202" s="230">
        <v>1169460</v>
      </c>
      <c r="BU202" s="230">
        <v>827213</v>
      </c>
      <c r="BV202" s="230">
        <v>342247</v>
      </c>
      <c r="BW202" s="229">
        <v>0.41370000000000001</v>
      </c>
      <c r="BX202" s="230">
        <v>8225525</v>
      </c>
      <c r="BY202" s="230">
        <v>8220275</v>
      </c>
      <c r="BZ202" s="230">
        <v>5250</v>
      </c>
      <c r="CA202" s="229">
        <v>5.9999999999999995E-4</v>
      </c>
      <c r="CB202" s="230">
        <v>8102500</v>
      </c>
      <c r="CC202" s="230">
        <v>8103725</v>
      </c>
      <c r="CD202" s="230">
        <v>-1225</v>
      </c>
      <c r="CE202" s="229">
        <v>-2.0000000000000001E-4</v>
      </c>
      <c r="CF202" s="230">
        <v>109375</v>
      </c>
      <c r="CG202" s="230">
        <v>103950</v>
      </c>
      <c r="CH202" s="230">
        <v>5425</v>
      </c>
      <c r="CI202" s="229">
        <v>5.2200000000000003E-2</v>
      </c>
      <c r="CJ202" s="230">
        <v>13650</v>
      </c>
      <c r="CK202" s="230">
        <v>12600</v>
      </c>
      <c r="CL202" s="230">
        <v>1050</v>
      </c>
      <c r="CM202" s="229">
        <v>8.3299999999999999E-2</v>
      </c>
      <c r="CN202" s="230">
        <v>2068675</v>
      </c>
      <c r="CO202" s="230">
        <v>1793925</v>
      </c>
      <c r="CP202" s="230">
        <v>274750</v>
      </c>
      <c r="CQ202" s="229">
        <v>0.1532</v>
      </c>
      <c r="CR202" s="230">
        <v>1402275</v>
      </c>
      <c r="CS202" s="230">
        <v>1251600</v>
      </c>
      <c r="CT202" s="230">
        <v>150675</v>
      </c>
      <c r="CU202" s="229">
        <v>0.12039999999999999</v>
      </c>
      <c r="CV202" s="230">
        <v>11696475</v>
      </c>
      <c r="CW202" s="230">
        <v>11265800</v>
      </c>
      <c r="CX202" s="230">
        <v>430675</v>
      </c>
      <c r="CY202" s="229">
        <v>3.8199999999999998E-2</v>
      </c>
      <c r="CZ202" s="228">
        <v>24.8</v>
      </c>
      <c r="DA202" s="228">
        <v>24.26</v>
      </c>
      <c r="DB202" s="228">
        <v>0.54</v>
      </c>
      <c r="DC202" s="228">
        <v>0.54</v>
      </c>
      <c r="DD202" s="228">
        <v>29.5</v>
      </c>
      <c r="DE202" s="228">
        <v>29.35</v>
      </c>
      <c r="DF202" s="228">
        <v>-4.7</v>
      </c>
      <c r="DG202" s="228">
        <v>0.15</v>
      </c>
      <c r="DH202" s="228">
        <v>24.53</v>
      </c>
      <c r="DI202" s="228">
        <v>23.88</v>
      </c>
      <c r="DJ202" s="228">
        <v>0.65</v>
      </c>
      <c r="DK202" s="228">
        <v>0.65</v>
      </c>
      <c r="DL202" s="228">
        <v>25.85</v>
      </c>
      <c r="DM202" s="228">
        <v>25.16</v>
      </c>
      <c r="DN202" s="228">
        <v>0.69</v>
      </c>
      <c r="DO202" s="228">
        <v>0.69</v>
      </c>
      <c r="DP202" s="228">
        <v>0.68</v>
      </c>
      <c r="DQ202" s="228">
        <v>0.7</v>
      </c>
      <c r="DR202" s="228">
        <v>-0.02</v>
      </c>
      <c r="DS202" s="229">
        <v>-2.86E-2</v>
      </c>
      <c r="DT202" s="231">
        <v>4000</v>
      </c>
      <c r="DU202" s="231">
        <v>3700</v>
      </c>
      <c r="DV202" s="228">
        <v>0.26</v>
      </c>
      <c r="DW202" s="228">
        <v>0.43</v>
      </c>
      <c r="DX202" s="228">
        <v>-0.17</v>
      </c>
      <c r="DY202" s="229">
        <v>-0.39529999999999998</v>
      </c>
      <c r="DZ202" s="229">
        <v>1.4999999999999999E-2</v>
      </c>
      <c r="EA202" s="230">
        <v>116550</v>
      </c>
      <c r="EB202" s="229">
        <v>3.0999999999999999E-3</v>
      </c>
      <c r="EC202" s="229">
        <v>1.4999999999999999E-2</v>
      </c>
      <c r="ED202" s="228">
        <v>4.04</v>
      </c>
      <c r="EE202" s="229">
        <v>1E-3</v>
      </c>
      <c r="EF202" s="230">
        <v>561629</v>
      </c>
      <c r="EG202" s="230">
        <v>546226</v>
      </c>
      <c r="EH202" s="229">
        <v>2.8199999999999999E-2</v>
      </c>
      <c r="EI202" s="229">
        <v>0.48020000000000002</v>
      </c>
      <c r="EJ202" s="231">
        <v>501031.87</v>
      </c>
      <c r="EK202" s="231">
        <v>122655.85</v>
      </c>
      <c r="EL202" s="231">
        <v>48929.99</v>
      </c>
      <c r="EM202" s="231">
        <v>4781</v>
      </c>
      <c r="EN202" s="231">
        <v>672617.71</v>
      </c>
      <c r="EO202" s="231">
        <v>107967.26</v>
      </c>
      <c r="EP202" s="231">
        <v>564650.44999999995</v>
      </c>
      <c r="EQ202" s="229">
        <v>5.2298</v>
      </c>
      <c r="ER202" s="231">
        <v>80313</v>
      </c>
      <c r="ES202" s="231">
        <v>50622</v>
      </c>
      <c r="ET202" s="231">
        <v>318221</v>
      </c>
      <c r="EU202" s="231">
        <v>31634588</v>
      </c>
      <c r="EV202" s="231">
        <v>449157</v>
      </c>
      <c r="EW202" s="231">
        <v>423400</v>
      </c>
      <c r="EX202" s="231">
        <v>25757</v>
      </c>
      <c r="EY202" s="229">
        <v>6.08E-2</v>
      </c>
      <c r="EZ202" s="229">
        <v>0.36969999999999997</v>
      </c>
      <c r="FA202" s="227" t="s">
        <v>555</v>
      </c>
      <c r="FB202" s="161">
        <f t="shared" si="5"/>
        <v>0</v>
      </c>
    </row>
    <row r="203" spans="1:158" ht="17.25" thickBot="1" x14ac:dyDescent="0.3">
      <c r="A203" s="226">
        <v>46064</v>
      </c>
      <c r="B203" s="227" t="s">
        <v>157</v>
      </c>
      <c r="C203" s="227" t="s">
        <v>302</v>
      </c>
      <c r="D203" s="228">
        <v>50</v>
      </c>
      <c r="E203" s="231">
        <v>12976</v>
      </c>
      <c r="F203" s="231">
        <v>13029</v>
      </c>
      <c r="G203" s="228">
        <v>-53</v>
      </c>
      <c r="H203" s="229">
        <v>-4.1000000000000003E-3</v>
      </c>
      <c r="I203" s="231">
        <v>12969</v>
      </c>
      <c r="J203" s="231">
        <v>13023</v>
      </c>
      <c r="K203" s="228">
        <v>-54</v>
      </c>
      <c r="L203" s="229">
        <v>-4.1000000000000003E-3</v>
      </c>
      <c r="M203" s="231">
        <v>12976</v>
      </c>
      <c r="N203" s="231">
        <v>13029</v>
      </c>
      <c r="O203" s="228">
        <v>-53</v>
      </c>
      <c r="P203" s="229">
        <v>-4.1000000000000003E-3</v>
      </c>
      <c r="Q203" s="231">
        <v>13066</v>
      </c>
      <c r="R203" s="231">
        <v>13110</v>
      </c>
      <c r="S203" s="228">
        <v>-44</v>
      </c>
      <c r="T203" s="229">
        <v>-3.3999999999999998E-3</v>
      </c>
      <c r="U203" s="231">
        <v>13099</v>
      </c>
      <c r="V203" s="231">
        <v>13176</v>
      </c>
      <c r="W203" s="228">
        <v>-77</v>
      </c>
      <c r="X203" s="229">
        <v>-5.7999999999999996E-3</v>
      </c>
      <c r="Y203" s="228">
        <v>7</v>
      </c>
      <c r="Z203" s="228">
        <v>6</v>
      </c>
      <c r="AA203" s="228">
        <v>1</v>
      </c>
      <c r="AB203" s="229">
        <v>5.0000000000000001E-4</v>
      </c>
      <c r="AC203" s="228">
        <v>7</v>
      </c>
      <c r="AD203" s="228">
        <v>6</v>
      </c>
      <c r="AE203" s="228">
        <v>1</v>
      </c>
      <c r="AF203" s="229">
        <v>5.0000000000000001E-4</v>
      </c>
      <c r="AG203" s="228">
        <v>97</v>
      </c>
      <c r="AH203" s="228">
        <v>87</v>
      </c>
      <c r="AI203" s="228">
        <v>10</v>
      </c>
      <c r="AJ203" s="229">
        <v>7.4999999999999997E-3</v>
      </c>
      <c r="AK203" s="228">
        <v>130</v>
      </c>
      <c r="AL203" s="228">
        <v>153</v>
      </c>
      <c r="AM203" s="228">
        <v>-23</v>
      </c>
      <c r="AN203" s="229">
        <v>0.01</v>
      </c>
      <c r="AO203" s="231">
        <v>12965.47</v>
      </c>
      <c r="AP203" s="231">
        <v>13054.23</v>
      </c>
      <c r="AQ203" s="228">
        <v>0</v>
      </c>
      <c r="AR203" s="230">
        <v>158450</v>
      </c>
      <c r="AS203" s="230">
        <v>187300</v>
      </c>
      <c r="AT203" s="230">
        <v>-28850</v>
      </c>
      <c r="AU203" s="229">
        <v>-0.154</v>
      </c>
      <c r="AV203" s="230">
        <v>153150</v>
      </c>
      <c r="AW203" s="230">
        <v>179450</v>
      </c>
      <c r="AX203" s="230">
        <v>-26300</v>
      </c>
      <c r="AY203" s="229">
        <v>-0.14660000000000001</v>
      </c>
      <c r="AZ203" s="230">
        <v>4850</v>
      </c>
      <c r="BA203" s="230">
        <v>7150</v>
      </c>
      <c r="BB203" s="230">
        <v>-2300</v>
      </c>
      <c r="BC203" s="229">
        <v>-0.32169999999999999</v>
      </c>
      <c r="BD203" s="228">
        <v>450</v>
      </c>
      <c r="BE203" s="228">
        <v>700</v>
      </c>
      <c r="BF203" s="228">
        <v>-250</v>
      </c>
      <c r="BG203" s="229">
        <v>-0.35709999999999997</v>
      </c>
      <c r="BH203" s="230">
        <v>785200</v>
      </c>
      <c r="BI203" s="230">
        <v>1290150</v>
      </c>
      <c r="BJ203" s="230">
        <v>-504950</v>
      </c>
      <c r="BK203" s="229">
        <v>-0.39140000000000003</v>
      </c>
      <c r="BL203" s="230">
        <v>472500</v>
      </c>
      <c r="BM203" s="230">
        <v>736500</v>
      </c>
      <c r="BN203" s="230">
        <v>-264000</v>
      </c>
      <c r="BO203" s="229">
        <v>-0.35849999999999999</v>
      </c>
      <c r="BP203" s="230">
        <v>1416150</v>
      </c>
      <c r="BQ203" s="230">
        <v>2213950</v>
      </c>
      <c r="BR203" s="230">
        <v>-797800</v>
      </c>
      <c r="BS203" s="229">
        <v>-0.3604</v>
      </c>
      <c r="BT203" s="230">
        <v>98820</v>
      </c>
      <c r="BU203" s="230">
        <v>178471</v>
      </c>
      <c r="BV203" s="230">
        <v>-79651</v>
      </c>
      <c r="BW203" s="229">
        <v>-0.44629999999999997</v>
      </c>
      <c r="BX203" s="230">
        <v>2361100</v>
      </c>
      <c r="BY203" s="230">
        <v>2394700</v>
      </c>
      <c r="BZ203" s="230">
        <v>-33600</v>
      </c>
      <c r="CA203" s="229">
        <v>-1.4E-2</v>
      </c>
      <c r="CB203" s="230">
        <v>2179850</v>
      </c>
      <c r="CC203" s="230">
        <v>2214900</v>
      </c>
      <c r="CD203" s="230">
        <v>-35050</v>
      </c>
      <c r="CE203" s="229">
        <v>-1.5800000000000002E-2</v>
      </c>
      <c r="CF203" s="230">
        <v>176500</v>
      </c>
      <c r="CG203" s="230">
        <v>175050</v>
      </c>
      <c r="CH203" s="230">
        <v>1450</v>
      </c>
      <c r="CI203" s="229">
        <v>8.3000000000000001E-3</v>
      </c>
      <c r="CJ203" s="230">
        <v>4750</v>
      </c>
      <c r="CK203" s="230">
        <v>4750</v>
      </c>
      <c r="CL203" s="228">
        <v>0</v>
      </c>
      <c r="CM203" s="229">
        <v>0</v>
      </c>
      <c r="CN203" s="230">
        <v>765500</v>
      </c>
      <c r="CO203" s="230">
        <v>734500</v>
      </c>
      <c r="CP203" s="230">
        <v>31000</v>
      </c>
      <c r="CQ203" s="229">
        <v>4.2200000000000001E-2</v>
      </c>
      <c r="CR203" s="230">
        <v>508300</v>
      </c>
      <c r="CS203" s="230">
        <v>522450</v>
      </c>
      <c r="CT203" s="230">
        <v>-14150</v>
      </c>
      <c r="CU203" s="229">
        <v>-2.7099999999999999E-2</v>
      </c>
      <c r="CV203" s="230">
        <v>3634900</v>
      </c>
      <c r="CW203" s="230">
        <v>3651650</v>
      </c>
      <c r="CX203" s="230">
        <v>-16750</v>
      </c>
      <c r="CY203" s="229">
        <v>-4.5999999999999999E-3</v>
      </c>
      <c r="CZ203" s="228">
        <v>19.82</v>
      </c>
      <c r="DA203" s="228">
        <v>20.440000000000001</v>
      </c>
      <c r="DB203" s="228">
        <v>-0.62</v>
      </c>
      <c r="DC203" s="228">
        <v>-0.62</v>
      </c>
      <c r="DD203" s="228">
        <v>23.88</v>
      </c>
      <c r="DE203" s="228">
        <v>23.93</v>
      </c>
      <c r="DF203" s="228">
        <v>-4.0599999999999996</v>
      </c>
      <c r="DG203" s="228">
        <v>-0.05</v>
      </c>
      <c r="DH203" s="228">
        <v>18.75</v>
      </c>
      <c r="DI203" s="228">
        <v>19.399999999999999</v>
      </c>
      <c r="DJ203" s="228">
        <v>-0.65</v>
      </c>
      <c r="DK203" s="228">
        <v>-0.65</v>
      </c>
      <c r="DL203" s="228">
        <v>21.6</v>
      </c>
      <c r="DM203" s="228">
        <v>22.27</v>
      </c>
      <c r="DN203" s="228">
        <v>-0.67</v>
      </c>
      <c r="DO203" s="228">
        <v>-0.67</v>
      </c>
      <c r="DP203" s="228">
        <v>0.66</v>
      </c>
      <c r="DQ203" s="228">
        <v>0.71</v>
      </c>
      <c r="DR203" s="228">
        <v>-0.05</v>
      </c>
      <c r="DS203" s="229">
        <v>-7.0400000000000004E-2</v>
      </c>
      <c r="DT203" s="231">
        <v>13000</v>
      </c>
      <c r="DU203" s="231">
        <v>12000</v>
      </c>
      <c r="DV203" s="228">
        <v>0.6</v>
      </c>
      <c r="DW203" s="228">
        <v>0.56999999999999995</v>
      </c>
      <c r="DX203" s="228">
        <v>0.03</v>
      </c>
      <c r="DY203" s="229">
        <v>5.2600000000000001E-2</v>
      </c>
      <c r="DZ203" s="229">
        <v>7.6799999999999993E-2</v>
      </c>
      <c r="EA203" s="230">
        <v>179800</v>
      </c>
      <c r="EB203" s="229">
        <v>6.8999999999999999E-3</v>
      </c>
      <c r="EC203" s="229">
        <v>7.6799999999999993E-2</v>
      </c>
      <c r="ED203" s="228">
        <v>88.76</v>
      </c>
      <c r="EE203" s="229">
        <v>6.7999999999999996E-3</v>
      </c>
      <c r="EF203" s="230">
        <v>50800</v>
      </c>
      <c r="EG203" s="230">
        <v>102558</v>
      </c>
      <c r="EH203" s="229">
        <v>-0.50470000000000004</v>
      </c>
      <c r="EI203" s="229">
        <v>0.5141</v>
      </c>
      <c r="EJ203" s="231">
        <v>104926.13</v>
      </c>
      <c r="EK203" s="231">
        <v>59686.86</v>
      </c>
      <c r="EL203" s="231">
        <v>20548.759999999998</v>
      </c>
      <c r="EM203" s="231">
        <v>3956</v>
      </c>
      <c r="EN203" s="231">
        <v>185161.75</v>
      </c>
      <c r="EO203" s="231">
        <v>291242.96999999997</v>
      </c>
      <c r="EP203" s="231">
        <v>-106081.22</v>
      </c>
      <c r="EQ203" s="229">
        <v>-0.36420000000000002</v>
      </c>
      <c r="ER203" s="231">
        <v>101758</v>
      </c>
      <c r="ES203" s="231">
        <v>61895</v>
      </c>
      <c r="ET203" s="231">
        <v>306541</v>
      </c>
      <c r="EU203" s="231">
        <v>11955674</v>
      </c>
      <c r="EV203" s="231">
        <v>470194</v>
      </c>
      <c r="EW203" s="231">
        <v>473455</v>
      </c>
      <c r="EX203" s="231">
        <v>-3261</v>
      </c>
      <c r="EY203" s="229">
        <v>-6.8999999999999999E-3</v>
      </c>
      <c r="EZ203" s="229">
        <v>0.30399999999999999</v>
      </c>
      <c r="FA203" s="227" t="s">
        <v>568</v>
      </c>
      <c r="FB203" s="161">
        <f t="shared" si="5"/>
        <v>0</v>
      </c>
    </row>
    <row r="204" spans="1:158" ht="17.25" thickBot="1" x14ac:dyDescent="0.3">
      <c r="A204" s="226">
        <v>46064</v>
      </c>
      <c r="B204" s="227" t="s">
        <v>172</v>
      </c>
      <c r="C204" s="227" t="s">
        <v>593</v>
      </c>
      <c r="D204" s="228">
        <v>4425</v>
      </c>
      <c r="E204" s="228">
        <v>180.43</v>
      </c>
      <c r="F204" s="228">
        <v>179.41</v>
      </c>
      <c r="G204" s="228">
        <v>1.02</v>
      </c>
      <c r="H204" s="229">
        <v>5.7000000000000002E-3</v>
      </c>
      <c r="I204" s="228">
        <v>180.33</v>
      </c>
      <c r="J204" s="228">
        <v>179.26</v>
      </c>
      <c r="K204" s="228">
        <v>1.07</v>
      </c>
      <c r="L204" s="229">
        <v>6.0000000000000001E-3</v>
      </c>
      <c r="M204" s="228">
        <v>180.43</v>
      </c>
      <c r="N204" s="228">
        <v>179.41</v>
      </c>
      <c r="O204" s="228">
        <v>1.02</v>
      </c>
      <c r="P204" s="229">
        <v>5.7000000000000002E-3</v>
      </c>
      <c r="Q204" s="228">
        <v>181.57</v>
      </c>
      <c r="R204" s="228">
        <v>180.55</v>
      </c>
      <c r="S204" s="228">
        <v>1.02</v>
      </c>
      <c r="T204" s="229">
        <v>5.5999999999999999E-3</v>
      </c>
      <c r="U204" s="228">
        <v>182.63</v>
      </c>
      <c r="V204" s="228">
        <v>181.5</v>
      </c>
      <c r="W204" s="228">
        <v>1.1299999999999999</v>
      </c>
      <c r="X204" s="229">
        <v>6.1999999999999998E-3</v>
      </c>
      <c r="Y204" s="228">
        <v>0.1</v>
      </c>
      <c r="Z204" s="228">
        <v>0.15</v>
      </c>
      <c r="AA204" s="228">
        <v>-0.05</v>
      </c>
      <c r="AB204" s="229">
        <v>5.9999999999999995E-4</v>
      </c>
      <c r="AC204" s="228">
        <v>0.1</v>
      </c>
      <c r="AD204" s="228">
        <v>0.15</v>
      </c>
      <c r="AE204" s="228">
        <v>-0.05</v>
      </c>
      <c r="AF204" s="229">
        <v>5.9999999999999995E-4</v>
      </c>
      <c r="AG204" s="228">
        <v>1.24</v>
      </c>
      <c r="AH204" s="228">
        <v>1.29</v>
      </c>
      <c r="AI204" s="228">
        <v>-0.05</v>
      </c>
      <c r="AJ204" s="229">
        <v>6.8999999999999999E-3</v>
      </c>
      <c r="AK204" s="228">
        <v>2.2999999999999998</v>
      </c>
      <c r="AL204" s="228">
        <v>2.2400000000000002</v>
      </c>
      <c r="AM204" s="228">
        <v>0.06</v>
      </c>
      <c r="AN204" s="229">
        <v>1.2800000000000001E-2</v>
      </c>
      <c r="AO204" s="228">
        <v>179.01</v>
      </c>
      <c r="AP204" s="228">
        <v>179.61</v>
      </c>
      <c r="AQ204" s="228">
        <v>0</v>
      </c>
      <c r="AR204" s="230">
        <v>15775125</v>
      </c>
      <c r="AS204" s="230">
        <v>10974000</v>
      </c>
      <c r="AT204" s="230">
        <v>4801125</v>
      </c>
      <c r="AU204" s="229">
        <v>0.4375</v>
      </c>
      <c r="AV204" s="230">
        <v>13841400</v>
      </c>
      <c r="AW204" s="230">
        <v>9947400</v>
      </c>
      <c r="AX204" s="230">
        <v>3894000</v>
      </c>
      <c r="AY204" s="229">
        <v>0.39150000000000001</v>
      </c>
      <c r="AZ204" s="230">
        <v>1809825</v>
      </c>
      <c r="BA204" s="230">
        <v>898275</v>
      </c>
      <c r="BB204" s="230">
        <v>911550</v>
      </c>
      <c r="BC204" s="229">
        <v>1.0147999999999999</v>
      </c>
      <c r="BD204" s="230">
        <v>123900</v>
      </c>
      <c r="BE204" s="230">
        <v>128325</v>
      </c>
      <c r="BF204" s="230">
        <v>-4425</v>
      </c>
      <c r="BG204" s="229">
        <v>-3.4500000000000003E-2</v>
      </c>
      <c r="BH204" s="230">
        <v>64330650</v>
      </c>
      <c r="BI204" s="230">
        <v>30479400</v>
      </c>
      <c r="BJ204" s="230">
        <v>33851250</v>
      </c>
      <c r="BK204" s="229">
        <v>1.1106</v>
      </c>
      <c r="BL204" s="230">
        <v>17899125</v>
      </c>
      <c r="BM204" s="230">
        <v>10562475</v>
      </c>
      <c r="BN204" s="230">
        <v>7336650</v>
      </c>
      <c r="BO204" s="229">
        <v>0.6946</v>
      </c>
      <c r="BP204" s="230">
        <v>98004900</v>
      </c>
      <c r="BQ204" s="230">
        <v>52015875</v>
      </c>
      <c r="BR204" s="230">
        <v>45989025</v>
      </c>
      <c r="BS204" s="229">
        <v>0.8841</v>
      </c>
      <c r="BT204" s="230">
        <v>10670886</v>
      </c>
      <c r="BU204" s="230">
        <v>8631254</v>
      </c>
      <c r="BV204" s="230">
        <v>2039632</v>
      </c>
      <c r="BW204" s="229">
        <v>0.23630000000000001</v>
      </c>
      <c r="BX204" s="230">
        <v>61839375</v>
      </c>
      <c r="BY204" s="230">
        <v>62144700</v>
      </c>
      <c r="BZ204" s="230">
        <v>-305325</v>
      </c>
      <c r="CA204" s="229">
        <v>-4.8999999999999998E-3</v>
      </c>
      <c r="CB204" s="230">
        <v>58206450</v>
      </c>
      <c r="CC204" s="230">
        <v>58834800</v>
      </c>
      <c r="CD204" s="230">
        <v>-628350</v>
      </c>
      <c r="CE204" s="229">
        <v>-1.0699999999999999E-2</v>
      </c>
      <c r="CF204" s="230">
        <v>3124050</v>
      </c>
      <c r="CG204" s="230">
        <v>2854125</v>
      </c>
      <c r="CH204" s="230">
        <v>269925</v>
      </c>
      <c r="CI204" s="229">
        <v>9.4600000000000004E-2</v>
      </c>
      <c r="CJ204" s="230">
        <v>508875</v>
      </c>
      <c r="CK204" s="230">
        <v>455775</v>
      </c>
      <c r="CL204" s="230">
        <v>53100</v>
      </c>
      <c r="CM204" s="229">
        <v>0.11650000000000001</v>
      </c>
      <c r="CN204" s="230">
        <v>44081850</v>
      </c>
      <c r="CO204" s="230">
        <v>46763400</v>
      </c>
      <c r="CP204" s="230">
        <v>-2681550</v>
      </c>
      <c r="CQ204" s="229">
        <v>-5.7299999999999997E-2</v>
      </c>
      <c r="CR204" s="230">
        <v>28244775</v>
      </c>
      <c r="CS204" s="230">
        <v>27116400</v>
      </c>
      <c r="CT204" s="230">
        <v>1128375</v>
      </c>
      <c r="CU204" s="229">
        <v>4.1599999999999998E-2</v>
      </c>
      <c r="CV204" s="230">
        <v>134166000</v>
      </c>
      <c r="CW204" s="230">
        <v>136024500</v>
      </c>
      <c r="CX204" s="230">
        <v>-1858500</v>
      </c>
      <c r="CY204" s="229">
        <v>-1.37E-2</v>
      </c>
      <c r="CZ204" s="228">
        <v>33.76</v>
      </c>
      <c r="DA204" s="228">
        <v>34.56</v>
      </c>
      <c r="DB204" s="228">
        <v>-0.8</v>
      </c>
      <c r="DC204" s="228">
        <v>-0.8</v>
      </c>
      <c r="DD204" s="228">
        <v>40.909999999999997</v>
      </c>
      <c r="DE204" s="228">
        <v>41.01</v>
      </c>
      <c r="DF204" s="228">
        <v>-7.15</v>
      </c>
      <c r="DG204" s="228">
        <v>-0.1</v>
      </c>
      <c r="DH204" s="228">
        <v>33.700000000000003</v>
      </c>
      <c r="DI204" s="228">
        <v>34.700000000000003</v>
      </c>
      <c r="DJ204" s="228">
        <v>-1</v>
      </c>
      <c r="DK204" s="228">
        <v>-1</v>
      </c>
      <c r="DL204" s="228">
        <v>33.950000000000003</v>
      </c>
      <c r="DM204" s="228">
        <v>34.18</v>
      </c>
      <c r="DN204" s="228">
        <v>-0.23</v>
      </c>
      <c r="DO204" s="228">
        <v>-0.23</v>
      </c>
      <c r="DP204" s="228">
        <v>0.64</v>
      </c>
      <c r="DQ204" s="228">
        <v>0.57999999999999996</v>
      </c>
      <c r="DR204" s="228">
        <v>0.06</v>
      </c>
      <c r="DS204" s="229">
        <v>0.10340000000000001</v>
      </c>
      <c r="DT204" s="228">
        <v>180</v>
      </c>
      <c r="DU204" s="228">
        <v>175</v>
      </c>
      <c r="DV204" s="228">
        <v>0.28000000000000003</v>
      </c>
      <c r="DW204" s="228">
        <v>0.35</v>
      </c>
      <c r="DX204" s="228">
        <v>-7.0000000000000007E-2</v>
      </c>
      <c r="DY204" s="229">
        <v>-0.2</v>
      </c>
      <c r="DZ204" s="229">
        <v>5.8700000000000002E-2</v>
      </c>
      <c r="EA204" s="230">
        <v>3309900</v>
      </c>
      <c r="EB204" s="229">
        <v>6.3E-3</v>
      </c>
      <c r="EC204" s="229">
        <v>5.8700000000000002E-2</v>
      </c>
      <c r="ED204" s="228">
        <v>0.6</v>
      </c>
      <c r="EE204" s="229">
        <v>3.3999999999999998E-3</v>
      </c>
      <c r="EF204" s="230">
        <v>4728139</v>
      </c>
      <c r="EG204" s="230">
        <v>4237177</v>
      </c>
      <c r="EH204" s="229">
        <v>0.1159</v>
      </c>
      <c r="EI204" s="229">
        <v>0.44309999999999999</v>
      </c>
      <c r="EJ204" s="231">
        <v>121280.44</v>
      </c>
      <c r="EK204" s="231">
        <v>31301.66</v>
      </c>
      <c r="EL204" s="231">
        <v>28253.54</v>
      </c>
      <c r="EM204" s="231">
        <v>3677</v>
      </c>
      <c r="EN204" s="231">
        <v>180835.64</v>
      </c>
      <c r="EO204" s="231">
        <v>95748.19</v>
      </c>
      <c r="EP204" s="231">
        <v>85087.45</v>
      </c>
      <c r="EQ204" s="229">
        <v>0.88870000000000005</v>
      </c>
      <c r="ER204" s="231">
        <v>82133</v>
      </c>
      <c r="ES204" s="231">
        <v>48376</v>
      </c>
      <c r="ET204" s="231">
        <v>111624</v>
      </c>
      <c r="EU204" s="231">
        <v>289041713</v>
      </c>
      <c r="EV204" s="231">
        <v>242132</v>
      </c>
      <c r="EW204" s="231">
        <v>245132</v>
      </c>
      <c r="EX204" s="231">
        <v>-3000</v>
      </c>
      <c r="EY204" s="229">
        <v>-1.2200000000000001E-2</v>
      </c>
      <c r="EZ204" s="229">
        <v>0.4642</v>
      </c>
      <c r="FA204" s="227" t="s">
        <v>556</v>
      </c>
      <c r="FB204" s="161">
        <f t="shared" si="5"/>
        <v>0</v>
      </c>
    </row>
    <row r="205" spans="1:158" ht="17.25" thickBot="1" x14ac:dyDescent="0.3">
      <c r="A205" s="226">
        <v>46064</v>
      </c>
      <c r="B205" s="227" t="s">
        <v>168</v>
      </c>
      <c r="C205" s="227" t="s">
        <v>569</v>
      </c>
      <c r="D205" s="228">
        <v>400</v>
      </c>
      <c r="E205" s="231">
        <v>1413.6</v>
      </c>
      <c r="F205" s="231">
        <v>1412.7</v>
      </c>
      <c r="G205" s="228">
        <v>0.9</v>
      </c>
      <c r="H205" s="229">
        <v>5.9999999999999995E-4</v>
      </c>
      <c r="I205" s="231">
        <v>1412.9</v>
      </c>
      <c r="J205" s="231">
        <v>1409.9</v>
      </c>
      <c r="K205" s="228">
        <v>3</v>
      </c>
      <c r="L205" s="229">
        <v>2.0999999999999999E-3</v>
      </c>
      <c r="M205" s="231">
        <v>1413.6</v>
      </c>
      <c r="N205" s="231">
        <v>1412.7</v>
      </c>
      <c r="O205" s="228">
        <v>0.9</v>
      </c>
      <c r="P205" s="229">
        <v>5.9999999999999995E-4</v>
      </c>
      <c r="Q205" s="231">
        <v>1421.8</v>
      </c>
      <c r="R205" s="231">
        <v>1421.5</v>
      </c>
      <c r="S205" s="228">
        <v>0.3</v>
      </c>
      <c r="T205" s="229">
        <v>2.0000000000000001E-4</v>
      </c>
      <c r="U205" s="231">
        <v>1426.7</v>
      </c>
      <c r="V205" s="231">
        <v>1428.6</v>
      </c>
      <c r="W205" s="228">
        <v>-1.9</v>
      </c>
      <c r="X205" s="229">
        <v>-1.2999999999999999E-3</v>
      </c>
      <c r="Y205" s="228">
        <v>0.7</v>
      </c>
      <c r="Z205" s="228">
        <v>2.8</v>
      </c>
      <c r="AA205" s="228">
        <v>-2.1</v>
      </c>
      <c r="AB205" s="229">
        <v>5.0000000000000001E-4</v>
      </c>
      <c r="AC205" s="228">
        <v>0.7</v>
      </c>
      <c r="AD205" s="228">
        <v>2.8</v>
      </c>
      <c r="AE205" s="228">
        <v>-2.1</v>
      </c>
      <c r="AF205" s="229">
        <v>5.0000000000000001E-4</v>
      </c>
      <c r="AG205" s="228">
        <v>8.9</v>
      </c>
      <c r="AH205" s="228">
        <v>11.6</v>
      </c>
      <c r="AI205" s="228">
        <v>-2.7</v>
      </c>
      <c r="AJ205" s="229">
        <v>6.3E-3</v>
      </c>
      <c r="AK205" s="228">
        <v>13.8</v>
      </c>
      <c r="AL205" s="228">
        <v>18.7</v>
      </c>
      <c r="AM205" s="228">
        <v>-4.9000000000000004</v>
      </c>
      <c r="AN205" s="229">
        <v>9.7999999999999997E-3</v>
      </c>
      <c r="AO205" s="231">
        <v>1411.21</v>
      </c>
      <c r="AP205" s="231">
        <v>1420.68</v>
      </c>
      <c r="AQ205" s="228">
        <v>0</v>
      </c>
      <c r="AR205" s="230">
        <v>550800</v>
      </c>
      <c r="AS205" s="230">
        <v>511600</v>
      </c>
      <c r="AT205" s="230">
        <v>39200</v>
      </c>
      <c r="AU205" s="229">
        <v>7.6600000000000001E-2</v>
      </c>
      <c r="AV205" s="230">
        <v>494000</v>
      </c>
      <c r="AW205" s="230">
        <v>486000</v>
      </c>
      <c r="AX205" s="230">
        <v>8000</v>
      </c>
      <c r="AY205" s="229">
        <v>1.6500000000000001E-2</v>
      </c>
      <c r="AZ205" s="230">
        <v>48400</v>
      </c>
      <c r="BA205" s="230">
        <v>24000</v>
      </c>
      <c r="BB205" s="230">
        <v>24400</v>
      </c>
      <c r="BC205" s="229">
        <v>1.0166999999999999</v>
      </c>
      <c r="BD205" s="230">
        <v>8400</v>
      </c>
      <c r="BE205" s="230">
        <v>1600</v>
      </c>
      <c r="BF205" s="230">
        <v>6800</v>
      </c>
      <c r="BG205" s="229">
        <v>4.25</v>
      </c>
      <c r="BH205" s="230">
        <v>1298800</v>
      </c>
      <c r="BI205" s="230">
        <v>1586400</v>
      </c>
      <c r="BJ205" s="230">
        <v>-287600</v>
      </c>
      <c r="BK205" s="229">
        <v>-0.18129999999999999</v>
      </c>
      <c r="BL205" s="230">
        <v>755200</v>
      </c>
      <c r="BM205" s="230">
        <v>662800</v>
      </c>
      <c r="BN205" s="230">
        <v>92400</v>
      </c>
      <c r="BO205" s="229">
        <v>0.1394</v>
      </c>
      <c r="BP205" s="230">
        <v>2604800</v>
      </c>
      <c r="BQ205" s="230">
        <v>2760800</v>
      </c>
      <c r="BR205" s="230">
        <v>-156000</v>
      </c>
      <c r="BS205" s="229">
        <v>-5.6500000000000002E-2</v>
      </c>
      <c r="BT205" s="230">
        <v>403278</v>
      </c>
      <c r="BU205" s="230">
        <v>320405</v>
      </c>
      <c r="BV205" s="230">
        <v>82873</v>
      </c>
      <c r="BW205" s="229">
        <v>0.25869999999999999</v>
      </c>
      <c r="BX205" s="230">
        <v>10232800</v>
      </c>
      <c r="BY205" s="230">
        <v>10220400</v>
      </c>
      <c r="BZ205" s="230">
        <v>12400</v>
      </c>
      <c r="CA205" s="229">
        <v>1.1999999999999999E-3</v>
      </c>
      <c r="CB205" s="230">
        <v>10046000</v>
      </c>
      <c r="CC205" s="230">
        <v>10046800</v>
      </c>
      <c r="CD205" s="228">
        <v>-800</v>
      </c>
      <c r="CE205" s="229">
        <v>-1E-4</v>
      </c>
      <c r="CF205" s="230">
        <v>170000</v>
      </c>
      <c r="CG205" s="230">
        <v>162400</v>
      </c>
      <c r="CH205" s="230">
        <v>7600</v>
      </c>
      <c r="CI205" s="229">
        <v>4.6800000000000001E-2</v>
      </c>
      <c r="CJ205" s="230">
        <v>16800</v>
      </c>
      <c r="CK205" s="230">
        <v>11200</v>
      </c>
      <c r="CL205" s="230">
        <v>5600</v>
      </c>
      <c r="CM205" s="229">
        <v>0.5</v>
      </c>
      <c r="CN205" s="230">
        <v>2690000</v>
      </c>
      <c r="CO205" s="230">
        <v>2691600</v>
      </c>
      <c r="CP205" s="230">
        <v>-1600</v>
      </c>
      <c r="CQ205" s="229">
        <v>-5.9999999999999995E-4</v>
      </c>
      <c r="CR205" s="230">
        <v>2517600</v>
      </c>
      <c r="CS205" s="230">
        <v>2509200</v>
      </c>
      <c r="CT205" s="230">
        <v>8400</v>
      </c>
      <c r="CU205" s="229">
        <v>3.3E-3</v>
      </c>
      <c r="CV205" s="230">
        <v>15440400</v>
      </c>
      <c r="CW205" s="230">
        <v>15421200</v>
      </c>
      <c r="CX205" s="230">
        <v>19200</v>
      </c>
      <c r="CY205" s="229">
        <v>1.1999999999999999E-3</v>
      </c>
      <c r="CZ205" s="228">
        <v>22.6</v>
      </c>
      <c r="DA205" s="228">
        <v>23.32</v>
      </c>
      <c r="DB205" s="228">
        <v>-0.72</v>
      </c>
      <c r="DC205" s="228">
        <v>-0.72</v>
      </c>
      <c r="DD205" s="228">
        <v>26.61</v>
      </c>
      <c r="DE205" s="228">
        <v>26.67</v>
      </c>
      <c r="DF205" s="228">
        <v>-4.01</v>
      </c>
      <c r="DG205" s="228">
        <v>-0.06</v>
      </c>
      <c r="DH205" s="228">
        <v>21.98</v>
      </c>
      <c r="DI205" s="228">
        <v>22.9</v>
      </c>
      <c r="DJ205" s="228">
        <v>-0.92</v>
      </c>
      <c r="DK205" s="228">
        <v>-0.92</v>
      </c>
      <c r="DL205" s="228">
        <v>23.66</v>
      </c>
      <c r="DM205" s="228">
        <v>24.32</v>
      </c>
      <c r="DN205" s="228">
        <v>-0.66</v>
      </c>
      <c r="DO205" s="228">
        <v>-0.66</v>
      </c>
      <c r="DP205" s="228">
        <v>0.94</v>
      </c>
      <c r="DQ205" s="228">
        <v>0.93</v>
      </c>
      <c r="DR205" s="228">
        <v>0.01</v>
      </c>
      <c r="DS205" s="229">
        <v>1.0800000000000001E-2</v>
      </c>
      <c r="DT205" s="231">
        <v>1400</v>
      </c>
      <c r="DU205" s="231">
        <v>1400</v>
      </c>
      <c r="DV205" s="228">
        <v>0.57999999999999996</v>
      </c>
      <c r="DW205" s="228">
        <v>0.42</v>
      </c>
      <c r="DX205" s="228">
        <v>0.16</v>
      </c>
      <c r="DY205" s="229">
        <v>0.38100000000000001</v>
      </c>
      <c r="DZ205" s="229">
        <v>1.83E-2</v>
      </c>
      <c r="EA205" s="230">
        <v>173600</v>
      </c>
      <c r="EB205" s="229">
        <v>5.7999999999999996E-3</v>
      </c>
      <c r="EC205" s="229">
        <v>1.83E-2</v>
      </c>
      <c r="ED205" s="228">
        <v>9.4700000000000006</v>
      </c>
      <c r="EE205" s="229">
        <v>6.7000000000000002E-3</v>
      </c>
      <c r="EF205" s="230">
        <v>240604</v>
      </c>
      <c r="EG205" s="230">
        <v>178827</v>
      </c>
      <c r="EH205" s="229">
        <v>0.34549999999999997</v>
      </c>
      <c r="EI205" s="229">
        <v>0.59660000000000002</v>
      </c>
      <c r="EJ205" s="231">
        <v>18891.04</v>
      </c>
      <c r="EK205" s="231">
        <v>10421.34</v>
      </c>
      <c r="EL205" s="231">
        <v>7778.67</v>
      </c>
      <c r="EM205" s="231">
        <v>1789</v>
      </c>
      <c r="EN205" s="231">
        <v>37091.050000000003</v>
      </c>
      <c r="EO205" s="231">
        <v>39441.550000000003</v>
      </c>
      <c r="EP205" s="231">
        <v>-2350.5</v>
      </c>
      <c r="EQ205" s="229">
        <v>-5.96E-2</v>
      </c>
      <c r="ER205" s="231">
        <v>38198</v>
      </c>
      <c r="ES205" s="231">
        <v>33757</v>
      </c>
      <c r="ET205" s="231">
        <v>144667</v>
      </c>
      <c r="EU205" s="231">
        <v>37091426</v>
      </c>
      <c r="EV205" s="231">
        <v>216622</v>
      </c>
      <c r="EW205" s="231">
        <v>216195</v>
      </c>
      <c r="EX205" s="228">
        <v>427</v>
      </c>
      <c r="EY205" s="229">
        <v>2E-3</v>
      </c>
      <c r="EZ205" s="229">
        <v>0.4163</v>
      </c>
      <c r="FA205" s="227" t="s">
        <v>555</v>
      </c>
      <c r="FB205" s="161">
        <f t="shared" si="5"/>
        <v>0</v>
      </c>
    </row>
    <row r="206" spans="1:158" ht="17.25" thickBot="1" x14ac:dyDescent="0.3">
      <c r="A206" s="226">
        <v>46064</v>
      </c>
      <c r="B206" s="227" t="s">
        <v>162</v>
      </c>
      <c r="C206" s="227" t="s">
        <v>673</v>
      </c>
      <c r="D206" s="228">
        <v>550</v>
      </c>
      <c r="E206" s="231">
        <v>1249.9000000000001</v>
      </c>
      <c r="F206" s="231">
        <v>1234.3</v>
      </c>
      <c r="G206" s="228">
        <v>15.6</v>
      </c>
      <c r="H206" s="229">
        <v>1.26E-2</v>
      </c>
      <c r="I206" s="231">
        <v>1245.8</v>
      </c>
      <c r="J206" s="231">
        <v>1231.2</v>
      </c>
      <c r="K206" s="228">
        <v>14.6</v>
      </c>
      <c r="L206" s="229">
        <v>1.1900000000000001E-2</v>
      </c>
      <c r="M206" s="231">
        <v>1249.9000000000001</v>
      </c>
      <c r="N206" s="231">
        <v>1234.3</v>
      </c>
      <c r="O206" s="228">
        <v>15.6</v>
      </c>
      <c r="P206" s="229">
        <v>1.26E-2</v>
      </c>
      <c r="Q206" s="231">
        <v>1253.0999999999999</v>
      </c>
      <c r="R206" s="231">
        <v>1240</v>
      </c>
      <c r="S206" s="228">
        <v>13.1</v>
      </c>
      <c r="T206" s="229">
        <v>1.06E-2</v>
      </c>
      <c r="U206" s="231">
        <v>1255.7</v>
      </c>
      <c r="V206" s="231">
        <v>1244</v>
      </c>
      <c r="W206" s="228">
        <v>11.7</v>
      </c>
      <c r="X206" s="229">
        <v>9.4000000000000004E-3</v>
      </c>
      <c r="Y206" s="228">
        <v>4.0999999999999996</v>
      </c>
      <c r="Z206" s="228">
        <v>3.1</v>
      </c>
      <c r="AA206" s="228">
        <v>1</v>
      </c>
      <c r="AB206" s="229">
        <v>3.3E-3</v>
      </c>
      <c r="AC206" s="228">
        <v>4.0999999999999996</v>
      </c>
      <c r="AD206" s="228">
        <v>3.1</v>
      </c>
      <c r="AE206" s="228">
        <v>1</v>
      </c>
      <c r="AF206" s="229">
        <v>3.3E-3</v>
      </c>
      <c r="AG206" s="228">
        <v>7.3</v>
      </c>
      <c r="AH206" s="228">
        <v>8.8000000000000007</v>
      </c>
      <c r="AI206" s="228">
        <v>-1.5</v>
      </c>
      <c r="AJ206" s="229">
        <v>5.8999999999999999E-3</v>
      </c>
      <c r="AK206" s="228">
        <v>9.9</v>
      </c>
      <c r="AL206" s="228">
        <v>12.8</v>
      </c>
      <c r="AM206" s="228">
        <v>-2.9</v>
      </c>
      <c r="AN206" s="229">
        <v>7.9000000000000008E-3</v>
      </c>
      <c r="AO206" s="231">
        <v>1245.01</v>
      </c>
      <c r="AP206" s="231">
        <v>1251.97</v>
      </c>
      <c r="AQ206" s="228">
        <v>0</v>
      </c>
      <c r="AR206" s="230">
        <v>964150</v>
      </c>
      <c r="AS206" s="230">
        <v>781000</v>
      </c>
      <c r="AT206" s="230">
        <v>183150</v>
      </c>
      <c r="AU206" s="229">
        <v>0.23449999999999999</v>
      </c>
      <c r="AV206" s="230">
        <v>897600</v>
      </c>
      <c r="AW206" s="230">
        <v>735900</v>
      </c>
      <c r="AX206" s="230">
        <v>161700</v>
      </c>
      <c r="AY206" s="229">
        <v>0.21970000000000001</v>
      </c>
      <c r="AZ206" s="230">
        <v>66000</v>
      </c>
      <c r="BA206" s="230">
        <v>42900</v>
      </c>
      <c r="BB206" s="230">
        <v>23100</v>
      </c>
      <c r="BC206" s="229">
        <v>0.53849999999999998</v>
      </c>
      <c r="BD206" s="228">
        <v>550</v>
      </c>
      <c r="BE206" s="230">
        <v>2200</v>
      </c>
      <c r="BF206" s="230">
        <v>-1650</v>
      </c>
      <c r="BG206" s="229">
        <v>-0.75</v>
      </c>
      <c r="BH206" s="230">
        <v>4026000</v>
      </c>
      <c r="BI206" s="230">
        <v>3139950</v>
      </c>
      <c r="BJ206" s="230">
        <v>886050</v>
      </c>
      <c r="BK206" s="229">
        <v>0.28220000000000001</v>
      </c>
      <c r="BL206" s="230">
        <v>1657700</v>
      </c>
      <c r="BM206" s="230">
        <v>1382700</v>
      </c>
      <c r="BN206" s="230">
        <v>275000</v>
      </c>
      <c r="BO206" s="229">
        <v>0.19889999999999999</v>
      </c>
      <c r="BP206" s="230">
        <v>6647850</v>
      </c>
      <c r="BQ206" s="230">
        <v>5303650</v>
      </c>
      <c r="BR206" s="230">
        <v>1344200</v>
      </c>
      <c r="BS206" s="229">
        <v>0.25340000000000001</v>
      </c>
      <c r="BT206" s="230">
        <v>1142956</v>
      </c>
      <c r="BU206" s="230">
        <v>875638</v>
      </c>
      <c r="BV206" s="230">
        <v>267318</v>
      </c>
      <c r="BW206" s="229">
        <v>0.30530000000000002</v>
      </c>
      <c r="BX206" s="230">
        <v>6382750</v>
      </c>
      <c r="BY206" s="230">
        <v>6370100</v>
      </c>
      <c r="BZ206" s="230">
        <v>12650</v>
      </c>
      <c r="CA206" s="229">
        <v>2E-3</v>
      </c>
      <c r="CB206" s="230">
        <v>6266150</v>
      </c>
      <c r="CC206" s="230">
        <v>6257900</v>
      </c>
      <c r="CD206" s="230">
        <v>8250</v>
      </c>
      <c r="CE206" s="229">
        <v>1.2999999999999999E-3</v>
      </c>
      <c r="CF206" s="230">
        <v>113300</v>
      </c>
      <c r="CG206" s="230">
        <v>108350</v>
      </c>
      <c r="CH206" s="230">
        <v>4950</v>
      </c>
      <c r="CI206" s="229">
        <v>4.5699999999999998E-2</v>
      </c>
      <c r="CJ206" s="230">
        <v>3300</v>
      </c>
      <c r="CK206" s="230">
        <v>3850</v>
      </c>
      <c r="CL206" s="228">
        <v>-550</v>
      </c>
      <c r="CM206" s="229">
        <v>-0.1429</v>
      </c>
      <c r="CN206" s="230">
        <v>1777600</v>
      </c>
      <c r="CO206" s="230">
        <v>1844700</v>
      </c>
      <c r="CP206" s="230">
        <v>-67100</v>
      </c>
      <c r="CQ206" s="229">
        <v>-3.6400000000000002E-2</v>
      </c>
      <c r="CR206" s="230">
        <v>1448700</v>
      </c>
      <c r="CS206" s="230">
        <v>1475100</v>
      </c>
      <c r="CT206" s="230">
        <v>-26400</v>
      </c>
      <c r="CU206" s="229">
        <v>-1.7899999999999999E-2</v>
      </c>
      <c r="CV206" s="230">
        <v>9609050</v>
      </c>
      <c r="CW206" s="230">
        <v>9689900</v>
      </c>
      <c r="CX206" s="230">
        <v>-80850</v>
      </c>
      <c r="CY206" s="229">
        <v>-8.3000000000000001E-3</v>
      </c>
      <c r="CZ206" s="228">
        <v>32.049999999999997</v>
      </c>
      <c r="DA206" s="228">
        <v>32.44</v>
      </c>
      <c r="DB206" s="228">
        <v>-0.39</v>
      </c>
      <c r="DC206" s="228">
        <v>-0.39</v>
      </c>
      <c r="DD206" s="228">
        <v>41.34</v>
      </c>
      <c r="DE206" s="228">
        <v>41.41</v>
      </c>
      <c r="DF206" s="228">
        <v>-9.2899999999999991</v>
      </c>
      <c r="DG206" s="228">
        <v>-7.0000000000000007E-2</v>
      </c>
      <c r="DH206" s="228">
        <v>31.05</v>
      </c>
      <c r="DI206" s="228">
        <v>30.94</v>
      </c>
      <c r="DJ206" s="228">
        <v>0.11</v>
      </c>
      <c r="DK206" s="228">
        <v>0.11</v>
      </c>
      <c r="DL206" s="228">
        <v>34.47</v>
      </c>
      <c r="DM206" s="228">
        <v>35.83</v>
      </c>
      <c r="DN206" s="228">
        <v>-1.36</v>
      </c>
      <c r="DO206" s="228">
        <v>-1.36</v>
      </c>
      <c r="DP206" s="228">
        <v>0.81</v>
      </c>
      <c r="DQ206" s="228">
        <v>0.8</v>
      </c>
      <c r="DR206" s="228">
        <v>0.01</v>
      </c>
      <c r="DS206" s="229">
        <v>1.2500000000000001E-2</v>
      </c>
      <c r="DT206" s="231">
        <v>1300</v>
      </c>
      <c r="DU206" s="231">
        <v>1160</v>
      </c>
      <c r="DV206" s="228">
        <v>0.41</v>
      </c>
      <c r="DW206" s="228">
        <v>0.44</v>
      </c>
      <c r="DX206" s="228">
        <v>-0.03</v>
      </c>
      <c r="DY206" s="229">
        <v>-6.8199999999999997E-2</v>
      </c>
      <c r="DZ206" s="229">
        <v>1.83E-2</v>
      </c>
      <c r="EA206" s="230">
        <v>112200</v>
      </c>
      <c r="EB206" s="229">
        <v>2.5999999999999999E-3</v>
      </c>
      <c r="EC206" s="229">
        <v>1.83E-2</v>
      </c>
      <c r="ED206" s="228">
        <v>6.96</v>
      </c>
      <c r="EE206" s="229">
        <v>5.5999999999999999E-3</v>
      </c>
      <c r="EF206" s="230">
        <v>570771</v>
      </c>
      <c r="EG206" s="230">
        <v>475730</v>
      </c>
      <c r="EH206" s="229">
        <v>0.19980000000000001</v>
      </c>
      <c r="EI206" s="229">
        <v>0.49940000000000001</v>
      </c>
      <c r="EJ206" s="231">
        <v>52158.81</v>
      </c>
      <c r="EK206" s="231">
        <v>19472.490000000002</v>
      </c>
      <c r="EL206" s="231">
        <v>12008.44</v>
      </c>
      <c r="EM206" s="231">
        <v>3350</v>
      </c>
      <c r="EN206" s="231">
        <v>83639.740000000005</v>
      </c>
      <c r="EO206" s="231">
        <v>65657.69</v>
      </c>
      <c r="EP206" s="231">
        <v>17982.05</v>
      </c>
      <c r="EQ206" s="229">
        <v>0.27389999999999998</v>
      </c>
      <c r="ER206" s="231">
        <v>22890</v>
      </c>
      <c r="ES206" s="231">
        <v>16669</v>
      </c>
      <c r="ET206" s="231">
        <v>79782</v>
      </c>
      <c r="EU206" s="231">
        <v>27292222</v>
      </c>
      <c r="EV206" s="231">
        <v>119341</v>
      </c>
      <c r="EW206" s="231">
        <v>119118</v>
      </c>
      <c r="EX206" s="228">
        <v>223</v>
      </c>
      <c r="EY206" s="229">
        <v>1.9E-3</v>
      </c>
      <c r="EZ206" s="229">
        <v>0.35210000000000002</v>
      </c>
      <c r="FA206" s="227" t="s">
        <v>555</v>
      </c>
      <c r="FB206" s="161">
        <f t="shared" si="5"/>
        <v>0</v>
      </c>
    </row>
    <row r="207" spans="1:158" ht="17.25" thickBot="1" x14ac:dyDescent="0.3">
      <c r="A207" s="226">
        <v>46064</v>
      </c>
      <c r="B207" s="227" t="s">
        <v>498</v>
      </c>
      <c r="C207" s="227" t="s">
        <v>303</v>
      </c>
      <c r="D207" s="228">
        <v>1355</v>
      </c>
      <c r="E207" s="228">
        <v>750</v>
      </c>
      <c r="F207" s="228">
        <v>747.9</v>
      </c>
      <c r="G207" s="228">
        <v>2.1</v>
      </c>
      <c r="H207" s="229">
        <v>2.8E-3</v>
      </c>
      <c r="I207" s="228">
        <v>749</v>
      </c>
      <c r="J207" s="228">
        <v>746</v>
      </c>
      <c r="K207" s="228">
        <v>3</v>
      </c>
      <c r="L207" s="229">
        <v>4.0000000000000001E-3</v>
      </c>
      <c r="M207" s="228">
        <v>750</v>
      </c>
      <c r="N207" s="228">
        <v>747.9</v>
      </c>
      <c r="O207" s="228">
        <v>2.1</v>
      </c>
      <c r="P207" s="229">
        <v>2.8E-3</v>
      </c>
      <c r="Q207" s="228">
        <v>754.5</v>
      </c>
      <c r="R207" s="228">
        <v>752.9</v>
      </c>
      <c r="S207" s="228">
        <v>1.6</v>
      </c>
      <c r="T207" s="229">
        <v>2.0999999999999999E-3</v>
      </c>
      <c r="U207" s="228">
        <v>758.3</v>
      </c>
      <c r="V207" s="228">
        <v>757.45</v>
      </c>
      <c r="W207" s="228">
        <v>0.85</v>
      </c>
      <c r="X207" s="229">
        <v>1.1000000000000001E-3</v>
      </c>
      <c r="Y207" s="228">
        <v>1</v>
      </c>
      <c r="Z207" s="228">
        <v>1.9</v>
      </c>
      <c r="AA207" s="228">
        <v>-0.9</v>
      </c>
      <c r="AB207" s="229">
        <v>1.2999999999999999E-3</v>
      </c>
      <c r="AC207" s="228">
        <v>1</v>
      </c>
      <c r="AD207" s="228">
        <v>1.9</v>
      </c>
      <c r="AE207" s="228">
        <v>-0.9</v>
      </c>
      <c r="AF207" s="229">
        <v>1.2999999999999999E-3</v>
      </c>
      <c r="AG207" s="228">
        <v>5.5</v>
      </c>
      <c r="AH207" s="228">
        <v>6.9</v>
      </c>
      <c r="AI207" s="228">
        <v>-1.4</v>
      </c>
      <c r="AJ207" s="229">
        <v>7.3000000000000001E-3</v>
      </c>
      <c r="AK207" s="228">
        <v>9.3000000000000007</v>
      </c>
      <c r="AL207" s="228">
        <v>11.45</v>
      </c>
      <c r="AM207" s="228">
        <v>-2.15</v>
      </c>
      <c r="AN207" s="229">
        <v>1.24E-2</v>
      </c>
      <c r="AO207" s="228">
        <v>750.7</v>
      </c>
      <c r="AP207" s="228">
        <v>755.5</v>
      </c>
      <c r="AQ207" s="228">
        <v>0</v>
      </c>
      <c r="AR207" s="230">
        <v>3184250</v>
      </c>
      <c r="AS207" s="230">
        <v>3800775</v>
      </c>
      <c r="AT207" s="230">
        <v>-616525</v>
      </c>
      <c r="AU207" s="229">
        <v>-0.16220000000000001</v>
      </c>
      <c r="AV207" s="230">
        <v>2910540</v>
      </c>
      <c r="AW207" s="230">
        <v>3516225</v>
      </c>
      <c r="AX207" s="230">
        <v>-605685</v>
      </c>
      <c r="AY207" s="229">
        <v>-0.17230000000000001</v>
      </c>
      <c r="AZ207" s="230">
        <v>268290</v>
      </c>
      <c r="BA207" s="230">
        <v>216800</v>
      </c>
      <c r="BB207" s="230">
        <v>51490</v>
      </c>
      <c r="BC207" s="229">
        <v>0.23749999999999999</v>
      </c>
      <c r="BD207" s="230">
        <v>5420</v>
      </c>
      <c r="BE207" s="230">
        <v>67750</v>
      </c>
      <c r="BF207" s="230">
        <v>-62330</v>
      </c>
      <c r="BG207" s="229">
        <v>-0.92</v>
      </c>
      <c r="BH207" s="230">
        <v>7787185</v>
      </c>
      <c r="BI207" s="230">
        <v>13041875</v>
      </c>
      <c r="BJ207" s="230">
        <v>-5254690</v>
      </c>
      <c r="BK207" s="229">
        <v>-0.40289999999999998</v>
      </c>
      <c r="BL207" s="230">
        <v>2386155</v>
      </c>
      <c r="BM207" s="230">
        <v>5444390</v>
      </c>
      <c r="BN207" s="230">
        <v>-3058235</v>
      </c>
      <c r="BO207" s="229">
        <v>-0.56169999999999998</v>
      </c>
      <c r="BP207" s="230">
        <v>13357590</v>
      </c>
      <c r="BQ207" s="230">
        <v>22287040</v>
      </c>
      <c r="BR207" s="230">
        <v>-8929450</v>
      </c>
      <c r="BS207" s="229">
        <v>-0.4007</v>
      </c>
      <c r="BT207" s="230">
        <v>1153599</v>
      </c>
      <c r="BU207" s="230">
        <v>2075082</v>
      </c>
      <c r="BV207" s="230">
        <v>-921483</v>
      </c>
      <c r="BW207" s="229">
        <v>-0.44409999999999999</v>
      </c>
      <c r="BX207" s="230">
        <v>29299165</v>
      </c>
      <c r="BY207" s="230">
        <v>29398080</v>
      </c>
      <c r="BZ207" s="230">
        <v>-98915</v>
      </c>
      <c r="CA207" s="229">
        <v>-3.3999999999999998E-3</v>
      </c>
      <c r="CB207" s="230">
        <v>28602695</v>
      </c>
      <c r="CC207" s="230">
        <v>28819495</v>
      </c>
      <c r="CD207" s="230">
        <v>-216800</v>
      </c>
      <c r="CE207" s="229">
        <v>-7.4999999999999997E-3</v>
      </c>
      <c r="CF207" s="230">
        <v>578585</v>
      </c>
      <c r="CG207" s="230">
        <v>463410</v>
      </c>
      <c r="CH207" s="230">
        <v>115175</v>
      </c>
      <c r="CI207" s="229">
        <v>0.2485</v>
      </c>
      <c r="CJ207" s="230">
        <v>117885</v>
      </c>
      <c r="CK207" s="230">
        <v>115175</v>
      </c>
      <c r="CL207" s="230">
        <v>2710</v>
      </c>
      <c r="CM207" s="229">
        <v>2.35E-2</v>
      </c>
      <c r="CN207" s="230">
        <v>13266805</v>
      </c>
      <c r="CO207" s="230">
        <v>13448375</v>
      </c>
      <c r="CP207" s="230">
        <v>-181570</v>
      </c>
      <c r="CQ207" s="229">
        <v>-1.35E-2</v>
      </c>
      <c r="CR207" s="230">
        <v>7804800</v>
      </c>
      <c r="CS207" s="230">
        <v>7834610</v>
      </c>
      <c r="CT207" s="230">
        <v>-29810</v>
      </c>
      <c r="CU207" s="229">
        <v>-3.8E-3</v>
      </c>
      <c r="CV207" s="230">
        <v>50370770</v>
      </c>
      <c r="CW207" s="230">
        <v>50681065</v>
      </c>
      <c r="CX207" s="230">
        <v>-310295</v>
      </c>
      <c r="CY207" s="229">
        <v>-6.1000000000000004E-3</v>
      </c>
      <c r="CZ207" s="228">
        <v>28.86</v>
      </c>
      <c r="DA207" s="228">
        <v>29.29</v>
      </c>
      <c r="DB207" s="228">
        <v>-0.43</v>
      </c>
      <c r="DC207" s="228">
        <v>-0.43</v>
      </c>
      <c r="DD207" s="228">
        <v>35.61</v>
      </c>
      <c r="DE207" s="228">
        <v>35.700000000000003</v>
      </c>
      <c r="DF207" s="228">
        <v>-6.75</v>
      </c>
      <c r="DG207" s="228">
        <v>-0.09</v>
      </c>
      <c r="DH207" s="228">
        <v>28.53</v>
      </c>
      <c r="DI207" s="228">
        <v>28.67</v>
      </c>
      <c r="DJ207" s="228">
        <v>-0.14000000000000001</v>
      </c>
      <c r="DK207" s="228">
        <v>-0.14000000000000001</v>
      </c>
      <c r="DL207" s="228">
        <v>29.92</v>
      </c>
      <c r="DM207" s="228">
        <v>30.79</v>
      </c>
      <c r="DN207" s="228">
        <v>-0.87</v>
      </c>
      <c r="DO207" s="228">
        <v>-0.87</v>
      </c>
      <c r="DP207" s="228">
        <v>0.59</v>
      </c>
      <c r="DQ207" s="228">
        <v>0.57999999999999996</v>
      </c>
      <c r="DR207" s="228">
        <v>0.01</v>
      </c>
      <c r="DS207" s="229">
        <v>1.72E-2</v>
      </c>
      <c r="DT207" s="228">
        <v>800</v>
      </c>
      <c r="DU207" s="228">
        <v>750</v>
      </c>
      <c r="DV207" s="228">
        <v>0.31</v>
      </c>
      <c r="DW207" s="228">
        <v>0.42</v>
      </c>
      <c r="DX207" s="228">
        <v>-0.11</v>
      </c>
      <c r="DY207" s="229">
        <v>-0.26190000000000002</v>
      </c>
      <c r="DZ207" s="229">
        <v>2.3800000000000002E-2</v>
      </c>
      <c r="EA207" s="230">
        <v>578585</v>
      </c>
      <c r="EB207" s="229">
        <v>6.0000000000000001E-3</v>
      </c>
      <c r="EC207" s="229">
        <v>2.3800000000000002E-2</v>
      </c>
      <c r="ED207" s="228">
        <v>4.8</v>
      </c>
      <c r="EE207" s="229">
        <v>6.4000000000000003E-3</v>
      </c>
      <c r="EF207" s="230">
        <v>643335</v>
      </c>
      <c r="EG207" s="230">
        <v>1265106</v>
      </c>
      <c r="EH207" s="229">
        <v>-0.49149999999999999</v>
      </c>
      <c r="EI207" s="229">
        <v>0.55769999999999997</v>
      </c>
      <c r="EJ207" s="231">
        <v>60712.47</v>
      </c>
      <c r="EK207" s="231">
        <v>17499.189999999999</v>
      </c>
      <c r="EL207" s="231">
        <v>23917.63</v>
      </c>
      <c r="EM207" s="231">
        <v>3306</v>
      </c>
      <c r="EN207" s="231">
        <v>102129.29</v>
      </c>
      <c r="EO207" s="231">
        <v>169723.47</v>
      </c>
      <c r="EP207" s="231">
        <v>-67594.179999999993</v>
      </c>
      <c r="EQ207" s="229">
        <v>-0.39829999999999999</v>
      </c>
      <c r="ER207" s="231">
        <v>102809</v>
      </c>
      <c r="ES207" s="231">
        <v>54677</v>
      </c>
      <c r="ET207" s="231">
        <v>219780</v>
      </c>
      <c r="EU207" s="231">
        <v>84228583</v>
      </c>
      <c r="EV207" s="231">
        <v>377265</v>
      </c>
      <c r="EW207" s="231">
        <v>378929</v>
      </c>
      <c r="EX207" s="231">
        <v>-1664</v>
      </c>
      <c r="EY207" s="229">
        <v>-4.4000000000000003E-3</v>
      </c>
      <c r="EZ207" s="229">
        <v>0.59799999999999998</v>
      </c>
      <c r="FA207" s="227" t="s">
        <v>556</v>
      </c>
      <c r="FB207" s="161">
        <f t="shared" si="5"/>
        <v>0</v>
      </c>
    </row>
    <row r="208" spans="1:158" ht="17.25" thickBot="1" x14ac:dyDescent="0.3">
      <c r="A208" s="226">
        <v>46064</v>
      </c>
      <c r="B208" s="227" t="s">
        <v>168</v>
      </c>
      <c r="C208" s="227" t="s">
        <v>586</v>
      </c>
      <c r="D208" s="228">
        <v>1125</v>
      </c>
      <c r="E208" s="228">
        <v>458.4</v>
      </c>
      <c r="F208" s="228">
        <v>456.8</v>
      </c>
      <c r="G208" s="228">
        <v>1.6</v>
      </c>
      <c r="H208" s="229">
        <v>3.5000000000000001E-3</v>
      </c>
      <c r="I208" s="228">
        <v>456.9</v>
      </c>
      <c r="J208" s="228">
        <v>456.5</v>
      </c>
      <c r="K208" s="228">
        <v>0.4</v>
      </c>
      <c r="L208" s="229">
        <v>8.9999999999999998E-4</v>
      </c>
      <c r="M208" s="228">
        <v>458.4</v>
      </c>
      <c r="N208" s="228">
        <v>456.8</v>
      </c>
      <c r="O208" s="228">
        <v>1.6</v>
      </c>
      <c r="P208" s="229">
        <v>3.5000000000000001E-3</v>
      </c>
      <c r="Q208" s="228">
        <v>461.1</v>
      </c>
      <c r="R208" s="228">
        <v>459.35</v>
      </c>
      <c r="S208" s="228">
        <v>1.75</v>
      </c>
      <c r="T208" s="229">
        <v>3.8E-3</v>
      </c>
      <c r="U208" s="228">
        <v>462.95</v>
      </c>
      <c r="V208" s="228">
        <v>461.65</v>
      </c>
      <c r="W208" s="228">
        <v>1.3</v>
      </c>
      <c r="X208" s="229">
        <v>2.8E-3</v>
      </c>
      <c r="Y208" s="228">
        <v>1.5</v>
      </c>
      <c r="Z208" s="228">
        <v>0.3</v>
      </c>
      <c r="AA208" s="228">
        <v>1.2</v>
      </c>
      <c r="AB208" s="229">
        <v>3.3E-3</v>
      </c>
      <c r="AC208" s="228">
        <v>1.5</v>
      </c>
      <c r="AD208" s="228">
        <v>0.3</v>
      </c>
      <c r="AE208" s="228">
        <v>1.2</v>
      </c>
      <c r="AF208" s="229">
        <v>3.3E-3</v>
      </c>
      <c r="AG208" s="228">
        <v>4.2</v>
      </c>
      <c r="AH208" s="228">
        <v>2.85</v>
      </c>
      <c r="AI208" s="228">
        <v>1.35</v>
      </c>
      <c r="AJ208" s="229">
        <v>9.1999999999999998E-3</v>
      </c>
      <c r="AK208" s="228">
        <v>6.05</v>
      </c>
      <c r="AL208" s="228">
        <v>5.15</v>
      </c>
      <c r="AM208" s="228">
        <v>0.9</v>
      </c>
      <c r="AN208" s="229">
        <v>1.32E-2</v>
      </c>
      <c r="AO208" s="228">
        <v>457.03</v>
      </c>
      <c r="AP208" s="228">
        <v>459.89</v>
      </c>
      <c r="AQ208" s="228">
        <v>0</v>
      </c>
      <c r="AR208" s="230">
        <v>2911500</v>
      </c>
      <c r="AS208" s="230">
        <v>6781500</v>
      </c>
      <c r="AT208" s="230">
        <v>-3870000</v>
      </c>
      <c r="AU208" s="229">
        <v>-0.57069999999999999</v>
      </c>
      <c r="AV208" s="230">
        <v>2613375</v>
      </c>
      <c r="AW208" s="230">
        <v>6276375</v>
      </c>
      <c r="AX208" s="230">
        <v>-3663000</v>
      </c>
      <c r="AY208" s="229">
        <v>-0.58360000000000001</v>
      </c>
      <c r="AZ208" s="230">
        <v>247500</v>
      </c>
      <c r="BA208" s="230">
        <v>411750</v>
      </c>
      <c r="BB208" s="230">
        <v>-164250</v>
      </c>
      <c r="BC208" s="229">
        <v>-0.39889999999999998</v>
      </c>
      <c r="BD208" s="230">
        <v>50625</v>
      </c>
      <c r="BE208" s="230">
        <v>93375</v>
      </c>
      <c r="BF208" s="230">
        <v>-42750</v>
      </c>
      <c r="BG208" s="229">
        <v>-0.45779999999999998</v>
      </c>
      <c r="BH208" s="230">
        <v>9165375</v>
      </c>
      <c r="BI208" s="230">
        <v>17619750</v>
      </c>
      <c r="BJ208" s="230">
        <v>-8454375</v>
      </c>
      <c r="BK208" s="229">
        <v>-0.4798</v>
      </c>
      <c r="BL208" s="230">
        <v>3403125</v>
      </c>
      <c r="BM208" s="230">
        <v>8920125</v>
      </c>
      <c r="BN208" s="230">
        <v>-5517000</v>
      </c>
      <c r="BO208" s="229">
        <v>-0.61850000000000005</v>
      </c>
      <c r="BP208" s="230">
        <v>15480000</v>
      </c>
      <c r="BQ208" s="230">
        <v>33321375</v>
      </c>
      <c r="BR208" s="230">
        <v>-17841375</v>
      </c>
      <c r="BS208" s="229">
        <v>-0.53539999999999999</v>
      </c>
      <c r="BT208" s="230">
        <v>2523560</v>
      </c>
      <c r="BU208" s="230">
        <v>5410965</v>
      </c>
      <c r="BV208" s="230">
        <v>-2887405</v>
      </c>
      <c r="BW208" s="229">
        <v>-0.53359999999999996</v>
      </c>
      <c r="BX208" s="230">
        <v>44451000</v>
      </c>
      <c r="BY208" s="230">
        <v>44602875</v>
      </c>
      <c r="BZ208" s="230">
        <v>-151875</v>
      </c>
      <c r="CA208" s="229">
        <v>-3.3999999999999998E-3</v>
      </c>
      <c r="CB208" s="230">
        <v>42208875</v>
      </c>
      <c r="CC208" s="230">
        <v>42384375</v>
      </c>
      <c r="CD208" s="230">
        <v>-175500</v>
      </c>
      <c r="CE208" s="229">
        <v>-4.1000000000000003E-3</v>
      </c>
      <c r="CF208" s="230">
        <v>1743750</v>
      </c>
      <c r="CG208" s="230">
        <v>1721250</v>
      </c>
      <c r="CH208" s="230">
        <v>22500</v>
      </c>
      <c r="CI208" s="229">
        <v>1.3100000000000001E-2</v>
      </c>
      <c r="CJ208" s="230">
        <v>498375</v>
      </c>
      <c r="CK208" s="230">
        <v>497250</v>
      </c>
      <c r="CL208" s="230">
        <v>1125</v>
      </c>
      <c r="CM208" s="229">
        <v>2.3E-3</v>
      </c>
      <c r="CN208" s="230">
        <v>23272875</v>
      </c>
      <c r="CO208" s="230">
        <v>23098500</v>
      </c>
      <c r="CP208" s="230">
        <v>174375</v>
      </c>
      <c r="CQ208" s="229">
        <v>7.4999999999999997E-3</v>
      </c>
      <c r="CR208" s="230">
        <v>12517875</v>
      </c>
      <c r="CS208" s="230">
        <v>12889125</v>
      </c>
      <c r="CT208" s="230">
        <v>-371250</v>
      </c>
      <c r="CU208" s="229">
        <v>-2.8799999999999999E-2</v>
      </c>
      <c r="CV208" s="230">
        <v>80241750</v>
      </c>
      <c r="CW208" s="230">
        <v>80590500</v>
      </c>
      <c r="CX208" s="230">
        <v>-348750</v>
      </c>
      <c r="CY208" s="229">
        <v>-4.3E-3</v>
      </c>
      <c r="CZ208" s="228">
        <v>29.21</v>
      </c>
      <c r="DA208" s="228">
        <v>29.9</v>
      </c>
      <c r="DB208" s="228">
        <v>-0.69</v>
      </c>
      <c r="DC208" s="228">
        <v>-0.69</v>
      </c>
      <c r="DD208" s="228">
        <v>36.6</v>
      </c>
      <c r="DE208" s="228">
        <v>36.700000000000003</v>
      </c>
      <c r="DF208" s="228">
        <v>-7.39</v>
      </c>
      <c r="DG208" s="228">
        <v>-0.1</v>
      </c>
      <c r="DH208" s="228">
        <v>29.46</v>
      </c>
      <c r="DI208" s="228">
        <v>30.23</v>
      </c>
      <c r="DJ208" s="228">
        <v>-0.77</v>
      </c>
      <c r="DK208" s="228">
        <v>-0.77</v>
      </c>
      <c r="DL208" s="228">
        <v>28.54</v>
      </c>
      <c r="DM208" s="228">
        <v>29.24</v>
      </c>
      <c r="DN208" s="228">
        <v>-0.7</v>
      </c>
      <c r="DO208" s="228">
        <v>-0.7</v>
      </c>
      <c r="DP208" s="228">
        <v>0.54</v>
      </c>
      <c r="DQ208" s="228">
        <v>0.56000000000000005</v>
      </c>
      <c r="DR208" s="228">
        <v>-0.02</v>
      </c>
      <c r="DS208" s="229">
        <v>-3.5700000000000003E-2</v>
      </c>
      <c r="DT208" s="228">
        <v>500</v>
      </c>
      <c r="DU208" s="228">
        <v>440</v>
      </c>
      <c r="DV208" s="228">
        <v>0.37</v>
      </c>
      <c r="DW208" s="228">
        <v>0.51</v>
      </c>
      <c r="DX208" s="228">
        <v>-0.14000000000000001</v>
      </c>
      <c r="DY208" s="229">
        <v>-0.27450000000000002</v>
      </c>
      <c r="DZ208" s="229">
        <v>5.04E-2</v>
      </c>
      <c r="EA208" s="230">
        <v>2218500</v>
      </c>
      <c r="EB208" s="229">
        <v>5.8999999999999999E-3</v>
      </c>
      <c r="EC208" s="229">
        <v>5.04E-2</v>
      </c>
      <c r="ED208" s="228">
        <v>2.86</v>
      </c>
      <c r="EE208" s="229">
        <v>6.3E-3</v>
      </c>
      <c r="EF208" s="230">
        <v>1357441</v>
      </c>
      <c r="EG208" s="230">
        <v>2910557</v>
      </c>
      <c r="EH208" s="229">
        <v>-0.53359999999999996</v>
      </c>
      <c r="EI208" s="229">
        <v>0.53790000000000004</v>
      </c>
      <c r="EJ208" s="231">
        <v>44408.1</v>
      </c>
      <c r="EK208" s="231">
        <v>15191.29</v>
      </c>
      <c r="EL208" s="231">
        <v>13316.12</v>
      </c>
      <c r="EM208" s="231">
        <v>9035</v>
      </c>
      <c r="EN208" s="231">
        <v>72915.509999999995</v>
      </c>
      <c r="EO208" s="231">
        <v>155724.87</v>
      </c>
      <c r="EP208" s="231">
        <v>-82809.36</v>
      </c>
      <c r="EQ208" s="229">
        <v>-0.53180000000000005</v>
      </c>
      <c r="ER208" s="231">
        <v>113218</v>
      </c>
      <c r="ES208" s="231">
        <v>55704</v>
      </c>
      <c r="ET208" s="231">
        <v>203833</v>
      </c>
      <c r="EU208" s="231">
        <v>205761118</v>
      </c>
      <c r="EV208" s="231">
        <v>372755</v>
      </c>
      <c r="EW208" s="231">
        <v>373463</v>
      </c>
      <c r="EX208" s="228">
        <v>-708</v>
      </c>
      <c r="EY208" s="229">
        <v>-1.9E-3</v>
      </c>
      <c r="EZ208" s="229">
        <v>0.39</v>
      </c>
      <c r="FA208" s="227" t="s">
        <v>556</v>
      </c>
      <c r="FB208" s="161">
        <f t="shared" si="5"/>
        <v>0</v>
      </c>
    </row>
    <row r="209" spans="1:158" ht="17.25" thickBot="1" x14ac:dyDescent="0.3">
      <c r="A209" s="226">
        <v>46064</v>
      </c>
      <c r="B209" s="227" t="s">
        <v>227</v>
      </c>
      <c r="C209" s="227" t="s">
        <v>304</v>
      </c>
      <c r="D209" s="228">
        <v>1150</v>
      </c>
      <c r="E209" s="228">
        <v>703.7</v>
      </c>
      <c r="F209" s="228">
        <v>690.65</v>
      </c>
      <c r="G209" s="228">
        <v>13.05</v>
      </c>
      <c r="H209" s="229">
        <v>1.89E-2</v>
      </c>
      <c r="I209" s="228">
        <v>701.15</v>
      </c>
      <c r="J209" s="228">
        <v>690.15</v>
      </c>
      <c r="K209" s="228">
        <v>11</v>
      </c>
      <c r="L209" s="229">
        <v>1.5900000000000001E-2</v>
      </c>
      <c r="M209" s="228">
        <v>703.7</v>
      </c>
      <c r="N209" s="228">
        <v>690.65</v>
      </c>
      <c r="O209" s="228">
        <v>13.05</v>
      </c>
      <c r="P209" s="229">
        <v>1.89E-2</v>
      </c>
      <c r="Q209" s="228">
        <v>704.95</v>
      </c>
      <c r="R209" s="228">
        <v>692.35</v>
      </c>
      <c r="S209" s="228">
        <v>12.6</v>
      </c>
      <c r="T209" s="229">
        <v>1.8200000000000001E-2</v>
      </c>
      <c r="U209" s="228">
        <v>706.25</v>
      </c>
      <c r="V209" s="228">
        <v>693.85</v>
      </c>
      <c r="W209" s="228">
        <v>12.4</v>
      </c>
      <c r="X209" s="229">
        <v>1.7899999999999999E-2</v>
      </c>
      <c r="Y209" s="228">
        <v>2.5499999999999998</v>
      </c>
      <c r="Z209" s="228">
        <v>0.5</v>
      </c>
      <c r="AA209" s="228">
        <v>2.0499999999999998</v>
      </c>
      <c r="AB209" s="229">
        <v>3.5999999999999999E-3</v>
      </c>
      <c r="AC209" s="228">
        <v>2.5499999999999998</v>
      </c>
      <c r="AD209" s="228">
        <v>0.5</v>
      </c>
      <c r="AE209" s="228">
        <v>2.0499999999999998</v>
      </c>
      <c r="AF209" s="229">
        <v>3.5999999999999999E-3</v>
      </c>
      <c r="AG209" s="228">
        <v>3.8</v>
      </c>
      <c r="AH209" s="228">
        <v>2.2000000000000002</v>
      </c>
      <c r="AI209" s="228">
        <v>1.6</v>
      </c>
      <c r="AJ209" s="229">
        <v>5.4000000000000003E-3</v>
      </c>
      <c r="AK209" s="228">
        <v>5.0999999999999996</v>
      </c>
      <c r="AL209" s="228">
        <v>3.7</v>
      </c>
      <c r="AM209" s="228">
        <v>1.4</v>
      </c>
      <c r="AN209" s="229">
        <v>7.3000000000000001E-3</v>
      </c>
      <c r="AO209" s="228">
        <v>697.58</v>
      </c>
      <c r="AP209" s="228">
        <v>698.98</v>
      </c>
      <c r="AQ209" s="228">
        <v>0</v>
      </c>
      <c r="AR209" s="230">
        <v>13290550</v>
      </c>
      <c r="AS209" s="230">
        <v>11832350</v>
      </c>
      <c r="AT209" s="230">
        <v>1458200</v>
      </c>
      <c r="AU209" s="229">
        <v>0.1232</v>
      </c>
      <c r="AV209" s="230">
        <v>11805900</v>
      </c>
      <c r="AW209" s="230">
        <v>10674300</v>
      </c>
      <c r="AX209" s="230">
        <v>1131600</v>
      </c>
      <c r="AY209" s="229">
        <v>0.106</v>
      </c>
      <c r="AZ209" s="230">
        <v>1344350</v>
      </c>
      <c r="BA209" s="230">
        <v>1067200</v>
      </c>
      <c r="BB209" s="230">
        <v>277150</v>
      </c>
      <c r="BC209" s="229">
        <v>0.25969999999999999</v>
      </c>
      <c r="BD209" s="230">
        <v>140300</v>
      </c>
      <c r="BE209" s="230">
        <v>90850</v>
      </c>
      <c r="BF209" s="230">
        <v>49450</v>
      </c>
      <c r="BG209" s="229">
        <v>0.54430000000000001</v>
      </c>
      <c r="BH209" s="230">
        <v>55016000</v>
      </c>
      <c r="BI209" s="230">
        <v>45813700</v>
      </c>
      <c r="BJ209" s="230">
        <v>9202300</v>
      </c>
      <c r="BK209" s="229">
        <v>0.2009</v>
      </c>
      <c r="BL209" s="230">
        <v>26146400</v>
      </c>
      <c r="BM209" s="230">
        <v>25150500</v>
      </c>
      <c r="BN209" s="230">
        <v>995900</v>
      </c>
      <c r="BO209" s="229">
        <v>3.9600000000000003E-2</v>
      </c>
      <c r="BP209" s="230">
        <v>94452950</v>
      </c>
      <c r="BQ209" s="230">
        <v>82796550</v>
      </c>
      <c r="BR209" s="230">
        <v>11656400</v>
      </c>
      <c r="BS209" s="229">
        <v>0.14080000000000001</v>
      </c>
      <c r="BT209" s="230">
        <v>11813961</v>
      </c>
      <c r="BU209" s="230">
        <v>11634111</v>
      </c>
      <c r="BV209" s="230">
        <v>179850</v>
      </c>
      <c r="BW209" s="229">
        <v>1.55E-2</v>
      </c>
      <c r="BX209" s="230">
        <v>83645250</v>
      </c>
      <c r="BY209" s="230">
        <v>83370400</v>
      </c>
      <c r="BZ209" s="230">
        <v>274850</v>
      </c>
      <c r="CA209" s="229">
        <v>3.3E-3</v>
      </c>
      <c r="CB209" s="230">
        <v>76713050</v>
      </c>
      <c r="CC209" s="230">
        <v>76648650</v>
      </c>
      <c r="CD209" s="230">
        <v>64400</v>
      </c>
      <c r="CE209" s="229">
        <v>8.0000000000000004E-4</v>
      </c>
      <c r="CF209" s="230">
        <v>5515400</v>
      </c>
      <c r="CG209" s="230">
        <v>5281950</v>
      </c>
      <c r="CH209" s="230">
        <v>233450</v>
      </c>
      <c r="CI209" s="229">
        <v>4.4200000000000003E-2</v>
      </c>
      <c r="CJ209" s="230">
        <v>1416800</v>
      </c>
      <c r="CK209" s="230">
        <v>1439800</v>
      </c>
      <c r="CL209" s="230">
        <v>-23000</v>
      </c>
      <c r="CM209" s="229">
        <v>-1.6E-2</v>
      </c>
      <c r="CN209" s="230">
        <v>55381700</v>
      </c>
      <c r="CO209" s="230">
        <v>57644900</v>
      </c>
      <c r="CP209" s="230">
        <v>-2263200</v>
      </c>
      <c r="CQ209" s="229">
        <v>-3.9300000000000002E-2</v>
      </c>
      <c r="CR209" s="230">
        <v>35054300</v>
      </c>
      <c r="CS209" s="230">
        <v>35323400</v>
      </c>
      <c r="CT209" s="230">
        <v>-269100</v>
      </c>
      <c r="CU209" s="229">
        <v>-7.6E-3</v>
      </c>
      <c r="CV209" s="230">
        <v>174081250</v>
      </c>
      <c r="CW209" s="230">
        <v>176338700</v>
      </c>
      <c r="CX209" s="230">
        <v>-2257450</v>
      </c>
      <c r="CY209" s="229">
        <v>-1.2800000000000001E-2</v>
      </c>
      <c r="CZ209" s="228">
        <v>40.86</v>
      </c>
      <c r="DA209" s="228">
        <v>42.91</v>
      </c>
      <c r="DB209" s="228">
        <v>-2.0499999999999998</v>
      </c>
      <c r="DC209" s="228">
        <v>-2.0499999999999998</v>
      </c>
      <c r="DD209" s="228">
        <v>40.96</v>
      </c>
      <c r="DE209" s="228">
        <v>40.98</v>
      </c>
      <c r="DF209" s="228">
        <v>-0.1</v>
      </c>
      <c r="DG209" s="228">
        <v>-0.02</v>
      </c>
      <c r="DH209" s="228">
        <v>40.46</v>
      </c>
      <c r="DI209" s="228">
        <v>42.74</v>
      </c>
      <c r="DJ209" s="228">
        <v>-2.2799999999999998</v>
      </c>
      <c r="DK209" s="228">
        <v>-2.2799999999999998</v>
      </c>
      <c r="DL209" s="228">
        <v>41.7</v>
      </c>
      <c r="DM209" s="228">
        <v>43.21</v>
      </c>
      <c r="DN209" s="228">
        <v>-1.51</v>
      </c>
      <c r="DO209" s="228">
        <v>-1.51</v>
      </c>
      <c r="DP209" s="228">
        <v>0.63</v>
      </c>
      <c r="DQ209" s="228">
        <v>0.61</v>
      </c>
      <c r="DR209" s="228">
        <v>0.02</v>
      </c>
      <c r="DS209" s="229">
        <v>3.2800000000000003E-2</v>
      </c>
      <c r="DT209" s="228">
        <v>700</v>
      </c>
      <c r="DU209" s="228">
        <v>650</v>
      </c>
      <c r="DV209" s="228">
        <v>0.48</v>
      </c>
      <c r="DW209" s="228">
        <v>0.55000000000000004</v>
      </c>
      <c r="DX209" s="228">
        <v>-7.0000000000000007E-2</v>
      </c>
      <c r="DY209" s="229">
        <v>-0.1273</v>
      </c>
      <c r="DZ209" s="229">
        <v>8.2900000000000001E-2</v>
      </c>
      <c r="EA209" s="230">
        <v>6721750</v>
      </c>
      <c r="EB209" s="229">
        <v>1.8E-3</v>
      </c>
      <c r="EC209" s="229">
        <v>8.2900000000000001E-2</v>
      </c>
      <c r="ED209" s="228">
        <v>1.4</v>
      </c>
      <c r="EE209" s="229">
        <v>2E-3</v>
      </c>
      <c r="EF209" s="230">
        <v>5094812</v>
      </c>
      <c r="EG209" s="230">
        <v>5483207</v>
      </c>
      <c r="EH209" s="229">
        <v>-7.0800000000000002E-2</v>
      </c>
      <c r="EI209" s="229">
        <v>0.43130000000000002</v>
      </c>
      <c r="EJ209" s="231">
        <v>406602.68</v>
      </c>
      <c r="EK209" s="231">
        <v>177839.5</v>
      </c>
      <c r="EL209" s="231">
        <v>92736.92</v>
      </c>
      <c r="EM209" s="231">
        <v>13627</v>
      </c>
      <c r="EN209" s="231">
        <v>677179.1</v>
      </c>
      <c r="EO209" s="231">
        <v>584938.79</v>
      </c>
      <c r="EP209" s="231">
        <v>92240.31</v>
      </c>
      <c r="EQ209" s="229">
        <v>0.15770000000000001</v>
      </c>
      <c r="ER209" s="231">
        <v>406467</v>
      </c>
      <c r="ES209" s="231">
        <v>228225</v>
      </c>
      <c r="ET209" s="231">
        <v>588717</v>
      </c>
      <c r="EU209" s="231">
        <v>255091106</v>
      </c>
      <c r="EV209" s="231">
        <v>1223408</v>
      </c>
      <c r="EW209" s="231">
        <v>1227896</v>
      </c>
      <c r="EX209" s="231">
        <v>-4488</v>
      </c>
      <c r="EY209" s="229">
        <v>-3.7000000000000002E-3</v>
      </c>
      <c r="EZ209" s="229">
        <v>0.68240000000000001</v>
      </c>
      <c r="FA209" s="227" t="s">
        <v>555</v>
      </c>
      <c r="FB209" s="161">
        <f t="shared" si="5"/>
        <v>0</v>
      </c>
    </row>
    <row r="210" spans="1:158" ht="17.25" thickBot="1" x14ac:dyDescent="0.3">
      <c r="A210" s="226">
        <v>46064</v>
      </c>
      <c r="B210" s="227" t="s">
        <v>184</v>
      </c>
      <c r="C210" s="227" t="s">
        <v>305</v>
      </c>
      <c r="D210" s="228">
        <v>375</v>
      </c>
      <c r="E210" s="231">
        <v>1507.2</v>
      </c>
      <c r="F210" s="231">
        <v>1480.4</v>
      </c>
      <c r="G210" s="228">
        <v>26.8</v>
      </c>
      <c r="H210" s="229">
        <v>1.8100000000000002E-2</v>
      </c>
      <c r="I210" s="231">
        <v>1506.5</v>
      </c>
      <c r="J210" s="231">
        <v>1475.6</v>
      </c>
      <c r="K210" s="228">
        <v>30.9</v>
      </c>
      <c r="L210" s="229">
        <v>2.0899999999999998E-2</v>
      </c>
      <c r="M210" s="231">
        <v>1507.2</v>
      </c>
      <c r="N210" s="231">
        <v>1480.4</v>
      </c>
      <c r="O210" s="228">
        <v>26.8</v>
      </c>
      <c r="P210" s="229">
        <v>1.8100000000000002E-2</v>
      </c>
      <c r="Q210" s="231">
        <v>1502.7</v>
      </c>
      <c r="R210" s="231">
        <v>1474.8</v>
      </c>
      <c r="S210" s="228">
        <v>27.9</v>
      </c>
      <c r="T210" s="229">
        <v>1.89E-2</v>
      </c>
      <c r="U210" s="231">
        <v>1499.9</v>
      </c>
      <c r="V210" s="231">
        <v>1471.2</v>
      </c>
      <c r="W210" s="228">
        <v>28.7</v>
      </c>
      <c r="X210" s="229">
        <v>1.95E-2</v>
      </c>
      <c r="Y210" s="228">
        <v>0.7</v>
      </c>
      <c r="Z210" s="228">
        <v>4.8</v>
      </c>
      <c r="AA210" s="228">
        <v>-4.0999999999999996</v>
      </c>
      <c r="AB210" s="229">
        <v>5.0000000000000001E-4</v>
      </c>
      <c r="AC210" s="228">
        <v>0.7</v>
      </c>
      <c r="AD210" s="228">
        <v>4.8</v>
      </c>
      <c r="AE210" s="228">
        <v>-4.0999999999999996</v>
      </c>
      <c r="AF210" s="229">
        <v>5.0000000000000001E-4</v>
      </c>
      <c r="AG210" s="228">
        <v>-3.8</v>
      </c>
      <c r="AH210" s="228">
        <v>-0.8</v>
      </c>
      <c r="AI210" s="228">
        <v>-3</v>
      </c>
      <c r="AJ210" s="229">
        <v>-2.5000000000000001E-3</v>
      </c>
      <c r="AK210" s="228">
        <v>-6.6</v>
      </c>
      <c r="AL210" s="228">
        <v>-4.4000000000000004</v>
      </c>
      <c r="AM210" s="228">
        <v>-2.2000000000000002</v>
      </c>
      <c r="AN210" s="229">
        <v>-4.4000000000000003E-3</v>
      </c>
      <c r="AO210" s="231">
        <v>1494.49</v>
      </c>
      <c r="AP210" s="231">
        <v>1487.14</v>
      </c>
      <c r="AQ210" s="228">
        <v>0</v>
      </c>
      <c r="AR210" s="230">
        <v>1750500</v>
      </c>
      <c r="AS210" s="230">
        <v>3106500</v>
      </c>
      <c r="AT210" s="230">
        <v>-1356000</v>
      </c>
      <c r="AU210" s="229">
        <v>-0.4365</v>
      </c>
      <c r="AV210" s="230">
        <v>1336500</v>
      </c>
      <c r="AW210" s="230">
        <v>2701125</v>
      </c>
      <c r="AX210" s="230">
        <v>-1364625</v>
      </c>
      <c r="AY210" s="229">
        <v>-0.50519999999999998</v>
      </c>
      <c r="AZ210" s="230">
        <v>404250</v>
      </c>
      <c r="BA210" s="230">
        <v>376875</v>
      </c>
      <c r="BB210" s="230">
        <v>27375</v>
      </c>
      <c r="BC210" s="229">
        <v>7.2599999999999998E-2</v>
      </c>
      <c r="BD210" s="230">
        <v>9750</v>
      </c>
      <c r="BE210" s="230">
        <v>28500</v>
      </c>
      <c r="BF210" s="230">
        <v>-18750</v>
      </c>
      <c r="BG210" s="229">
        <v>-0.65790000000000004</v>
      </c>
      <c r="BH210" s="230">
        <v>5631375</v>
      </c>
      <c r="BI210" s="230">
        <v>9430125</v>
      </c>
      <c r="BJ210" s="230">
        <v>-3798750</v>
      </c>
      <c r="BK210" s="229">
        <v>-0.40279999999999999</v>
      </c>
      <c r="BL210" s="230">
        <v>3102750</v>
      </c>
      <c r="BM210" s="230">
        <v>6025500</v>
      </c>
      <c r="BN210" s="230">
        <v>-2922750</v>
      </c>
      <c r="BO210" s="229">
        <v>-0.48509999999999998</v>
      </c>
      <c r="BP210" s="230">
        <v>10484625</v>
      </c>
      <c r="BQ210" s="230">
        <v>18562125</v>
      </c>
      <c r="BR210" s="230">
        <v>-8077500</v>
      </c>
      <c r="BS210" s="229">
        <v>-0.43519999999999998</v>
      </c>
      <c r="BT210" s="230">
        <v>659413</v>
      </c>
      <c r="BU210" s="230">
        <v>1447710</v>
      </c>
      <c r="BV210" s="230">
        <v>-788297</v>
      </c>
      <c r="BW210" s="229">
        <v>-0.54449999999999998</v>
      </c>
      <c r="BX210" s="230">
        <v>11803875</v>
      </c>
      <c r="BY210" s="230">
        <v>11658000</v>
      </c>
      <c r="BZ210" s="230">
        <v>145875</v>
      </c>
      <c r="CA210" s="229">
        <v>1.2500000000000001E-2</v>
      </c>
      <c r="CB210" s="230">
        <v>10782750</v>
      </c>
      <c r="CC210" s="230">
        <v>10914750</v>
      </c>
      <c r="CD210" s="230">
        <v>-132000</v>
      </c>
      <c r="CE210" s="229">
        <v>-1.21E-2</v>
      </c>
      <c r="CF210" s="230">
        <v>958500</v>
      </c>
      <c r="CG210" s="230">
        <v>680250</v>
      </c>
      <c r="CH210" s="230">
        <v>278250</v>
      </c>
      <c r="CI210" s="229">
        <v>0.40899999999999997</v>
      </c>
      <c r="CJ210" s="230">
        <v>62625</v>
      </c>
      <c r="CK210" s="230">
        <v>63000</v>
      </c>
      <c r="CL210" s="228">
        <v>-375</v>
      </c>
      <c r="CM210" s="229">
        <v>-6.0000000000000001E-3</v>
      </c>
      <c r="CN210" s="230">
        <v>3464250</v>
      </c>
      <c r="CO210" s="230">
        <v>3486000</v>
      </c>
      <c r="CP210" s="230">
        <v>-21750</v>
      </c>
      <c r="CQ210" s="229">
        <v>-6.1999999999999998E-3</v>
      </c>
      <c r="CR210" s="230">
        <v>3599625</v>
      </c>
      <c r="CS210" s="230">
        <v>3381750</v>
      </c>
      <c r="CT210" s="230">
        <v>217875</v>
      </c>
      <c r="CU210" s="229">
        <v>6.4399999999999999E-2</v>
      </c>
      <c r="CV210" s="230">
        <v>18867750</v>
      </c>
      <c r="CW210" s="230">
        <v>18525750</v>
      </c>
      <c r="CX210" s="230">
        <v>342000</v>
      </c>
      <c r="CY210" s="229">
        <v>1.8499999999999999E-2</v>
      </c>
      <c r="CZ210" s="228">
        <v>30.07</v>
      </c>
      <c r="DA210" s="228">
        <v>31.27</v>
      </c>
      <c r="DB210" s="228">
        <v>-1.2</v>
      </c>
      <c r="DC210" s="228">
        <v>-1.2</v>
      </c>
      <c r="DD210" s="228">
        <v>37.25</v>
      </c>
      <c r="DE210" s="228">
        <v>37.24</v>
      </c>
      <c r="DF210" s="228">
        <v>-7.18</v>
      </c>
      <c r="DG210" s="228">
        <v>0.01</v>
      </c>
      <c r="DH210" s="228">
        <v>29.1</v>
      </c>
      <c r="DI210" s="228">
        <v>30.68</v>
      </c>
      <c r="DJ210" s="228">
        <v>-1.58</v>
      </c>
      <c r="DK210" s="228">
        <v>-1.58</v>
      </c>
      <c r="DL210" s="228">
        <v>31.84</v>
      </c>
      <c r="DM210" s="228">
        <v>32.200000000000003</v>
      </c>
      <c r="DN210" s="228">
        <v>-0.36</v>
      </c>
      <c r="DO210" s="228">
        <v>-0.36</v>
      </c>
      <c r="DP210" s="228">
        <v>1.04</v>
      </c>
      <c r="DQ210" s="228">
        <v>0.97</v>
      </c>
      <c r="DR210" s="228">
        <v>7.0000000000000007E-2</v>
      </c>
      <c r="DS210" s="229">
        <v>7.22E-2</v>
      </c>
      <c r="DT210" s="231">
        <v>1500</v>
      </c>
      <c r="DU210" s="231">
        <v>1300</v>
      </c>
      <c r="DV210" s="228">
        <v>0.55000000000000004</v>
      </c>
      <c r="DW210" s="228">
        <v>0.64</v>
      </c>
      <c r="DX210" s="228">
        <v>-0.09</v>
      </c>
      <c r="DY210" s="229">
        <v>-0.1406</v>
      </c>
      <c r="DZ210" s="229">
        <v>8.6499999999999994E-2</v>
      </c>
      <c r="EA210" s="230">
        <v>743250</v>
      </c>
      <c r="EB210" s="229">
        <v>-3.0000000000000001E-3</v>
      </c>
      <c r="EC210" s="229">
        <v>8.6499999999999994E-2</v>
      </c>
      <c r="ED210" s="228">
        <v>-7.35</v>
      </c>
      <c r="EE210" s="229">
        <v>-4.8999999999999998E-3</v>
      </c>
      <c r="EF210" s="230">
        <v>272215</v>
      </c>
      <c r="EG210" s="230">
        <v>778841</v>
      </c>
      <c r="EH210" s="229">
        <v>-0.65049999999999997</v>
      </c>
      <c r="EI210" s="229">
        <v>0.4128</v>
      </c>
      <c r="EJ210" s="231">
        <v>87507.51</v>
      </c>
      <c r="EK210" s="231">
        <v>44977.63</v>
      </c>
      <c r="EL210" s="231">
        <v>26130.77</v>
      </c>
      <c r="EM210" s="231">
        <v>5798</v>
      </c>
      <c r="EN210" s="231">
        <v>158615.91</v>
      </c>
      <c r="EO210" s="231">
        <v>281631.43</v>
      </c>
      <c r="EP210" s="231">
        <v>-123015.52</v>
      </c>
      <c r="EQ210" s="229">
        <v>-0.43680000000000002</v>
      </c>
      <c r="ER210" s="231">
        <v>52247</v>
      </c>
      <c r="ES210" s="231">
        <v>48800</v>
      </c>
      <c r="ET210" s="231">
        <v>177860</v>
      </c>
      <c r="EU210" s="231">
        <v>34594689</v>
      </c>
      <c r="EV210" s="231">
        <v>278907</v>
      </c>
      <c r="EW210" s="231">
        <v>270590</v>
      </c>
      <c r="EX210" s="231">
        <v>8317</v>
      </c>
      <c r="EY210" s="229">
        <v>3.0700000000000002E-2</v>
      </c>
      <c r="EZ210" s="229">
        <v>0.5454</v>
      </c>
      <c r="FA210" s="227" t="s">
        <v>555</v>
      </c>
      <c r="FB210" s="161">
        <f t="shared" si="5"/>
        <v>0</v>
      </c>
    </row>
    <row r="211" spans="1:158" ht="17.25" thickBot="1" x14ac:dyDescent="0.3">
      <c r="A211" s="226">
        <v>46064</v>
      </c>
      <c r="B211" s="227" t="s">
        <v>184</v>
      </c>
      <c r="C211" s="227" t="s">
        <v>691</v>
      </c>
      <c r="D211" s="228">
        <v>175</v>
      </c>
      <c r="E211" s="231">
        <v>3183.3</v>
      </c>
      <c r="F211" s="231">
        <v>3169.3</v>
      </c>
      <c r="G211" s="228">
        <v>14</v>
      </c>
      <c r="H211" s="229">
        <v>4.4000000000000003E-3</v>
      </c>
      <c r="I211" s="231">
        <v>3177.6</v>
      </c>
      <c r="J211" s="231">
        <v>3163.8</v>
      </c>
      <c r="K211" s="228">
        <v>13.8</v>
      </c>
      <c r="L211" s="229">
        <v>4.4000000000000003E-3</v>
      </c>
      <c r="M211" s="231">
        <v>3183.3</v>
      </c>
      <c r="N211" s="231">
        <v>3169.3</v>
      </c>
      <c r="O211" s="228">
        <v>14</v>
      </c>
      <c r="P211" s="229">
        <v>4.4000000000000003E-3</v>
      </c>
      <c r="Q211" s="231">
        <v>3190.4</v>
      </c>
      <c r="R211" s="231">
        <v>3176.4</v>
      </c>
      <c r="S211" s="228">
        <v>14</v>
      </c>
      <c r="T211" s="229">
        <v>4.4000000000000003E-3</v>
      </c>
      <c r="U211" s="231">
        <v>3199.4</v>
      </c>
      <c r="V211" s="231">
        <v>3189.7</v>
      </c>
      <c r="W211" s="228">
        <v>9.6999999999999993</v>
      </c>
      <c r="X211" s="229">
        <v>3.0000000000000001E-3</v>
      </c>
      <c r="Y211" s="228">
        <v>5.7</v>
      </c>
      <c r="Z211" s="228">
        <v>5.5</v>
      </c>
      <c r="AA211" s="228">
        <v>0.2</v>
      </c>
      <c r="AB211" s="229">
        <v>1.8E-3</v>
      </c>
      <c r="AC211" s="228">
        <v>5.7</v>
      </c>
      <c r="AD211" s="228">
        <v>5.5</v>
      </c>
      <c r="AE211" s="228">
        <v>0.2</v>
      </c>
      <c r="AF211" s="229">
        <v>1.8E-3</v>
      </c>
      <c r="AG211" s="228">
        <v>12.8</v>
      </c>
      <c r="AH211" s="228">
        <v>12.6</v>
      </c>
      <c r="AI211" s="228">
        <v>0.2</v>
      </c>
      <c r="AJ211" s="229">
        <v>4.0000000000000001E-3</v>
      </c>
      <c r="AK211" s="228">
        <v>21.8</v>
      </c>
      <c r="AL211" s="228">
        <v>25.9</v>
      </c>
      <c r="AM211" s="228">
        <v>-4.0999999999999996</v>
      </c>
      <c r="AN211" s="229">
        <v>6.8999999999999999E-3</v>
      </c>
      <c r="AO211" s="231">
        <v>3178.83</v>
      </c>
      <c r="AP211" s="231">
        <v>3183.57</v>
      </c>
      <c r="AQ211" s="228">
        <v>0</v>
      </c>
      <c r="AR211" s="230">
        <v>1238650</v>
      </c>
      <c r="AS211" s="230">
        <v>1113350</v>
      </c>
      <c r="AT211" s="230">
        <v>125300</v>
      </c>
      <c r="AU211" s="229">
        <v>0.1125</v>
      </c>
      <c r="AV211" s="230">
        <v>974925</v>
      </c>
      <c r="AW211" s="230">
        <v>941500</v>
      </c>
      <c r="AX211" s="230">
        <v>33425</v>
      </c>
      <c r="AY211" s="229">
        <v>3.5499999999999997E-2</v>
      </c>
      <c r="AZ211" s="230">
        <v>260400</v>
      </c>
      <c r="BA211" s="230">
        <v>166775</v>
      </c>
      <c r="BB211" s="230">
        <v>93625</v>
      </c>
      <c r="BC211" s="229">
        <v>0.56140000000000001</v>
      </c>
      <c r="BD211" s="230">
        <v>3325</v>
      </c>
      <c r="BE211" s="230">
        <v>5075</v>
      </c>
      <c r="BF211" s="230">
        <v>-1750</v>
      </c>
      <c r="BG211" s="229">
        <v>-0.3448</v>
      </c>
      <c r="BH211" s="230">
        <v>1896125</v>
      </c>
      <c r="BI211" s="230">
        <v>2186100</v>
      </c>
      <c r="BJ211" s="230">
        <v>-289975</v>
      </c>
      <c r="BK211" s="229">
        <v>-0.1326</v>
      </c>
      <c r="BL211" s="230">
        <v>653975</v>
      </c>
      <c r="BM211" s="230">
        <v>685300</v>
      </c>
      <c r="BN211" s="230">
        <v>-31325</v>
      </c>
      <c r="BO211" s="229">
        <v>-4.5699999999999998E-2</v>
      </c>
      <c r="BP211" s="230">
        <v>3788750</v>
      </c>
      <c r="BQ211" s="230">
        <v>3984750</v>
      </c>
      <c r="BR211" s="230">
        <v>-196000</v>
      </c>
      <c r="BS211" s="229">
        <v>-4.9200000000000001E-2</v>
      </c>
      <c r="BT211" s="230">
        <v>945031</v>
      </c>
      <c r="BU211" s="230">
        <v>1075296</v>
      </c>
      <c r="BV211" s="230">
        <v>-130265</v>
      </c>
      <c r="BW211" s="229">
        <v>-0.1211</v>
      </c>
      <c r="BX211" s="230">
        <v>2592625</v>
      </c>
      <c r="BY211" s="230">
        <v>2324350</v>
      </c>
      <c r="BZ211" s="230">
        <v>268275</v>
      </c>
      <c r="CA211" s="229">
        <v>0.1154</v>
      </c>
      <c r="CB211" s="230">
        <v>2195900</v>
      </c>
      <c r="CC211" s="230">
        <v>2123800</v>
      </c>
      <c r="CD211" s="230">
        <v>72100</v>
      </c>
      <c r="CE211" s="229">
        <v>3.39E-2</v>
      </c>
      <c r="CF211" s="230">
        <v>387975</v>
      </c>
      <c r="CG211" s="230">
        <v>191275</v>
      </c>
      <c r="CH211" s="230">
        <v>196700</v>
      </c>
      <c r="CI211" s="229">
        <v>1.0284</v>
      </c>
      <c r="CJ211" s="230">
        <v>8750</v>
      </c>
      <c r="CK211" s="230">
        <v>9275</v>
      </c>
      <c r="CL211" s="228">
        <v>-525</v>
      </c>
      <c r="CM211" s="229">
        <v>-5.6599999999999998E-2</v>
      </c>
      <c r="CN211" s="230">
        <v>1404375</v>
      </c>
      <c r="CO211" s="230">
        <v>1478050</v>
      </c>
      <c r="CP211" s="230">
        <v>-73675</v>
      </c>
      <c r="CQ211" s="229">
        <v>-4.9799999999999997E-2</v>
      </c>
      <c r="CR211" s="230">
        <v>946050</v>
      </c>
      <c r="CS211" s="230">
        <v>960050</v>
      </c>
      <c r="CT211" s="230">
        <v>-14000</v>
      </c>
      <c r="CU211" s="229">
        <v>-1.46E-2</v>
      </c>
      <c r="CV211" s="230">
        <v>4943050</v>
      </c>
      <c r="CW211" s="230">
        <v>4762450</v>
      </c>
      <c r="CX211" s="230">
        <v>180600</v>
      </c>
      <c r="CY211" s="229">
        <v>3.7900000000000003E-2</v>
      </c>
      <c r="CZ211" s="228">
        <v>42.79</v>
      </c>
      <c r="DA211" s="228">
        <v>42.39</v>
      </c>
      <c r="DB211" s="228">
        <v>0.4</v>
      </c>
      <c r="DC211" s="228">
        <v>0.4</v>
      </c>
      <c r="DD211" s="228">
        <v>52.04</v>
      </c>
      <c r="DE211" s="228">
        <v>52.16</v>
      </c>
      <c r="DF211" s="228">
        <v>-9.25</v>
      </c>
      <c r="DG211" s="228">
        <v>-0.12</v>
      </c>
      <c r="DH211" s="228">
        <v>42.06</v>
      </c>
      <c r="DI211" s="228">
        <v>41.51</v>
      </c>
      <c r="DJ211" s="228">
        <v>0.55000000000000004</v>
      </c>
      <c r="DK211" s="228">
        <v>0.55000000000000004</v>
      </c>
      <c r="DL211" s="228">
        <v>44.9</v>
      </c>
      <c r="DM211" s="228">
        <v>45.21</v>
      </c>
      <c r="DN211" s="228">
        <v>-0.31</v>
      </c>
      <c r="DO211" s="228">
        <v>-0.31</v>
      </c>
      <c r="DP211" s="228">
        <v>0.67</v>
      </c>
      <c r="DQ211" s="228">
        <v>0.65</v>
      </c>
      <c r="DR211" s="228">
        <v>0.02</v>
      </c>
      <c r="DS211" s="229">
        <v>3.0800000000000001E-2</v>
      </c>
      <c r="DT211" s="231">
        <v>3200</v>
      </c>
      <c r="DU211" s="231">
        <v>3200</v>
      </c>
      <c r="DV211" s="228">
        <v>0.34</v>
      </c>
      <c r="DW211" s="228">
        <v>0.31</v>
      </c>
      <c r="DX211" s="228">
        <v>0.03</v>
      </c>
      <c r="DY211" s="229">
        <v>9.6799999999999997E-2</v>
      </c>
      <c r="DZ211" s="229">
        <v>0.153</v>
      </c>
      <c r="EA211" s="230">
        <v>200550</v>
      </c>
      <c r="EB211" s="229">
        <v>2.2000000000000001E-3</v>
      </c>
      <c r="EC211" s="229">
        <v>0.153</v>
      </c>
      <c r="ED211" s="228">
        <v>4.74</v>
      </c>
      <c r="EE211" s="229">
        <v>1.5E-3</v>
      </c>
      <c r="EF211" s="230">
        <v>235928</v>
      </c>
      <c r="EG211" s="230">
        <v>333144</v>
      </c>
      <c r="EH211" s="229">
        <v>-0.2918</v>
      </c>
      <c r="EI211" s="229">
        <v>0.24970000000000001</v>
      </c>
      <c r="EJ211" s="231">
        <v>63500.38</v>
      </c>
      <c r="EK211" s="231">
        <v>20020.650000000001</v>
      </c>
      <c r="EL211" s="231">
        <v>39387.760000000002</v>
      </c>
      <c r="EM211" s="231">
        <v>4306</v>
      </c>
      <c r="EN211" s="231">
        <v>122908.79</v>
      </c>
      <c r="EO211" s="231">
        <v>128624.17</v>
      </c>
      <c r="EP211" s="231">
        <v>-5715.38</v>
      </c>
      <c r="EQ211" s="229">
        <v>-4.4400000000000002E-2</v>
      </c>
      <c r="ER211" s="231">
        <v>43968</v>
      </c>
      <c r="ES211" s="231">
        <v>26794</v>
      </c>
      <c r="ET211" s="231">
        <v>82560</v>
      </c>
      <c r="EU211" s="231">
        <v>15436318</v>
      </c>
      <c r="EV211" s="231">
        <v>153322</v>
      </c>
      <c r="EW211" s="231">
        <v>147156</v>
      </c>
      <c r="EX211" s="231">
        <v>6166</v>
      </c>
      <c r="EY211" s="229">
        <v>4.19E-2</v>
      </c>
      <c r="EZ211" s="229">
        <v>0.32019999999999998</v>
      </c>
      <c r="FA211" s="227" t="s">
        <v>555</v>
      </c>
      <c r="FB211" s="161">
        <f t="shared" si="5"/>
        <v>0</v>
      </c>
    </row>
    <row r="212" spans="1:158" ht="17.25" thickBot="1" x14ac:dyDescent="0.3">
      <c r="A212" s="226">
        <v>46064</v>
      </c>
      <c r="B212" s="227" t="s">
        <v>221</v>
      </c>
      <c r="C212" s="227" t="s">
        <v>306</v>
      </c>
      <c r="D212" s="228">
        <v>3000</v>
      </c>
      <c r="E212" s="228">
        <v>229.9</v>
      </c>
      <c r="F212" s="228">
        <v>231.5</v>
      </c>
      <c r="G212" s="228">
        <v>-1.6</v>
      </c>
      <c r="H212" s="229">
        <v>-6.8999999999999999E-3</v>
      </c>
      <c r="I212" s="228">
        <v>229.81</v>
      </c>
      <c r="J212" s="228">
        <v>231.47</v>
      </c>
      <c r="K212" s="228">
        <v>-1.66</v>
      </c>
      <c r="L212" s="229">
        <v>-7.1999999999999998E-3</v>
      </c>
      <c r="M212" s="228">
        <v>229.9</v>
      </c>
      <c r="N212" s="228">
        <v>231.5</v>
      </c>
      <c r="O212" s="228">
        <v>-1.6</v>
      </c>
      <c r="P212" s="229">
        <v>-6.8999999999999999E-3</v>
      </c>
      <c r="Q212" s="228">
        <v>229.9</v>
      </c>
      <c r="R212" s="228">
        <v>231.47</v>
      </c>
      <c r="S212" s="228">
        <v>-1.57</v>
      </c>
      <c r="T212" s="229">
        <v>-6.7999999999999996E-3</v>
      </c>
      <c r="U212" s="228">
        <v>230.06</v>
      </c>
      <c r="V212" s="228">
        <v>231.66</v>
      </c>
      <c r="W212" s="228">
        <v>-1.6</v>
      </c>
      <c r="X212" s="229">
        <v>-6.8999999999999999E-3</v>
      </c>
      <c r="Y212" s="228">
        <v>0.09</v>
      </c>
      <c r="Z212" s="228">
        <v>0.03</v>
      </c>
      <c r="AA212" s="228">
        <v>0.06</v>
      </c>
      <c r="AB212" s="229">
        <v>4.0000000000000002E-4</v>
      </c>
      <c r="AC212" s="228">
        <v>0.09</v>
      </c>
      <c r="AD212" s="228">
        <v>0.03</v>
      </c>
      <c r="AE212" s="228">
        <v>0.06</v>
      </c>
      <c r="AF212" s="229">
        <v>4.0000000000000002E-4</v>
      </c>
      <c r="AG212" s="228">
        <v>0.09</v>
      </c>
      <c r="AH212" s="228">
        <v>0</v>
      </c>
      <c r="AI212" s="228">
        <v>0.09</v>
      </c>
      <c r="AJ212" s="229">
        <v>4.0000000000000002E-4</v>
      </c>
      <c r="AK212" s="228">
        <v>0.25</v>
      </c>
      <c r="AL212" s="228">
        <v>0.19</v>
      </c>
      <c r="AM212" s="228">
        <v>0.06</v>
      </c>
      <c r="AN212" s="229">
        <v>1.1000000000000001E-3</v>
      </c>
      <c r="AO212" s="228">
        <v>230.84</v>
      </c>
      <c r="AP212" s="228">
        <v>230.67</v>
      </c>
      <c r="AQ212" s="228">
        <v>0</v>
      </c>
      <c r="AR212" s="230">
        <v>19248000</v>
      </c>
      <c r="AS212" s="230">
        <v>32928000</v>
      </c>
      <c r="AT212" s="230">
        <v>-13680000</v>
      </c>
      <c r="AU212" s="229">
        <v>-0.41549999999999998</v>
      </c>
      <c r="AV212" s="230">
        <v>14253000</v>
      </c>
      <c r="AW212" s="230">
        <v>23691000</v>
      </c>
      <c r="AX212" s="230">
        <v>-9438000</v>
      </c>
      <c r="AY212" s="229">
        <v>-0.39839999999999998</v>
      </c>
      <c r="AZ212" s="230">
        <v>4536000</v>
      </c>
      <c r="BA212" s="230">
        <v>8508000</v>
      </c>
      <c r="BB212" s="230">
        <v>-3972000</v>
      </c>
      <c r="BC212" s="229">
        <v>-0.46689999999999998</v>
      </c>
      <c r="BD212" s="230">
        <v>459000</v>
      </c>
      <c r="BE212" s="230">
        <v>729000</v>
      </c>
      <c r="BF212" s="230">
        <v>-270000</v>
      </c>
      <c r="BG212" s="229">
        <v>-0.37040000000000001</v>
      </c>
      <c r="BH212" s="230">
        <v>47862000</v>
      </c>
      <c r="BI212" s="230">
        <v>74427000</v>
      </c>
      <c r="BJ212" s="230">
        <v>-26565000</v>
      </c>
      <c r="BK212" s="229">
        <v>-0.3569</v>
      </c>
      <c r="BL212" s="230">
        <v>28902000</v>
      </c>
      <c r="BM212" s="230">
        <v>35043000</v>
      </c>
      <c r="BN212" s="230">
        <v>-6141000</v>
      </c>
      <c r="BO212" s="229">
        <v>-0.17519999999999999</v>
      </c>
      <c r="BP212" s="230">
        <v>96012000</v>
      </c>
      <c r="BQ212" s="230">
        <v>142398000</v>
      </c>
      <c r="BR212" s="230">
        <v>-46386000</v>
      </c>
      <c r="BS212" s="229">
        <v>-0.32569999999999999</v>
      </c>
      <c r="BT212" s="230">
        <v>8239093</v>
      </c>
      <c r="BU212" s="230">
        <v>13237295</v>
      </c>
      <c r="BV212" s="230">
        <v>-4998202</v>
      </c>
      <c r="BW212" s="229">
        <v>-0.37759999999999999</v>
      </c>
      <c r="BX212" s="230">
        <v>162900000</v>
      </c>
      <c r="BY212" s="230">
        <v>161595000</v>
      </c>
      <c r="BZ212" s="230">
        <v>1305000</v>
      </c>
      <c r="CA212" s="229">
        <v>8.0999999999999996E-3</v>
      </c>
      <c r="CB212" s="230">
        <v>125964000</v>
      </c>
      <c r="CC212" s="230">
        <v>127125000</v>
      </c>
      <c r="CD212" s="230">
        <v>-1161000</v>
      </c>
      <c r="CE212" s="229">
        <v>-9.1000000000000004E-3</v>
      </c>
      <c r="CF212" s="230">
        <v>33852000</v>
      </c>
      <c r="CG212" s="230">
        <v>31521000</v>
      </c>
      <c r="CH212" s="230">
        <v>2331000</v>
      </c>
      <c r="CI212" s="229">
        <v>7.3999999999999996E-2</v>
      </c>
      <c r="CJ212" s="230">
        <v>3084000</v>
      </c>
      <c r="CK212" s="230">
        <v>2949000</v>
      </c>
      <c r="CL212" s="230">
        <v>135000</v>
      </c>
      <c r="CM212" s="229">
        <v>4.58E-2</v>
      </c>
      <c r="CN212" s="230">
        <v>98784000</v>
      </c>
      <c r="CO212" s="230">
        <v>97740000</v>
      </c>
      <c r="CP212" s="230">
        <v>1044000</v>
      </c>
      <c r="CQ212" s="229">
        <v>1.0699999999999999E-2</v>
      </c>
      <c r="CR212" s="230">
        <v>54663000</v>
      </c>
      <c r="CS212" s="230">
        <v>53433000</v>
      </c>
      <c r="CT212" s="230">
        <v>1230000</v>
      </c>
      <c r="CU212" s="229">
        <v>2.3E-2</v>
      </c>
      <c r="CV212" s="230">
        <v>316347000</v>
      </c>
      <c r="CW212" s="230">
        <v>312768000</v>
      </c>
      <c r="CX212" s="230">
        <v>3579000</v>
      </c>
      <c r="CY212" s="229">
        <v>1.14E-2</v>
      </c>
      <c r="CZ212" s="228">
        <v>29.51</v>
      </c>
      <c r="DA212" s="228">
        <v>28.34</v>
      </c>
      <c r="DB212" s="228">
        <v>1.17</v>
      </c>
      <c r="DC212" s="228">
        <v>1.17</v>
      </c>
      <c r="DD212" s="228">
        <v>30.88</v>
      </c>
      <c r="DE212" s="228">
        <v>30.95</v>
      </c>
      <c r="DF212" s="228">
        <v>-1.37</v>
      </c>
      <c r="DG212" s="228">
        <v>-7.0000000000000007E-2</v>
      </c>
      <c r="DH212" s="228">
        <v>29.88</v>
      </c>
      <c r="DI212" s="228">
        <v>28.6</v>
      </c>
      <c r="DJ212" s="228">
        <v>1.28</v>
      </c>
      <c r="DK212" s="228">
        <v>1.28</v>
      </c>
      <c r="DL212" s="228">
        <v>28.9</v>
      </c>
      <c r="DM212" s="228">
        <v>27.8</v>
      </c>
      <c r="DN212" s="228">
        <v>1.1000000000000001</v>
      </c>
      <c r="DO212" s="228">
        <v>1.1000000000000001</v>
      </c>
      <c r="DP212" s="228">
        <v>0.55000000000000004</v>
      </c>
      <c r="DQ212" s="228">
        <v>0.55000000000000004</v>
      </c>
      <c r="DR212" s="228">
        <v>0</v>
      </c>
      <c r="DS212" s="229">
        <v>0</v>
      </c>
      <c r="DT212" s="228">
        <v>250</v>
      </c>
      <c r="DU212" s="228">
        <v>230</v>
      </c>
      <c r="DV212" s="228">
        <v>0.6</v>
      </c>
      <c r="DW212" s="228">
        <v>0.47</v>
      </c>
      <c r="DX212" s="228">
        <v>0.13</v>
      </c>
      <c r="DY212" s="229">
        <v>0.27660000000000001</v>
      </c>
      <c r="DZ212" s="229">
        <v>0.22670000000000001</v>
      </c>
      <c r="EA212" s="230">
        <v>34470000</v>
      </c>
      <c r="EB212" s="229">
        <v>0</v>
      </c>
      <c r="EC212" s="229">
        <v>0.22670000000000001</v>
      </c>
      <c r="ED212" s="228">
        <v>-0.17</v>
      </c>
      <c r="EE212" s="229">
        <v>-6.9999999999999999E-4</v>
      </c>
      <c r="EF212" s="230">
        <v>4261713</v>
      </c>
      <c r="EG212" s="230">
        <v>5852128</v>
      </c>
      <c r="EH212" s="229">
        <v>-0.27179999999999999</v>
      </c>
      <c r="EI212" s="229">
        <v>0.51729999999999998</v>
      </c>
      <c r="EJ212" s="231">
        <v>115993.59</v>
      </c>
      <c r="EK212" s="231">
        <v>66319.69</v>
      </c>
      <c r="EL212" s="231">
        <v>44424</v>
      </c>
      <c r="EM212" s="231">
        <v>12483</v>
      </c>
      <c r="EN212" s="231">
        <v>226737.28</v>
      </c>
      <c r="EO212" s="231">
        <v>336781.73</v>
      </c>
      <c r="EP212" s="231">
        <v>-110044.45</v>
      </c>
      <c r="EQ212" s="229">
        <v>-0.32679999999999998</v>
      </c>
      <c r="ER212" s="231">
        <v>245425</v>
      </c>
      <c r="ES212" s="231">
        <v>125621</v>
      </c>
      <c r="ET212" s="231">
        <v>374512</v>
      </c>
      <c r="EU212" s="231">
        <v>358423198</v>
      </c>
      <c r="EV212" s="231">
        <v>745558</v>
      </c>
      <c r="EW212" s="231">
        <v>740135</v>
      </c>
      <c r="EX212" s="231">
        <v>5423</v>
      </c>
      <c r="EY212" s="229">
        <v>7.3000000000000001E-3</v>
      </c>
      <c r="EZ212" s="229">
        <v>0.88260000000000005</v>
      </c>
      <c r="FA212" s="227" t="s">
        <v>567</v>
      </c>
      <c r="FB212" s="161">
        <f t="shared" si="5"/>
        <v>0</v>
      </c>
    </row>
    <row r="213" spans="1:158" ht="17.25" thickBot="1" x14ac:dyDescent="0.3">
      <c r="A213" s="226">
        <v>46064</v>
      </c>
      <c r="B213" s="227" t="s">
        <v>172</v>
      </c>
      <c r="C213" s="227" t="s">
        <v>590</v>
      </c>
      <c r="D213" s="228">
        <v>31100</v>
      </c>
      <c r="E213" s="228">
        <v>21.34</v>
      </c>
      <c r="F213" s="228">
        <v>21.42</v>
      </c>
      <c r="G213" s="228">
        <v>-0.08</v>
      </c>
      <c r="H213" s="229">
        <v>-3.7000000000000002E-3</v>
      </c>
      <c r="I213" s="228">
        <v>21.32</v>
      </c>
      <c r="J213" s="228">
        <v>21.4</v>
      </c>
      <c r="K213" s="228">
        <v>-0.08</v>
      </c>
      <c r="L213" s="229">
        <v>-3.7000000000000002E-3</v>
      </c>
      <c r="M213" s="228">
        <v>21.34</v>
      </c>
      <c r="N213" s="228">
        <v>21.42</v>
      </c>
      <c r="O213" s="228">
        <v>-0.08</v>
      </c>
      <c r="P213" s="229">
        <v>-3.7000000000000002E-3</v>
      </c>
      <c r="Q213" s="228">
        <v>21.49</v>
      </c>
      <c r="R213" s="228">
        <v>21.56</v>
      </c>
      <c r="S213" s="228">
        <v>-7.0000000000000007E-2</v>
      </c>
      <c r="T213" s="229">
        <v>-3.2000000000000002E-3</v>
      </c>
      <c r="U213" s="228">
        <v>21.64</v>
      </c>
      <c r="V213" s="228">
        <v>21.7</v>
      </c>
      <c r="W213" s="228">
        <v>-0.06</v>
      </c>
      <c r="X213" s="229">
        <v>-2.8E-3</v>
      </c>
      <c r="Y213" s="228">
        <v>0.02</v>
      </c>
      <c r="Z213" s="228">
        <v>0.02</v>
      </c>
      <c r="AA213" s="228">
        <v>0</v>
      </c>
      <c r="AB213" s="229">
        <v>8.9999999999999998E-4</v>
      </c>
      <c r="AC213" s="228">
        <v>0.02</v>
      </c>
      <c r="AD213" s="228">
        <v>0.02</v>
      </c>
      <c r="AE213" s="228">
        <v>0</v>
      </c>
      <c r="AF213" s="229">
        <v>8.9999999999999998E-4</v>
      </c>
      <c r="AG213" s="228">
        <v>0.17</v>
      </c>
      <c r="AH213" s="228">
        <v>0.16</v>
      </c>
      <c r="AI213" s="228">
        <v>0.01</v>
      </c>
      <c r="AJ213" s="229">
        <v>8.0000000000000002E-3</v>
      </c>
      <c r="AK213" s="228">
        <v>0.32</v>
      </c>
      <c r="AL213" s="228">
        <v>0.3</v>
      </c>
      <c r="AM213" s="228">
        <v>0.02</v>
      </c>
      <c r="AN213" s="229">
        <v>1.4999999999999999E-2</v>
      </c>
      <c r="AO213" s="228">
        <v>21.34</v>
      </c>
      <c r="AP213" s="228">
        <v>21.48</v>
      </c>
      <c r="AQ213" s="228">
        <v>0</v>
      </c>
      <c r="AR213" s="230">
        <v>84934100</v>
      </c>
      <c r="AS213" s="230">
        <v>113794900</v>
      </c>
      <c r="AT213" s="230">
        <v>-28860800</v>
      </c>
      <c r="AU213" s="229">
        <v>-0.25359999999999999</v>
      </c>
      <c r="AV213" s="230">
        <v>69788400</v>
      </c>
      <c r="AW213" s="230">
        <v>83223600</v>
      </c>
      <c r="AX213" s="230">
        <v>-13435200</v>
      </c>
      <c r="AY213" s="229">
        <v>-0.16139999999999999</v>
      </c>
      <c r="AZ213" s="230">
        <v>12595500</v>
      </c>
      <c r="BA213" s="230">
        <v>21521200</v>
      </c>
      <c r="BB213" s="230">
        <v>-8925700</v>
      </c>
      <c r="BC213" s="229">
        <v>-0.41470000000000001</v>
      </c>
      <c r="BD213" s="230">
        <v>2550200</v>
      </c>
      <c r="BE213" s="230">
        <v>9050100</v>
      </c>
      <c r="BF213" s="230">
        <v>-6499900</v>
      </c>
      <c r="BG213" s="229">
        <v>-0.71819999999999995</v>
      </c>
      <c r="BH213" s="230">
        <v>150679500</v>
      </c>
      <c r="BI213" s="230">
        <v>225879300</v>
      </c>
      <c r="BJ213" s="230">
        <v>-75199800</v>
      </c>
      <c r="BK213" s="229">
        <v>-0.33289999999999997</v>
      </c>
      <c r="BL213" s="230">
        <v>54922600</v>
      </c>
      <c r="BM213" s="230">
        <v>77128000</v>
      </c>
      <c r="BN213" s="230">
        <v>-22205400</v>
      </c>
      <c r="BO213" s="229">
        <v>-0.28789999999999999</v>
      </c>
      <c r="BP213" s="230">
        <v>290536200</v>
      </c>
      <c r="BQ213" s="230">
        <v>416802200</v>
      </c>
      <c r="BR213" s="230">
        <v>-126266000</v>
      </c>
      <c r="BS213" s="229">
        <v>-0.3029</v>
      </c>
      <c r="BT213" s="230">
        <v>57026618</v>
      </c>
      <c r="BU213" s="230">
        <v>60595379</v>
      </c>
      <c r="BV213" s="230">
        <v>-3568761</v>
      </c>
      <c r="BW213" s="229">
        <v>-5.8900000000000001E-2</v>
      </c>
      <c r="BX213" s="230">
        <v>1047043700</v>
      </c>
      <c r="BY213" s="230">
        <v>1048909700</v>
      </c>
      <c r="BZ213" s="230">
        <v>-1866000</v>
      </c>
      <c r="CA213" s="229">
        <v>-1.8E-3</v>
      </c>
      <c r="CB213" s="230">
        <v>929423500</v>
      </c>
      <c r="CC213" s="230">
        <v>938411400</v>
      </c>
      <c r="CD213" s="230">
        <v>-8987900</v>
      </c>
      <c r="CE213" s="229">
        <v>-9.5999999999999992E-3</v>
      </c>
      <c r="CF213" s="230">
        <v>100079800</v>
      </c>
      <c r="CG213" s="230">
        <v>93984200</v>
      </c>
      <c r="CH213" s="230">
        <v>6095600</v>
      </c>
      <c r="CI213" s="229">
        <v>6.4899999999999999E-2</v>
      </c>
      <c r="CJ213" s="230">
        <v>17540400</v>
      </c>
      <c r="CK213" s="230">
        <v>16514100</v>
      </c>
      <c r="CL213" s="230">
        <v>1026300</v>
      </c>
      <c r="CM213" s="229">
        <v>6.2100000000000002E-2</v>
      </c>
      <c r="CN213" s="230">
        <v>483169600</v>
      </c>
      <c r="CO213" s="230">
        <v>480806000</v>
      </c>
      <c r="CP213" s="230">
        <v>2363600</v>
      </c>
      <c r="CQ213" s="229">
        <v>4.8999999999999998E-3</v>
      </c>
      <c r="CR213" s="230">
        <v>244539300</v>
      </c>
      <c r="CS213" s="230">
        <v>247991400</v>
      </c>
      <c r="CT213" s="230">
        <v>-3452100</v>
      </c>
      <c r="CU213" s="229">
        <v>-1.3899999999999999E-2</v>
      </c>
      <c r="CV213" s="230">
        <v>1774752600</v>
      </c>
      <c r="CW213" s="230">
        <v>1777707100</v>
      </c>
      <c r="CX213" s="230">
        <v>-2954500</v>
      </c>
      <c r="CY213" s="229">
        <v>-1.6999999999999999E-3</v>
      </c>
      <c r="CZ213" s="228">
        <v>32.11</v>
      </c>
      <c r="DA213" s="228">
        <v>33.630000000000003</v>
      </c>
      <c r="DB213" s="228">
        <v>-1.52</v>
      </c>
      <c r="DC213" s="228">
        <v>-1.52</v>
      </c>
      <c r="DD213" s="228">
        <v>38.380000000000003</v>
      </c>
      <c r="DE213" s="228">
        <v>38.479999999999997</v>
      </c>
      <c r="DF213" s="228">
        <v>-6.27</v>
      </c>
      <c r="DG213" s="228">
        <v>-0.1</v>
      </c>
      <c r="DH213" s="228">
        <v>33.28</v>
      </c>
      <c r="DI213" s="228">
        <v>35.32</v>
      </c>
      <c r="DJ213" s="228">
        <v>-2.04</v>
      </c>
      <c r="DK213" s="228">
        <v>-2.04</v>
      </c>
      <c r="DL213" s="228">
        <v>28.9</v>
      </c>
      <c r="DM213" s="228">
        <v>28.68</v>
      </c>
      <c r="DN213" s="228">
        <v>0.22</v>
      </c>
      <c r="DO213" s="228">
        <v>0.22</v>
      </c>
      <c r="DP213" s="228">
        <v>0.51</v>
      </c>
      <c r="DQ213" s="228">
        <v>0.52</v>
      </c>
      <c r="DR213" s="228">
        <v>-0.01</v>
      </c>
      <c r="DS213" s="229">
        <v>-1.9199999999999998E-2</v>
      </c>
      <c r="DT213" s="228">
        <v>22</v>
      </c>
      <c r="DU213" s="228">
        <v>21</v>
      </c>
      <c r="DV213" s="228">
        <v>0.36</v>
      </c>
      <c r="DW213" s="228">
        <v>0.34</v>
      </c>
      <c r="DX213" s="228">
        <v>0.02</v>
      </c>
      <c r="DY213" s="229">
        <v>5.8799999999999998E-2</v>
      </c>
      <c r="DZ213" s="229">
        <v>0.1123</v>
      </c>
      <c r="EA213" s="230">
        <v>110498300</v>
      </c>
      <c r="EB213" s="229">
        <v>7.0000000000000001E-3</v>
      </c>
      <c r="EC213" s="229">
        <v>0.1123</v>
      </c>
      <c r="ED213" s="228">
        <v>0.14000000000000001</v>
      </c>
      <c r="EE213" s="229">
        <v>6.6E-3</v>
      </c>
      <c r="EF213" s="230">
        <v>29841113</v>
      </c>
      <c r="EG213" s="230">
        <v>28767944</v>
      </c>
      <c r="EH213" s="229">
        <v>3.73E-2</v>
      </c>
      <c r="EI213" s="229">
        <v>0.52329999999999999</v>
      </c>
      <c r="EJ213" s="231">
        <v>34576.519999999997</v>
      </c>
      <c r="EK213" s="231">
        <v>11450.95</v>
      </c>
      <c r="EL213" s="231">
        <v>18148.52</v>
      </c>
      <c r="EM213" s="231">
        <v>3644</v>
      </c>
      <c r="EN213" s="231">
        <v>64175.99</v>
      </c>
      <c r="EO213" s="231">
        <v>93631.11</v>
      </c>
      <c r="EP213" s="231">
        <v>-29455.119999999999</v>
      </c>
      <c r="EQ213" s="229">
        <v>-0.31459999999999999</v>
      </c>
      <c r="ER213" s="231">
        <v>112720</v>
      </c>
      <c r="ES213" s="231">
        <v>51492</v>
      </c>
      <c r="ET213" s="231">
        <v>223642</v>
      </c>
      <c r="EU213" s="231">
        <v>3547322779</v>
      </c>
      <c r="EV213" s="231">
        <v>387855</v>
      </c>
      <c r="EW213" s="231">
        <v>389271</v>
      </c>
      <c r="EX213" s="231">
        <v>-1416</v>
      </c>
      <c r="EY213" s="229">
        <v>-3.5999999999999999E-3</v>
      </c>
      <c r="EZ213" s="229">
        <v>0.50029999999999997</v>
      </c>
      <c r="FA213" s="227" t="s">
        <v>568</v>
      </c>
      <c r="FB213" s="161">
        <f t="shared" si="5"/>
        <v>0</v>
      </c>
    </row>
    <row r="214" spans="1:158" ht="17.25" thickBot="1" x14ac:dyDescent="0.3">
      <c r="A214" s="226">
        <v>46064</v>
      </c>
      <c r="B214" s="227" t="s">
        <v>170</v>
      </c>
      <c r="C214" s="227" t="s">
        <v>557</v>
      </c>
      <c r="D214" s="228">
        <v>900</v>
      </c>
      <c r="E214" s="228">
        <v>899.3</v>
      </c>
      <c r="F214" s="228">
        <v>887.85</v>
      </c>
      <c r="G214" s="228">
        <v>11.45</v>
      </c>
      <c r="H214" s="229">
        <v>1.29E-2</v>
      </c>
      <c r="I214" s="228">
        <v>898.3</v>
      </c>
      <c r="J214" s="228">
        <v>887.3</v>
      </c>
      <c r="K214" s="228">
        <v>11</v>
      </c>
      <c r="L214" s="229">
        <v>1.24E-2</v>
      </c>
      <c r="M214" s="228">
        <v>899.3</v>
      </c>
      <c r="N214" s="228">
        <v>887.85</v>
      </c>
      <c r="O214" s="228">
        <v>11.45</v>
      </c>
      <c r="P214" s="229">
        <v>1.29E-2</v>
      </c>
      <c r="Q214" s="228">
        <v>904.15</v>
      </c>
      <c r="R214" s="228">
        <v>892.95</v>
      </c>
      <c r="S214" s="228">
        <v>11.2</v>
      </c>
      <c r="T214" s="229">
        <v>1.2500000000000001E-2</v>
      </c>
      <c r="U214" s="228">
        <v>908.85</v>
      </c>
      <c r="V214" s="228">
        <v>898.3</v>
      </c>
      <c r="W214" s="228">
        <v>10.55</v>
      </c>
      <c r="X214" s="229">
        <v>1.17E-2</v>
      </c>
      <c r="Y214" s="228">
        <v>1</v>
      </c>
      <c r="Z214" s="228">
        <v>0.55000000000000004</v>
      </c>
      <c r="AA214" s="228">
        <v>0.45</v>
      </c>
      <c r="AB214" s="229">
        <v>1.1000000000000001E-3</v>
      </c>
      <c r="AC214" s="228">
        <v>1</v>
      </c>
      <c r="AD214" s="228">
        <v>0.55000000000000004</v>
      </c>
      <c r="AE214" s="228">
        <v>0.45</v>
      </c>
      <c r="AF214" s="229">
        <v>1.1000000000000001E-3</v>
      </c>
      <c r="AG214" s="228">
        <v>5.85</v>
      </c>
      <c r="AH214" s="228">
        <v>5.65</v>
      </c>
      <c r="AI214" s="228">
        <v>0.2</v>
      </c>
      <c r="AJ214" s="229">
        <v>6.4999999999999997E-3</v>
      </c>
      <c r="AK214" s="228">
        <v>10.55</v>
      </c>
      <c r="AL214" s="228">
        <v>11</v>
      </c>
      <c r="AM214" s="228">
        <v>-0.45</v>
      </c>
      <c r="AN214" s="229">
        <v>1.17E-2</v>
      </c>
      <c r="AO214" s="228">
        <v>892.87</v>
      </c>
      <c r="AP214" s="228">
        <v>896.68</v>
      </c>
      <c r="AQ214" s="228">
        <v>0</v>
      </c>
      <c r="AR214" s="230">
        <v>3485700</v>
      </c>
      <c r="AS214" s="230">
        <v>5578200</v>
      </c>
      <c r="AT214" s="230">
        <v>-2092500</v>
      </c>
      <c r="AU214" s="229">
        <v>-0.37509999999999999</v>
      </c>
      <c r="AV214" s="230">
        <v>3070800</v>
      </c>
      <c r="AW214" s="230">
        <v>4845600</v>
      </c>
      <c r="AX214" s="230">
        <v>-1774800</v>
      </c>
      <c r="AY214" s="229">
        <v>-0.36630000000000001</v>
      </c>
      <c r="AZ214" s="230">
        <v>385200</v>
      </c>
      <c r="BA214" s="230">
        <v>655200</v>
      </c>
      <c r="BB214" s="230">
        <v>-270000</v>
      </c>
      <c r="BC214" s="229">
        <v>-0.41210000000000002</v>
      </c>
      <c r="BD214" s="230">
        <v>29700</v>
      </c>
      <c r="BE214" s="230">
        <v>77400</v>
      </c>
      <c r="BF214" s="230">
        <v>-47700</v>
      </c>
      <c r="BG214" s="229">
        <v>-0.61629999999999996</v>
      </c>
      <c r="BH214" s="230">
        <v>15481800</v>
      </c>
      <c r="BI214" s="230">
        <v>39307500</v>
      </c>
      <c r="BJ214" s="230">
        <v>-23825700</v>
      </c>
      <c r="BK214" s="229">
        <v>-0.60609999999999997</v>
      </c>
      <c r="BL214" s="230">
        <v>4988700</v>
      </c>
      <c r="BM214" s="230">
        <v>17334000</v>
      </c>
      <c r="BN214" s="230">
        <v>-12345300</v>
      </c>
      <c r="BO214" s="229">
        <v>-0.71220000000000006</v>
      </c>
      <c r="BP214" s="230">
        <v>23956200</v>
      </c>
      <c r="BQ214" s="230">
        <v>62219700</v>
      </c>
      <c r="BR214" s="230">
        <v>-38263500</v>
      </c>
      <c r="BS214" s="229">
        <v>-0.61499999999999999</v>
      </c>
      <c r="BT214" s="230">
        <v>871184</v>
      </c>
      <c r="BU214" s="230">
        <v>2336516</v>
      </c>
      <c r="BV214" s="230">
        <v>-1465332</v>
      </c>
      <c r="BW214" s="229">
        <v>-0.62709999999999999</v>
      </c>
      <c r="BX214" s="230">
        <v>11232000</v>
      </c>
      <c r="BY214" s="230">
        <v>11421000</v>
      </c>
      <c r="BZ214" s="230">
        <v>-189000</v>
      </c>
      <c r="CA214" s="229">
        <v>-1.6500000000000001E-2</v>
      </c>
      <c r="CB214" s="230">
        <v>10492200</v>
      </c>
      <c r="CC214" s="230">
        <v>10802700</v>
      </c>
      <c r="CD214" s="230">
        <v>-310500</v>
      </c>
      <c r="CE214" s="229">
        <v>-2.87E-2</v>
      </c>
      <c r="CF214" s="230">
        <v>668700</v>
      </c>
      <c r="CG214" s="230">
        <v>543600</v>
      </c>
      <c r="CH214" s="230">
        <v>125100</v>
      </c>
      <c r="CI214" s="229">
        <v>0.2301</v>
      </c>
      <c r="CJ214" s="230">
        <v>71100</v>
      </c>
      <c r="CK214" s="230">
        <v>74700</v>
      </c>
      <c r="CL214" s="230">
        <v>-3600</v>
      </c>
      <c r="CM214" s="229">
        <v>-4.82E-2</v>
      </c>
      <c r="CN214" s="230">
        <v>10554300</v>
      </c>
      <c r="CO214" s="230">
        <v>11940300</v>
      </c>
      <c r="CP214" s="230">
        <v>-1386000</v>
      </c>
      <c r="CQ214" s="229">
        <v>-0.11609999999999999</v>
      </c>
      <c r="CR214" s="230">
        <v>4727700</v>
      </c>
      <c r="CS214" s="230">
        <v>5046300</v>
      </c>
      <c r="CT214" s="230">
        <v>-318600</v>
      </c>
      <c r="CU214" s="229">
        <v>-6.3100000000000003E-2</v>
      </c>
      <c r="CV214" s="230">
        <v>26514000</v>
      </c>
      <c r="CW214" s="230">
        <v>28407600</v>
      </c>
      <c r="CX214" s="230">
        <v>-1893600</v>
      </c>
      <c r="CY214" s="229">
        <v>-6.6699999999999995E-2</v>
      </c>
      <c r="CZ214" s="228">
        <v>28.91</v>
      </c>
      <c r="DA214" s="228">
        <v>31.82</v>
      </c>
      <c r="DB214" s="228">
        <v>-2.91</v>
      </c>
      <c r="DC214" s="228">
        <v>-2.91</v>
      </c>
      <c r="DD214" s="228">
        <v>28.06</v>
      </c>
      <c r="DE214" s="228">
        <v>28.07</v>
      </c>
      <c r="DF214" s="228">
        <v>0.85</v>
      </c>
      <c r="DG214" s="228">
        <v>-0.01</v>
      </c>
      <c r="DH214" s="228">
        <v>29.23</v>
      </c>
      <c r="DI214" s="228">
        <v>32.979999999999997</v>
      </c>
      <c r="DJ214" s="228">
        <v>-3.75</v>
      </c>
      <c r="DK214" s="228">
        <v>-3.75</v>
      </c>
      <c r="DL214" s="228">
        <v>27.91</v>
      </c>
      <c r="DM214" s="228">
        <v>29.18</v>
      </c>
      <c r="DN214" s="228">
        <v>-1.27</v>
      </c>
      <c r="DO214" s="228">
        <v>-1.27</v>
      </c>
      <c r="DP214" s="228">
        <v>0.45</v>
      </c>
      <c r="DQ214" s="228">
        <v>0.42</v>
      </c>
      <c r="DR214" s="228">
        <v>0.03</v>
      </c>
      <c r="DS214" s="229">
        <v>7.1400000000000005E-2</v>
      </c>
      <c r="DT214" s="228">
        <v>960</v>
      </c>
      <c r="DU214" s="228">
        <v>900</v>
      </c>
      <c r="DV214" s="228">
        <v>0.32</v>
      </c>
      <c r="DW214" s="228">
        <v>0.44</v>
      </c>
      <c r="DX214" s="228">
        <v>-0.12</v>
      </c>
      <c r="DY214" s="229">
        <v>-0.2727</v>
      </c>
      <c r="DZ214" s="229">
        <v>6.59E-2</v>
      </c>
      <c r="EA214" s="230">
        <v>618300</v>
      </c>
      <c r="EB214" s="229">
        <v>5.4000000000000003E-3</v>
      </c>
      <c r="EC214" s="229">
        <v>6.59E-2</v>
      </c>
      <c r="ED214" s="228">
        <v>3.81</v>
      </c>
      <c r="EE214" s="229">
        <v>4.3E-3</v>
      </c>
      <c r="EF214" s="230">
        <v>306036</v>
      </c>
      <c r="EG214" s="230">
        <v>782883</v>
      </c>
      <c r="EH214" s="229">
        <v>-0.60909999999999997</v>
      </c>
      <c r="EI214" s="229">
        <v>0.3513</v>
      </c>
      <c r="EJ214" s="231">
        <v>146001.60999999999</v>
      </c>
      <c r="EK214" s="231">
        <v>43699.360000000001</v>
      </c>
      <c r="EL214" s="231">
        <v>31140.79</v>
      </c>
      <c r="EM214" s="231">
        <v>3650</v>
      </c>
      <c r="EN214" s="231">
        <v>220841.76</v>
      </c>
      <c r="EO214" s="231">
        <v>579805.28</v>
      </c>
      <c r="EP214" s="231">
        <v>-358963.52</v>
      </c>
      <c r="EQ214" s="229">
        <v>-0.61909999999999998</v>
      </c>
      <c r="ER214" s="231">
        <v>101255</v>
      </c>
      <c r="ES214" s="231">
        <v>41414</v>
      </c>
      <c r="ET214" s="231">
        <v>101049</v>
      </c>
      <c r="EU214" s="231">
        <v>37741451</v>
      </c>
      <c r="EV214" s="231">
        <v>243718</v>
      </c>
      <c r="EW214" s="231">
        <v>259810</v>
      </c>
      <c r="EX214" s="231">
        <v>-16092</v>
      </c>
      <c r="EY214" s="229">
        <v>-6.1899999999999997E-2</v>
      </c>
      <c r="EZ214" s="229">
        <v>0.70250000000000001</v>
      </c>
      <c r="FA214" s="227" t="s">
        <v>556</v>
      </c>
      <c r="FB214" s="161">
        <f t="shared" si="5"/>
        <v>0</v>
      </c>
    </row>
    <row r="215" spans="1:158" x14ac:dyDescent="0.25">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BX324-CB324</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I10" sqref="I10"/>
    </sheetView>
  </sheetViews>
  <sheetFormatPr defaultColWidth="13.7109375" defaultRowHeight="15" x14ac:dyDescent="0.25"/>
  <cols>
    <col min="1" max="1" width="23.85546875" customWidth="1"/>
    <col min="2" max="2" width="12" customWidth="1"/>
    <col min="3" max="6" width="11.140625" customWidth="1"/>
    <col min="7" max="7" width="10.8554687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46064</v>
      </c>
      <c r="C2" s="230">
        <v>9718708</v>
      </c>
      <c r="D2" s="230">
        <v>1564165</v>
      </c>
      <c r="E2" s="230">
        <v>9830345</v>
      </c>
      <c r="F2" s="230">
        <v>1580486</v>
      </c>
      <c r="G2" s="230">
        <v>-111637</v>
      </c>
      <c r="H2" s="230">
        <v>-16320</v>
      </c>
      <c r="I2" s="230">
        <v>11756227</v>
      </c>
      <c r="J2" s="230">
        <v>1260611</v>
      </c>
      <c r="K2" s="230">
        <v>687626</v>
      </c>
      <c r="L2" s="230">
        <v>110181</v>
      </c>
      <c r="M2" s="230">
        <v>12443853</v>
      </c>
      <c r="N2" s="230">
        <v>1370792</v>
      </c>
      <c r="O2" s="61"/>
      <c r="P2" s="61"/>
      <c r="Q2" s="61"/>
      <c r="R2" s="61"/>
      <c r="S2" s="61"/>
      <c r="U2" t="s">
        <v>453</v>
      </c>
      <c r="V2">
        <f>SUM('Data Vlaue (Cr)'!CD:CD)</f>
        <v>541904</v>
      </c>
      <c r="W2" t="s">
        <v>454</v>
      </c>
    </row>
    <row r="3" spans="1:23" ht="17.25" thickBot="1" x14ac:dyDescent="0.3">
      <c r="A3" s="227" t="s">
        <v>617</v>
      </c>
      <c r="B3" s="226">
        <v>46064</v>
      </c>
      <c r="C3" s="230">
        <v>4189</v>
      </c>
      <c r="D3" s="228">
        <v>764</v>
      </c>
      <c r="E3" s="230">
        <v>3577</v>
      </c>
      <c r="F3" s="228">
        <v>652</v>
      </c>
      <c r="G3" s="228">
        <v>612</v>
      </c>
      <c r="H3" s="228">
        <v>112</v>
      </c>
      <c r="I3" s="230">
        <v>33917</v>
      </c>
      <c r="J3" s="230">
        <v>6180</v>
      </c>
      <c r="K3" s="228">
        <v>-56</v>
      </c>
      <c r="L3" s="228">
        <v>1</v>
      </c>
      <c r="M3" s="230">
        <v>33861</v>
      </c>
      <c r="N3" s="230">
        <v>6181</v>
      </c>
      <c r="O3" s="61"/>
      <c r="P3" s="61"/>
      <c r="Q3" s="61"/>
      <c r="R3" s="61"/>
      <c r="S3" s="61"/>
      <c r="U3" t="s">
        <v>453</v>
      </c>
      <c r="V3">
        <f>SUM('Data shares'!CC:CC)</f>
        <v>15974852898</v>
      </c>
      <c r="W3" t="s">
        <v>455</v>
      </c>
    </row>
    <row r="4" spans="1:23" ht="17.25" thickBot="1" x14ac:dyDescent="0.3">
      <c r="A4" s="227" t="s">
        <v>618</v>
      </c>
      <c r="B4" s="226">
        <v>46064</v>
      </c>
      <c r="C4" s="230">
        <v>158135</v>
      </c>
      <c r="D4" s="230">
        <v>28832</v>
      </c>
      <c r="E4" s="230">
        <v>157419</v>
      </c>
      <c r="F4" s="230">
        <v>28761</v>
      </c>
      <c r="G4" s="228">
        <v>716</v>
      </c>
      <c r="H4" s="228">
        <v>71</v>
      </c>
      <c r="I4" s="230">
        <v>290317</v>
      </c>
      <c r="J4" s="230">
        <v>52803</v>
      </c>
      <c r="K4" s="230">
        <v>16608</v>
      </c>
      <c r="L4" s="230">
        <v>3130</v>
      </c>
      <c r="M4" s="230">
        <v>306925</v>
      </c>
      <c r="N4" s="230">
        <v>55933</v>
      </c>
      <c r="O4" s="61"/>
      <c r="P4" s="61"/>
      <c r="Q4" s="61"/>
      <c r="R4" s="61"/>
      <c r="S4" s="61"/>
    </row>
    <row r="5" spans="1:23" ht="17.25" thickBot="1" x14ac:dyDescent="0.3">
      <c r="A5" s="227" t="s">
        <v>619</v>
      </c>
      <c r="B5" s="226">
        <v>46064</v>
      </c>
      <c r="C5" s="228">
        <v>19</v>
      </c>
      <c r="D5" s="228">
        <v>3</v>
      </c>
      <c r="E5" s="228">
        <v>16</v>
      </c>
      <c r="F5" s="228">
        <v>3</v>
      </c>
      <c r="G5" s="228">
        <v>3</v>
      </c>
      <c r="H5" s="228">
        <v>1</v>
      </c>
      <c r="I5" s="228">
        <v>372</v>
      </c>
      <c r="J5" s="228">
        <v>63</v>
      </c>
      <c r="K5" s="228">
        <v>-3</v>
      </c>
      <c r="L5" s="228">
        <v>0</v>
      </c>
      <c r="M5" s="228">
        <v>369</v>
      </c>
      <c r="N5" s="228">
        <v>63</v>
      </c>
      <c r="O5" s="61"/>
      <c r="P5" s="61"/>
      <c r="Q5" s="61"/>
      <c r="R5" s="61"/>
      <c r="S5" s="61"/>
    </row>
    <row r="6" spans="1:23" ht="17.25" thickBot="1" x14ac:dyDescent="0.3">
      <c r="A6" s="227" t="s">
        <v>620</v>
      </c>
      <c r="B6" s="226">
        <v>46064</v>
      </c>
      <c r="C6" s="230">
        <v>8157</v>
      </c>
      <c r="D6" s="230">
        <v>1377</v>
      </c>
      <c r="E6" s="230">
        <v>8006</v>
      </c>
      <c r="F6" s="230">
        <v>1355</v>
      </c>
      <c r="G6" s="228">
        <v>151</v>
      </c>
      <c r="H6" s="228">
        <v>22</v>
      </c>
      <c r="I6" s="230">
        <v>11819</v>
      </c>
      <c r="J6" s="230">
        <v>1999</v>
      </c>
      <c r="K6" s="228">
        <v>-45</v>
      </c>
      <c r="L6" s="228">
        <v>-1</v>
      </c>
      <c r="M6" s="230">
        <v>11774</v>
      </c>
      <c r="N6" s="230">
        <v>1998</v>
      </c>
      <c r="O6" s="61"/>
      <c r="P6" s="61"/>
      <c r="Q6" s="61"/>
      <c r="R6" s="61"/>
      <c r="S6" s="61"/>
    </row>
    <row r="7" spans="1:23" ht="17.25" thickBot="1" x14ac:dyDescent="0.3">
      <c r="A7" s="227" t="s">
        <v>621</v>
      </c>
      <c r="B7" s="226">
        <v>46064</v>
      </c>
      <c r="C7" s="230">
        <v>14701</v>
      </c>
      <c r="D7" s="230">
        <v>2540</v>
      </c>
      <c r="E7" s="230">
        <v>13302</v>
      </c>
      <c r="F7" s="230">
        <v>2294</v>
      </c>
      <c r="G7" s="230">
        <v>1399</v>
      </c>
      <c r="H7" s="228">
        <v>246</v>
      </c>
      <c r="I7" s="230">
        <v>235966</v>
      </c>
      <c r="J7" s="230">
        <v>40290</v>
      </c>
      <c r="K7" s="230">
        <v>1319</v>
      </c>
      <c r="L7" s="228">
        <v>246</v>
      </c>
      <c r="M7" s="230">
        <v>237285</v>
      </c>
      <c r="N7" s="230">
        <v>40536</v>
      </c>
    </row>
    <row r="8" spans="1:23" ht="17.25" thickBot="1" x14ac:dyDescent="0.3">
      <c r="A8" s="227" t="s">
        <v>622</v>
      </c>
      <c r="B8" s="226">
        <v>46064</v>
      </c>
      <c r="C8" s="230">
        <v>4446901</v>
      </c>
      <c r="D8" s="230">
        <v>750937</v>
      </c>
      <c r="E8" s="230">
        <v>4490591</v>
      </c>
      <c r="F8" s="230">
        <v>758210</v>
      </c>
      <c r="G8" s="230">
        <v>-43690</v>
      </c>
      <c r="H8" s="230">
        <v>-7273</v>
      </c>
      <c r="I8" s="230">
        <v>2025826</v>
      </c>
      <c r="J8" s="230">
        <v>345330</v>
      </c>
      <c r="K8" s="230">
        <v>304707</v>
      </c>
      <c r="L8" s="230">
        <v>51941</v>
      </c>
      <c r="M8" s="230">
        <v>2330533</v>
      </c>
      <c r="N8" s="230">
        <v>397272</v>
      </c>
    </row>
    <row r="9" spans="1:23" ht="17.25" thickBot="1" x14ac:dyDescent="0.3">
      <c r="A9" s="227" t="s">
        <v>623</v>
      </c>
      <c r="B9" s="226">
        <v>46064</v>
      </c>
      <c r="C9" s="230">
        <v>1014</v>
      </c>
      <c r="D9" s="228">
        <v>170</v>
      </c>
      <c r="E9" s="230">
        <v>1291</v>
      </c>
      <c r="F9" s="228">
        <v>216</v>
      </c>
      <c r="G9" s="228">
        <v>-277</v>
      </c>
      <c r="H9" s="228">
        <v>-46</v>
      </c>
      <c r="I9" s="230">
        <v>21824</v>
      </c>
      <c r="J9" s="230">
        <v>3652</v>
      </c>
      <c r="K9" s="228">
        <v>-427</v>
      </c>
      <c r="L9" s="228">
        <v>-70</v>
      </c>
      <c r="M9" s="230">
        <v>21397</v>
      </c>
      <c r="N9" s="230">
        <v>3582</v>
      </c>
    </row>
    <row r="10" spans="1:23" ht="17.25" thickBot="1" x14ac:dyDescent="0.3">
      <c r="A10" s="227" t="s">
        <v>624</v>
      </c>
      <c r="B10" s="226">
        <v>46064</v>
      </c>
      <c r="C10" s="230">
        <v>31988</v>
      </c>
      <c r="D10" s="230">
        <v>5365</v>
      </c>
      <c r="E10" s="230">
        <v>31044</v>
      </c>
      <c r="F10" s="230">
        <v>5207</v>
      </c>
      <c r="G10" s="228">
        <v>944</v>
      </c>
      <c r="H10" s="228">
        <v>158</v>
      </c>
      <c r="I10" s="230">
        <v>46450</v>
      </c>
      <c r="J10" s="230">
        <v>7777</v>
      </c>
      <c r="K10" s="230">
        <v>1854</v>
      </c>
      <c r="L10" s="228">
        <v>310</v>
      </c>
      <c r="M10" s="230">
        <v>48304</v>
      </c>
      <c r="N10" s="230">
        <v>8088</v>
      </c>
    </row>
    <row r="11" spans="1:23" ht="17.25" thickBot="1" x14ac:dyDescent="0.3">
      <c r="A11" s="227" t="s">
        <v>625</v>
      </c>
      <c r="B11" s="226">
        <v>46064</v>
      </c>
      <c r="C11" s="230">
        <v>9347</v>
      </c>
      <c r="D11" s="230">
        <v>1581</v>
      </c>
      <c r="E11" s="230">
        <v>8375</v>
      </c>
      <c r="F11" s="230">
        <v>1416</v>
      </c>
      <c r="G11" s="228">
        <v>972</v>
      </c>
      <c r="H11" s="228">
        <v>165</v>
      </c>
      <c r="I11" s="230">
        <v>179333</v>
      </c>
      <c r="J11" s="230">
        <v>30304</v>
      </c>
      <c r="K11" s="230">
        <v>1736</v>
      </c>
      <c r="L11" s="228">
        <v>304</v>
      </c>
      <c r="M11" s="230">
        <v>181069</v>
      </c>
      <c r="N11" s="230">
        <v>30608</v>
      </c>
    </row>
    <row r="12" spans="1:23" ht="17.25" thickBot="1" x14ac:dyDescent="0.3">
      <c r="A12" s="227" t="s">
        <v>626</v>
      </c>
      <c r="B12" s="226">
        <v>46064</v>
      </c>
      <c r="C12" s="230">
        <v>4248340</v>
      </c>
      <c r="D12" s="230">
        <v>715314</v>
      </c>
      <c r="E12" s="230">
        <v>4293871</v>
      </c>
      <c r="F12" s="230">
        <v>722843</v>
      </c>
      <c r="G12" s="230">
        <v>-45531</v>
      </c>
      <c r="H12" s="230">
        <v>-7528</v>
      </c>
      <c r="I12" s="230">
        <v>1676421</v>
      </c>
      <c r="J12" s="230">
        <v>282608</v>
      </c>
      <c r="K12" s="230">
        <v>286215</v>
      </c>
      <c r="L12" s="230">
        <v>48488</v>
      </c>
      <c r="M12" s="230">
        <v>1962636</v>
      </c>
      <c r="N12" s="230">
        <v>331097</v>
      </c>
    </row>
    <row r="13" spans="1:23" ht="17.25" thickBot="1" x14ac:dyDescent="0.3">
      <c r="A13" s="227" t="s">
        <v>627</v>
      </c>
      <c r="B13" s="226">
        <v>46064</v>
      </c>
      <c r="C13" s="228">
        <v>132</v>
      </c>
      <c r="D13" s="228">
        <v>23</v>
      </c>
      <c r="E13" s="228">
        <v>43</v>
      </c>
      <c r="F13" s="228">
        <v>8</v>
      </c>
      <c r="G13" s="228">
        <v>89</v>
      </c>
      <c r="H13" s="228">
        <v>16</v>
      </c>
      <c r="I13" s="228">
        <v>520</v>
      </c>
      <c r="J13" s="228">
        <v>91</v>
      </c>
      <c r="K13" s="228">
        <v>69</v>
      </c>
      <c r="L13" s="228">
        <v>13</v>
      </c>
      <c r="M13" s="228">
        <v>589</v>
      </c>
      <c r="N13" s="228">
        <v>103</v>
      </c>
    </row>
    <row r="14" spans="1:23" ht="17.25" thickBot="1" x14ac:dyDescent="0.3">
      <c r="A14" s="227" t="s">
        <v>628</v>
      </c>
      <c r="B14" s="226">
        <v>46064</v>
      </c>
      <c r="C14" s="228">
        <v>281</v>
      </c>
      <c r="D14" s="228">
        <v>49</v>
      </c>
      <c r="E14" s="228">
        <v>251</v>
      </c>
      <c r="F14" s="228">
        <v>44</v>
      </c>
      <c r="G14" s="228">
        <v>30</v>
      </c>
      <c r="H14" s="228">
        <v>5</v>
      </c>
      <c r="I14" s="228">
        <v>820</v>
      </c>
      <c r="J14" s="228">
        <v>143</v>
      </c>
      <c r="K14" s="228">
        <v>74</v>
      </c>
      <c r="L14" s="228">
        <v>14</v>
      </c>
      <c r="M14" s="228">
        <v>894</v>
      </c>
      <c r="N14" s="228">
        <v>157</v>
      </c>
    </row>
    <row r="15" spans="1:23" ht="17.25" thickBot="1" x14ac:dyDescent="0.3">
      <c r="A15" s="227" t="s">
        <v>629</v>
      </c>
      <c r="B15" s="226">
        <v>46064</v>
      </c>
      <c r="C15" s="230">
        <v>315522</v>
      </c>
      <c r="D15" s="230">
        <v>22308</v>
      </c>
      <c r="E15" s="230">
        <v>323978</v>
      </c>
      <c r="F15" s="230">
        <v>23069</v>
      </c>
      <c r="G15" s="230">
        <v>-8456</v>
      </c>
      <c r="H15" s="228">
        <v>-761</v>
      </c>
      <c r="I15" s="230">
        <v>6351826</v>
      </c>
      <c r="J15" s="230">
        <v>428295</v>
      </c>
      <c r="K15" s="230">
        <v>13606</v>
      </c>
      <c r="L15" s="230">
        <v>1361</v>
      </c>
      <c r="M15" s="230">
        <v>6365432</v>
      </c>
      <c r="N15" s="230">
        <v>429655</v>
      </c>
    </row>
    <row r="16" spans="1:23" ht="17.25" thickBot="1" x14ac:dyDescent="0.3">
      <c r="A16" s="227" t="s">
        <v>630</v>
      </c>
      <c r="B16" s="226">
        <v>46064</v>
      </c>
      <c r="C16" s="230">
        <v>479982</v>
      </c>
      <c r="D16" s="230">
        <v>34903</v>
      </c>
      <c r="E16" s="230">
        <v>498581</v>
      </c>
      <c r="F16" s="230">
        <v>36408</v>
      </c>
      <c r="G16" s="230">
        <v>-18599</v>
      </c>
      <c r="H16" s="230">
        <v>-1506</v>
      </c>
      <c r="I16" s="230">
        <v>880816</v>
      </c>
      <c r="J16" s="230">
        <v>61076</v>
      </c>
      <c r="K16" s="230">
        <v>61969</v>
      </c>
      <c r="L16" s="230">
        <v>4445</v>
      </c>
      <c r="M16" s="230">
        <v>942785</v>
      </c>
      <c r="N16" s="230">
        <v>65521</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96" activePane="bottomLeft" state="frozen"/>
      <selection activeCell="E46" sqref="E46"/>
      <selection pane="bottomLeft" activeCell="D219" sqref="D219"/>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9" t="s">
        <v>325</v>
      </c>
      <c r="B3" s="260"/>
      <c r="C3" s="260"/>
      <c r="D3" s="260"/>
      <c r="E3" s="260"/>
      <c r="F3" s="260"/>
      <c r="G3" s="260"/>
      <c r="H3" s="260"/>
      <c r="I3" s="260"/>
      <c r="J3" s="260"/>
      <c r="K3" s="260"/>
      <c r="L3" s="260"/>
      <c r="M3" s="260"/>
      <c r="N3" s="260"/>
      <c r="O3" s="260"/>
      <c r="P3" s="260"/>
      <c r="Q3" s="261"/>
    </row>
    <row r="4" spans="1:17" s="64" customFormat="1" x14ac:dyDescent="0.25">
      <c r="A4" s="262"/>
      <c r="B4" s="262" t="s">
        <v>308</v>
      </c>
      <c r="C4" s="262"/>
      <c r="D4" s="264"/>
      <c r="E4" s="264"/>
      <c r="F4" s="262" t="s">
        <v>326</v>
      </c>
      <c r="G4" s="262"/>
      <c r="H4" s="262"/>
      <c r="I4" s="262" t="s">
        <v>327</v>
      </c>
      <c r="J4" s="262"/>
      <c r="K4" s="262"/>
      <c r="L4" s="262" t="s">
        <v>311</v>
      </c>
      <c r="M4" s="262"/>
      <c r="N4" s="262"/>
      <c r="O4" s="262"/>
      <c r="P4" s="262"/>
      <c r="Q4" s="262"/>
    </row>
    <row r="5" spans="1:17" s="64" customFormat="1" x14ac:dyDescent="0.25">
      <c r="A5" s="263"/>
      <c r="B5" s="73" t="s">
        <v>312</v>
      </c>
      <c r="C5" s="263" t="s">
        <v>313</v>
      </c>
      <c r="D5" s="266"/>
      <c r="E5" s="266"/>
      <c r="F5" s="263" t="s">
        <v>314</v>
      </c>
      <c r="G5" s="263"/>
      <c r="H5" s="263"/>
      <c r="I5" s="263" t="s">
        <v>315</v>
      </c>
      <c r="J5" s="263"/>
      <c r="K5" s="263"/>
      <c r="L5" s="263" t="s">
        <v>316</v>
      </c>
      <c r="M5" s="263"/>
      <c r="N5" s="263"/>
      <c r="O5" s="263" t="s">
        <v>317</v>
      </c>
      <c r="P5" s="263"/>
      <c r="Q5" s="263"/>
    </row>
    <row r="6" spans="1:17" s="72" customFormat="1" ht="33.75" x14ac:dyDescent="0.25">
      <c r="A6" s="71" t="s">
        <v>558</v>
      </c>
      <c r="B6" s="66">
        <f>'Snapshot (Value)'!C10</f>
        <v>46064</v>
      </c>
      <c r="C6" s="66">
        <f>'Snapshot (Value)'!D10</f>
        <v>46064</v>
      </c>
      <c r="D6" s="71" t="s">
        <v>322</v>
      </c>
      <c r="E6" s="71" t="s">
        <v>328</v>
      </c>
      <c r="F6" s="66">
        <f>C6</f>
        <v>46064</v>
      </c>
      <c r="G6" s="71" t="s">
        <v>322</v>
      </c>
      <c r="H6" s="71" t="s">
        <v>328</v>
      </c>
      <c r="I6" s="66">
        <f>C6</f>
        <v>46064</v>
      </c>
      <c r="J6" s="71" t="s">
        <v>322</v>
      </c>
      <c r="K6" s="71" t="s">
        <v>328</v>
      </c>
      <c r="L6" s="66">
        <f>C6</f>
        <v>46064</v>
      </c>
      <c r="M6" s="71" t="s">
        <v>322</v>
      </c>
      <c r="N6" s="71" t="s">
        <v>328</v>
      </c>
      <c r="O6" s="66">
        <f>C6</f>
        <v>46064</v>
      </c>
      <c r="P6" s="71" t="s">
        <v>322</v>
      </c>
      <c r="Q6" s="71" t="s">
        <v>328</v>
      </c>
    </row>
    <row r="7" spans="1:17" x14ac:dyDescent="0.25">
      <c r="A7" s="97" t="str">
        <f>'Snapshot (Value)'!A11</f>
        <v>360ONE</v>
      </c>
      <c r="B7" s="140">
        <f>VLOOKUP($A7,'Data shares'!$C:$FB,7)</f>
        <v>1138.4000000000001</v>
      </c>
      <c r="C7" s="140">
        <f>VLOOKUP($A7,'Data shares'!$C:$FB,3)</f>
        <v>1142.2</v>
      </c>
      <c r="D7" s="140">
        <f>VLOOKUP($A7,'Data shares'!$C:$FB,4)</f>
        <v>1164</v>
      </c>
      <c r="E7" s="50">
        <f>(C7-D7)/D7*100</f>
        <v>-1.872852233676972</v>
      </c>
      <c r="F7" s="49">
        <f>VLOOKUP($A7,'Data shares'!$C:$FB,98)</f>
        <v>5879500</v>
      </c>
      <c r="G7" s="49">
        <f>VLOOKUP($A7,'Data shares'!$C:$FB,99)</f>
        <v>5530500</v>
      </c>
      <c r="H7" s="50">
        <f>(F7-G7)/G7*100</f>
        <v>6.3104601753910137</v>
      </c>
      <c r="I7" s="49">
        <f>VLOOKUP($A7,'Data shares'!$C:$FB,66)</f>
        <v>5707500</v>
      </c>
      <c r="J7" s="49">
        <f>VLOOKUP($A7,'Data shares'!$C:$FB,67)</f>
        <v>9640000</v>
      </c>
      <c r="K7" s="50">
        <f>(I7-J7)/I7*100</f>
        <v>-68.900569426193599</v>
      </c>
      <c r="L7" s="50">
        <f>VLOOKUP($A7,'Data shares'!$C:$FB,118)</f>
        <v>0.76</v>
      </c>
      <c r="M7" s="50">
        <f>VLOOKUP($A7,'Data shares'!$C:$FB,119)</f>
        <v>0.73</v>
      </c>
      <c r="N7" s="50">
        <f>VLOOKUP($A7,'Data shares'!$C:$FB,121)*100</f>
        <v>4.1099999999999994</v>
      </c>
      <c r="O7" s="50">
        <f>VLOOKUP($A7,'Data shares'!$C:$FB,124)</f>
        <v>0.48</v>
      </c>
      <c r="P7" s="50">
        <f>VLOOKUP($A7,'Data shares'!$C:$FB,125)</f>
        <v>0.34</v>
      </c>
      <c r="Q7" s="50">
        <f>VLOOKUP($A7,'Data shares'!$C:$FB,127)*100</f>
        <v>41.18</v>
      </c>
    </row>
    <row r="8" spans="1:17" x14ac:dyDescent="0.25">
      <c r="A8" s="97" t="str">
        <f>'Snapshot (Value)'!A12</f>
        <v>ABB</v>
      </c>
      <c r="B8" s="140">
        <f>VLOOKUP($A8,'Data shares'!$C:$FB,7)</f>
        <v>5825.5</v>
      </c>
      <c r="C8" s="140">
        <f>VLOOKUP($A8,'Data shares'!$C:$FB,3)</f>
        <v>5826.5</v>
      </c>
      <c r="D8" s="140">
        <f>VLOOKUP($A8,'Data shares'!$C:$FB,4)</f>
        <v>5881</v>
      </c>
      <c r="E8" s="50">
        <f t="shared" ref="E8:E71" si="0">(C8-D8)/D8*100</f>
        <v>-0.92671314402312543</v>
      </c>
      <c r="F8" s="49">
        <f>VLOOKUP($A8,'Data shares'!$C:$FB,98)</f>
        <v>4497125</v>
      </c>
      <c r="G8" s="49">
        <f>VLOOKUP($A8,'Data shares'!$C:$FB,99)</f>
        <v>4490500</v>
      </c>
      <c r="H8" s="50">
        <f t="shared" ref="H8:H71" si="1">(F8-G8)/G8*100</f>
        <v>0.14753368221801583</v>
      </c>
      <c r="I8" s="49">
        <f>VLOOKUP($A8,'Data shares'!$C:$FB,66)</f>
        <v>1768375</v>
      </c>
      <c r="J8" s="49">
        <f>VLOOKUP($A8,'Data shares'!$C:$FB,67)</f>
        <v>1801000</v>
      </c>
      <c r="K8" s="50">
        <f t="shared" ref="K8:K71" si="2">(I8-J8)/I8*100</f>
        <v>-1.8449141160670108</v>
      </c>
      <c r="L8" s="50">
        <f>VLOOKUP($A8,'Data shares'!$C:$FB,118)</f>
        <v>0.74</v>
      </c>
      <c r="M8" s="50">
        <f>VLOOKUP($A8,'Data shares'!$C:$FB,119)</f>
        <v>0.74</v>
      </c>
      <c r="N8" s="50">
        <f>VLOOKUP($A8,'Data shares'!$C:$FB,121)*100</f>
        <v>0</v>
      </c>
      <c r="O8" s="50">
        <f>VLOOKUP($A8,'Data shares'!$C:$FB,124)</f>
        <v>1.02</v>
      </c>
      <c r="P8" s="50">
        <f>VLOOKUP($A8,'Data shares'!$C:$FB,125)</f>
        <v>0.43</v>
      </c>
      <c r="Q8" s="50">
        <f>VLOOKUP($A8,'Data shares'!$C:$FB,127)*100</f>
        <v>137.21</v>
      </c>
    </row>
    <row r="9" spans="1:17" x14ac:dyDescent="0.25">
      <c r="A9" s="97" t="str">
        <f>'Snapshot (Value)'!A13</f>
        <v>ABCAPITAL</v>
      </c>
      <c r="B9" s="140">
        <f>VLOOKUP($A9,'Data shares'!$C:$FB,7)</f>
        <v>344.25</v>
      </c>
      <c r="C9" s="140">
        <f>VLOOKUP($A9,'Data shares'!$C:$FB,3)</f>
        <v>344.35</v>
      </c>
      <c r="D9" s="140">
        <f>VLOOKUP($A9,'Data shares'!$C:$FB,4)</f>
        <v>354.9</v>
      </c>
      <c r="E9" s="50">
        <f t="shared" si="0"/>
        <v>-2.9726683572837294</v>
      </c>
      <c r="F9" s="49">
        <f>VLOOKUP($A9,'Data shares'!$C:$FB,98)</f>
        <v>119126800</v>
      </c>
      <c r="G9" s="49">
        <f>VLOOKUP($A9,'Data shares'!$C:$FB,99)</f>
        <v>111885200</v>
      </c>
      <c r="H9" s="50">
        <f t="shared" si="1"/>
        <v>6.4723484428682259</v>
      </c>
      <c r="I9" s="49">
        <f>VLOOKUP($A9,'Data shares'!$C:$FB,66)</f>
        <v>73423500</v>
      </c>
      <c r="J9" s="49">
        <f>VLOOKUP($A9,'Data shares'!$C:$FB,67)</f>
        <v>53710600</v>
      </c>
      <c r="K9" s="50">
        <f t="shared" si="2"/>
        <v>26.848216170572094</v>
      </c>
      <c r="L9" s="50">
        <f>VLOOKUP($A9,'Data shares'!$C:$FB,118)</f>
        <v>0.6</v>
      </c>
      <c r="M9" s="50">
        <f>VLOOKUP($A9,'Data shares'!$C:$FB,119)</f>
        <v>0.76</v>
      </c>
      <c r="N9" s="50">
        <f>VLOOKUP($A9,'Data shares'!$C:$FB,121)*100</f>
        <v>-21.05</v>
      </c>
      <c r="O9" s="50">
        <f>VLOOKUP($A9,'Data shares'!$C:$FB,124)</f>
        <v>0.49</v>
      </c>
      <c r="P9" s="50">
        <f>VLOOKUP($A9,'Data shares'!$C:$FB,125)</f>
        <v>0.48</v>
      </c>
      <c r="Q9" s="50">
        <f>VLOOKUP($A9,'Data shares'!$C:$FB,127)*100</f>
        <v>2.08</v>
      </c>
    </row>
    <row r="10" spans="1:17" x14ac:dyDescent="0.25">
      <c r="A10" s="97" t="str">
        <f>'Snapshot (Value)'!A14</f>
        <v>ADANIENSOL</v>
      </c>
      <c r="B10" s="140">
        <f>VLOOKUP($A10,'Data shares'!$C:$FB,7)</f>
        <v>1033.8</v>
      </c>
      <c r="C10" s="140">
        <f>VLOOKUP($A10,'Data shares'!$C:$FB,3)</f>
        <v>1036.7</v>
      </c>
      <c r="D10" s="140">
        <f>VLOOKUP($A10,'Data shares'!$C:$FB,4)</f>
        <v>1019.55</v>
      </c>
      <c r="E10" s="50">
        <f t="shared" si="0"/>
        <v>1.6821146584277469</v>
      </c>
      <c r="F10" s="49">
        <f>VLOOKUP($A10,'Data shares'!$C:$FB,98)</f>
        <v>28584225</v>
      </c>
      <c r="G10" s="49">
        <f>VLOOKUP($A10,'Data shares'!$C:$FB,99)</f>
        <v>28708425</v>
      </c>
      <c r="H10" s="50">
        <f t="shared" si="1"/>
        <v>-0.43262561425783541</v>
      </c>
      <c r="I10" s="49">
        <f>VLOOKUP($A10,'Data shares'!$C:$FB,66)</f>
        <v>5368275</v>
      </c>
      <c r="J10" s="49">
        <f>VLOOKUP($A10,'Data shares'!$C:$FB,67)</f>
        <v>5499225</v>
      </c>
      <c r="K10" s="50">
        <f t="shared" si="2"/>
        <v>-2.4393310700364643</v>
      </c>
      <c r="L10" s="50">
        <f>VLOOKUP($A10,'Data shares'!$C:$FB,118)</f>
        <v>0.85</v>
      </c>
      <c r="M10" s="50">
        <f>VLOOKUP($A10,'Data shares'!$C:$FB,119)</f>
        <v>0.85</v>
      </c>
      <c r="N10" s="50">
        <f>VLOOKUP($A10,'Data shares'!$C:$FB,121)*100</f>
        <v>0</v>
      </c>
      <c r="O10" s="50">
        <f>VLOOKUP($A10,'Data shares'!$C:$FB,124)</f>
        <v>0.72</v>
      </c>
      <c r="P10" s="50">
        <f>VLOOKUP($A10,'Data shares'!$C:$FB,125)</f>
        <v>1.17</v>
      </c>
      <c r="Q10" s="50">
        <f>VLOOKUP($A10,'Data shares'!$C:$FB,127)*100</f>
        <v>-38.46</v>
      </c>
    </row>
    <row r="11" spans="1:17" x14ac:dyDescent="0.25">
      <c r="A11" s="97" t="str">
        <f>'Snapshot (Value)'!A15</f>
        <v>ADANIENT</v>
      </c>
      <c r="B11" s="140">
        <f>VLOOKUP($A11,'Data shares'!$C:$FB,7)</f>
        <v>2234.4</v>
      </c>
      <c r="C11" s="140">
        <f>VLOOKUP($A11,'Data shares'!$C:$FB,3)</f>
        <v>2236.6999999999998</v>
      </c>
      <c r="D11" s="140">
        <f>VLOOKUP($A11,'Data shares'!$C:$FB,4)</f>
        <v>2229.8000000000002</v>
      </c>
      <c r="E11" s="50">
        <f t="shared" si="0"/>
        <v>0.30944479325498409</v>
      </c>
      <c r="F11" s="49">
        <f>VLOOKUP($A11,'Data shares'!$C:$FB,98)</f>
        <v>34864161</v>
      </c>
      <c r="G11" s="49">
        <f>VLOOKUP($A11,'Data shares'!$C:$FB,99)</f>
        <v>34732527</v>
      </c>
      <c r="H11" s="50">
        <f t="shared" si="1"/>
        <v>0.37899344323550083</v>
      </c>
      <c r="I11" s="49">
        <f>VLOOKUP($A11,'Data shares'!$C:$FB,66)</f>
        <v>10346556</v>
      </c>
      <c r="J11" s="49">
        <f>VLOOKUP($A11,'Data shares'!$C:$FB,67)</f>
        <v>34972929</v>
      </c>
      <c r="K11" s="50">
        <f t="shared" si="2"/>
        <v>-238.01517142515829</v>
      </c>
      <c r="L11" s="50">
        <f>VLOOKUP($A11,'Data shares'!$C:$FB,118)</f>
        <v>0.91</v>
      </c>
      <c r="M11" s="50">
        <f>VLOOKUP($A11,'Data shares'!$C:$FB,119)</f>
        <v>0.94</v>
      </c>
      <c r="N11" s="50">
        <f>VLOOKUP($A11,'Data shares'!$C:$FB,121)*100</f>
        <v>-3.19</v>
      </c>
      <c r="O11" s="50">
        <f>VLOOKUP($A11,'Data shares'!$C:$FB,124)</f>
        <v>0.75</v>
      </c>
      <c r="P11" s="50">
        <f>VLOOKUP($A11,'Data shares'!$C:$FB,125)</f>
        <v>1.1100000000000001</v>
      </c>
      <c r="Q11" s="50">
        <f>VLOOKUP($A11,'Data shares'!$C:$FB,127)*100</f>
        <v>-32.43</v>
      </c>
    </row>
    <row r="12" spans="1:17" x14ac:dyDescent="0.25">
      <c r="A12" s="97" t="str">
        <f>'Snapshot (Value)'!A16</f>
        <v>ADANIGREEN</v>
      </c>
      <c r="B12" s="140">
        <f>VLOOKUP($A12,'Data shares'!$C:$FB,7)</f>
        <v>994.75</v>
      </c>
      <c r="C12" s="140">
        <f>VLOOKUP($A12,'Data shares'!$C:$FB,3)</f>
        <v>997.6</v>
      </c>
      <c r="D12" s="140">
        <f>VLOOKUP($A12,'Data shares'!$C:$FB,4)</f>
        <v>981.2</v>
      </c>
      <c r="E12" s="50">
        <f t="shared" si="0"/>
        <v>1.6714227476559289</v>
      </c>
      <c r="F12" s="49">
        <f>VLOOKUP($A12,'Data shares'!$C:$FB,98)</f>
        <v>40255200</v>
      </c>
      <c r="G12" s="49">
        <f>VLOOKUP($A12,'Data shares'!$C:$FB,99)</f>
        <v>40219200</v>
      </c>
      <c r="H12" s="50">
        <f t="shared" si="1"/>
        <v>8.950948800572861E-2</v>
      </c>
      <c r="I12" s="49">
        <f>VLOOKUP($A12,'Data shares'!$C:$FB,66)</f>
        <v>15680400</v>
      </c>
      <c r="J12" s="49">
        <f>VLOOKUP($A12,'Data shares'!$C:$FB,67)</f>
        <v>17416200</v>
      </c>
      <c r="K12" s="50">
        <f t="shared" si="2"/>
        <v>-11.069870666564627</v>
      </c>
      <c r="L12" s="50">
        <f>VLOOKUP($A12,'Data shares'!$C:$FB,118)</f>
        <v>0.86</v>
      </c>
      <c r="M12" s="50">
        <f>VLOOKUP($A12,'Data shares'!$C:$FB,119)</f>
        <v>0.87</v>
      </c>
      <c r="N12" s="50">
        <f>VLOOKUP($A12,'Data shares'!$C:$FB,121)*100</f>
        <v>-1.1499999999999999</v>
      </c>
      <c r="O12" s="50">
        <f>VLOOKUP($A12,'Data shares'!$C:$FB,124)</f>
        <v>0.48</v>
      </c>
      <c r="P12" s="50">
        <f>VLOOKUP($A12,'Data shares'!$C:$FB,125)</f>
        <v>0.79</v>
      </c>
      <c r="Q12" s="50">
        <f>VLOOKUP($A12,'Data shares'!$C:$FB,127)*100</f>
        <v>-39.24</v>
      </c>
    </row>
    <row r="13" spans="1:17" x14ac:dyDescent="0.25">
      <c r="A13" s="97" t="str">
        <f>'Snapshot (Value)'!A17</f>
        <v>ADANIPORTS</v>
      </c>
      <c r="B13" s="140">
        <f>VLOOKUP($A13,'Data shares'!$C:$FB,7)</f>
        <v>1553.4</v>
      </c>
      <c r="C13" s="140">
        <f>VLOOKUP($A13,'Data shares'!$C:$FB,3)</f>
        <v>1555.8</v>
      </c>
      <c r="D13" s="140">
        <f>VLOOKUP($A13,'Data shares'!$C:$FB,4)</f>
        <v>1559.4</v>
      </c>
      <c r="E13" s="50">
        <f t="shared" si="0"/>
        <v>-0.23085802231628422</v>
      </c>
      <c r="F13" s="49">
        <f>VLOOKUP($A13,'Data shares'!$C:$FB,98)</f>
        <v>40068150</v>
      </c>
      <c r="G13" s="49">
        <f>VLOOKUP($A13,'Data shares'!$C:$FB,99)</f>
        <v>39695750</v>
      </c>
      <c r="H13" s="50">
        <f t="shared" si="1"/>
        <v>0.93813569462725854</v>
      </c>
      <c r="I13" s="49">
        <f>VLOOKUP($A13,'Data shares'!$C:$FB,66)</f>
        <v>13289550</v>
      </c>
      <c r="J13" s="49">
        <f>VLOOKUP($A13,'Data shares'!$C:$FB,67)</f>
        <v>30208575</v>
      </c>
      <c r="K13" s="50">
        <f t="shared" si="2"/>
        <v>-127.31074415612267</v>
      </c>
      <c r="L13" s="50">
        <f>VLOOKUP($A13,'Data shares'!$C:$FB,118)</f>
        <v>0.87</v>
      </c>
      <c r="M13" s="50">
        <f>VLOOKUP($A13,'Data shares'!$C:$FB,119)</f>
        <v>0.87</v>
      </c>
      <c r="N13" s="50">
        <f>VLOOKUP($A13,'Data shares'!$C:$FB,121)*100</f>
        <v>0</v>
      </c>
      <c r="O13" s="50">
        <f>VLOOKUP($A13,'Data shares'!$C:$FB,124)</f>
        <v>0.91</v>
      </c>
      <c r="P13" s="50">
        <f>VLOOKUP($A13,'Data shares'!$C:$FB,125)</f>
        <v>0.99</v>
      </c>
      <c r="Q13" s="50">
        <f>VLOOKUP($A13,'Data shares'!$C:$FB,127)*100</f>
        <v>-8.08</v>
      </c>
    </row>
    <row r="14" spans="1:17" x14ac:dyDescent="0.25">
      <c r="A14" s="97" t="str">
        <f>'Snapshot (Value)'!A18</f>
        <v>ALKEM</v>
      </c>
      <c r="B14" s="140">
        <f>VLOOKUP($A14,'Data shares'!$C:$FB,7)</f>
        <v>5890</v>
      </c>
      <c r="C14" s="140">
        <f>VLOOKUP($A14,'Data shares'!$C:$FB,3)</f>
        <v>5851.5</v>
      </c>
      <c r="D14" s="140">
        <f>VLOOKUP($A14,'Data shares'!$C:$FB,4)</f>
        <v>5771.5</v>
      </c>
      <c r="E14" s="50">
        <f>(C14-D14)/D14*100</f>
        <v>1.3861214588928354</v>
      </c>
      <c r="F14" s="49">
        <f>VLOOKUP($A14,'Data shares'!$C:$FB,98)</f>
        <v>1736250</v>
      </c>
      <c r="G14" s="49">
        <f>VLOOKUP($A14,'Data shares'!$C:$FB,99)</f>
        <v>1621125</v>
      </c>
      <c r="H14" s="50">
        <f t="shared" si="1"/>
        <v>7.1015498496414526</v>
      </c>
      <c r="I14" s="49">
        <f>VLOOKUP($A14,'Data shares'!$C:$FB,66)</f>
        <v>1302750</v>
      </c>
      <c r="J14" s="49">
        <f>VLOOKUP($A14,'Data shares'!$C:$FB,67)</f>
        <v>547375</v>
      </c>
      <c r="K14" s="50">
        <f t="shared" si="2"/>
        <v>57.983112646325083</v>
      </c>
      <c r="L14" s="50">
        <f>VLOOKUP($A14,'Data shares'!$C:$FB,118)</f>
        <v>0.76</v>
      </c>
      <c r="M14" s="50">
        <f>VLOOKUP($A14,'Data shares'!$C:$FB,119)</f>
        <v>0.98</v>
      </c>
      <c r="N14" s="50">
        <f>VLOOKUP($A14,'Data shares'!$C:$FB,121)*100</f>
        <v>-22.45</v>
      </c>
      <c r="O14" s="50">
        <f>VLOOKUP($A14,'Data shares'!$C:$FB,124)</f>
        <v>0.46</v>
      </c>
      <c r="P14" s="50">
        <f>VLOOKUP($A14,'Data shares'!$C:$FB,125)</f>
        <v>0.75</v>
      </c>
      <c r="Q14" s="50">
        <f>VLOOKUP($A14,'Data shares'!$C:$FB,127)*100</f>
        <v>-38.67</v>
      </c>
    </row>
    <row r="15" spans="1:17" x14ac:dyDescent="0.25">
      <c r="A15" s="97" t="str">
        <f>'Snapshot (Value)'!A19</f>
        <v>AMBER</v>
      </c>
      <c r="B15" s="140">
        <f>VLOOKUP($A15,'Data shares'!$C:$FB,7)</f>
        <v>7696</v>
      </c>
      <c r="C15" s="140">
        <f>VLOOKUP($A15,'Data shares'!$C:$FB,3)</f>
        <v>7643.5</v>
      </c>
      <c r="D15" s="140">
        <f>VLOOKUP($A15,'Data shares'!$C:$FB,4)</f>
        <v>7453</v>
      </c>
      <c r="E15" s="50">
        <f t="shared" si="0"/>
        <v>2.5560177109888635</v>
      </c>
      <c r="F15" s="49">
        <f>VLOOKUP($A15,'Data shares'!$C:$FB,98)</f>
        <v>3147300</v>
      </c>
      <c r="G15" s="49">
        <f>VLOOKUP($A15,'Data shares'!$C:$FB,99)</f>
        <v>2960200</v>
      </c>
      <c r="H15" s="50">
        <f t="shared" si="1"/>
        <v>6.3205188838591981</v>
      </c>
      <c r="I15" s="49">
        <f>VLOOKUP($A15,'Data shares'!$C:$FB,66)</f>
        <v>6615600</v>
      </c>
      <c r="J15" s="49">
        <f>VLOOKUP($A15,'Data shares'!$C:$FB,67)</f>
        <v>16200300</v>
      </c>
      <c r="K15" s="50">
        <f t="shared" si="2"/>
        <v>-144.88028296753129</v>
      </c>
      <c r="L15" s="50">
        <f>VLOOKUP($A15,'Data shares'!$C:$FB,118)</f>
        <v>1.1100000000000001</v>
      </c>
      <c r="M15" s="50">
        <f>VLOOKUP($A15,'Data shares'!$C:$FB,119)</f>
        <v>0.81</v>
      </c>
      <c r="N15" s="50">
        <f>VLOOKUP($A15,'Data shares'!$C:$FB,121)*100</f>
        <v>37.04</v>
      </c>
      <c r="O15" s="50">
        <f>VLOOKUP($A15,'Data shares'!$C:$FB,124)</f>
        <v>0.67</v>
      </c>
      <c r="P15" s="50">
        <f>VLOOKUP($A15,'Data shares'!$C:$FB,125)</f>
        <v>0.47</v>
      </c>
      <c r="Q15" s="50">
        <f>VLOOKUP($A15,'Data shares'!$C:$FB,127)*100</f>
        <v>42.55</v>
      </c>
    </row>
    <row r="16" spans="1:17" x14ac:dyDescent="0.25">
      <c r="A16" s="97" t="str">
        <f>'Snapshot (Value)'!A20</f>
        <v>AMBUJACEM</v>
      </c>
      <c r="B16" s="140">
        <f>VLOOKUP($A16,'Data shares'!$C:$FB,7)</f>
        <v>541.25</v>
      </c>
      <c r="C16" s="140">
        <f>VLOOKUP($A16,'Data shares'!$C:$FB,3)</f>
        <v>541.54999999999995</v>
      </c>
      <c r="D16" s="140">
        <f>VLOOKUP($A16,'Data shares'!$C:$FB,4)</f>
        <v>539.9</v>
      </c>
      <c r="E16" s="50">
        <f t="shared" si="0"/>
        <v>0.30561215039821771</v>
      </c>
      <c r="F16" s="49">
        <f>VLOOKUP($A16,'Data shares'!$C:$FB,98)</f>
        <v>72381750</v>
      </c>
      <c r="G16" s="49">
        <f>VLOOKUP($A16,'Data shares'!$C:$FB,99)</f>
        <v>72298800</v>
      </c>
      <c r="H16" s="50">
        <f t="shared" si="1"/>
        <v>0.11473219472522364</v>
      </c>
      <c r="I16" s="49">
        <f>VLOOKUP($A16,'Data shares'!$C:$FB,66)</f>
        <v>12330150</v>
      </c>
      <c r="J16" s="49">
        <f>VLOOKUP($A16,'Data shares'!$C:$FB,67)</f>
        <v>28488600</v>
      </c>
      <c r="K16" s="50">
        <f t="shared" si="2"/>
        <v>-131.04828408413522</v>
      </c>
      <c r="L16" s="50">
        <f>VLOOKUP($A16,'Data shares'!$C:$FB,118)</f>
        <v>0.75</v>
      </c>
      <c r="M16" s="50">
        <f>VLOOKUP($A16,'Data shares'!$C:$FB,119)</f>
        <v>0.75</v>
      </c>
      <c r="N16" s="50">
        <f>VLOOKUP($A16,'Data shares'!$C:$FB,121)*100</f>
        <v>0</v>
      </c>
      <c r="O16" s="50">
        <f>VLOOKUP($A16,'Data shares'!$C:$FB,124)</f>
        <v>0.39</v>
      </c>
      <c r="P16" s="50">
        <f>VLOOKUP($A16,'Data shares'!$C:$FB,125)</f>
        <v>0.65</v>
      </c>
      <c r="Q16" s="50">
        <f>VLOOKUP($A16,'Data shares'!$C:$FB,127)*100</f>
        <v>-40</v>
      </c>
    </row>
    <row r="17" spans="1:17" x14ac:dyDescent="0.25">
      <c r="A17" s="97" t="str">
        <f>'Snapshot (Value)'!A21</f>
        <v>ANGELONE</v>
      </c>
      <c r="B17" s="140">
        <f>VLOOKUP($A17,'Data shares'!$C:$FB,7)</f>
        <v>2781.1</v>
      </c>
      <c r="C17" s="140">
        <f>VLOOKUP($A17,'Data shares'!$C:$FB,3)</f>
        <v>2790.9</v>
      </c>
      <c r="D17" s="140">
        <f>VLOOKUP($A17,'Data shares'!$C:$FB,4)</f>
        <v>2792.5</v>
      </c>
      <c r="E17" s="50">
        <f t="shared" si="0"/>
        <v>-5.7296329453891105E-2</v>
      </c>
      <c r="F17" s="49">
        <f>VLOOKUP($A17,'Data shares'!$C:$FB,98)</f>
        <v>7518500</v>
      </c>
      <c r="G17" s="49">
        <f>VLOOKUP($A17,'Data shares'!$C:$FB,99)</f>
        <v>7615250</v>
      </c>
      <c r="H17" s="50">
        <f t="shared" si="1"/>
        <v>-1.2704770033813728</v>
      </c>
      <c r="I17" s="49">
        <f>VLOOKUP($A17,'Data shares'!$C:$FB,66)</f>
        <v>4593000</v>
      </c>
      <c r="J17" s="49">
        <f>VLOOKUP($A17,'Data shares'!$C:$FB,67)</f>
        <v>15202000</v>
      </c>
      <c r="K17" s="50">
        <f t="shared" si="2"/>
        <v>-230.98192902242545</v>
      </c>
      <c r="L17" s="50">
        <f>VLOOKUP($A17,'Data shares'!$C:$FB,118)</f>
        <v>0.9</v>
      </c>
      <c r="M17" s="50">
        <f>VLOOKUP($A17,'Data shares'!$C:$FB,119)</f>
        <v>0.88</v>
      </c>
      <c r="N17" s="50">
        <f>VLOOKUP($A17,'Data shares'!$C:$FB,121)*100</f>
        <v>2.27</v>
      </c>
      <c r="O17" s="50">
        <f>VLOOKUP($A17,'Data shares'!$C:$FB,124)</f>
        <v>0.57999999999999996</v>
      </c>
      <c r="P17" s="50">
        <f>VLOOKUP($A17,'Data shares'!$C:$FB,125)</f>
        <v>0.39</v>
      </c>
      <c r="Q17" s="50">
        <f>VLOOKUP($A17,'Data shares'!$C:$FB,127)*100</f>
        <v>48.72</v>
      </c>
    </row>
    <row r="18" spans="1:17" x14ac:dyDescent="0.25">
      <c r="A18" s="97" t="str">
        <f>'Snapshot (Value)'!A22</f>
        <v>APLAPOLLO</v>
      </c>
      <c r="B18" s="140">
        <f>VLOOKUP($A18,'Data shares'!$C:$FB,7)</f>
        <v>2280.8000000000002</v>
      </c>
      <c r="C18" s="140">
        <f>VLOOKUP($A18,'Data shares'!$C:$FB,3)</f>
        <v>2281.6999999999998</v>
      </c>
      <c r="D18" s="140">
        <f>VLOOKUP($A18,'Data shares'!$C:$FB,4)</f>
        <v>2239.6999999999998</v>
      </c>
      <c r="E18" s="50">
        <f t="shared" si="0"/>
        <v>1.8752511497075501</v>
      </c>
      <c r="F18" s="49">
        <f>VLOOKUP($A18,'Data shares'!$C:$FB,98)</f>
        <v>11156600</v>
      </c>
      <c r="G18" s="49">
        <f>VLOOKUP($A18,'Data shares'!$C:$FB,99)</f>
        <v>11151000</v>
      </c>
      <c r="H18" s="50">
        <f t="shared" si="1"/>
        <v>5.0219711236660386E-2</v>
      </c>
      <c r="I18" s="49">
        <f>VLOOKUP($A18,'Data shares'!$C:$FB,66)</f>
        <v>4632250</v>
      </c>
      <c r="J18" s="49">
        <f>VLOOKUP($A18,'Data shares'!$C:$FB,67)</f>
        <v>3885000</v>
      </c>
      <c r="K18" s="50">
        <f t="shared" si="2"/>
        <v>16.131469588213072</v>
      </c>
      <c r="L18" s="50">
        <f>VLOOKUP($A18,'Data shares'!$C:$FB,118)</f>
        <v>1.56</v>
      </c>
      <c r="M18" s="50">
        <f>VLOOKUP($A18,'Data shares'!$C:$FB,119)</f>
        <v>1.47</v>
      </c>
      <c r="N18" s="50">
        <f>VLOOKUP($A18,'Data shares'!$C:$FB,121)*100</f>
        <v>6.12</v>
      </c>
      <c r="O18" s="50">
        <f>VLOOKUP($A18,'Data shares'!$C:$FB,124)</f>
        <v>0.71</v>
      </c>
      <c r="P18" s="50">
        <f>VLOOKUP($A18,'Data shares'!$C:$FB,125)</f>
        <v>0.7</v>
      </c>
      <c r="Q18" s="50">
        <f>VLOOKUP($A18,'Data shares'!$C:$FB,127)*100</f>
        <v>1.43</v>
      </c>
    </row>
    <row r="19" spans="1:17" x14ac:dyDescent="0.25">
      <c r="A19" s="97" t="str">
        <f>'Snapshot (Value)'!A23</f>
        <v>APOLLOHOSP</v>
      </c>
      <c r="B19" s="140">
        <f>VLOOKUP($A19,'Data shares'!$C:$FB,7)</f>
        <v>7507</v>
      </c>
      <c r="C19" s="140">
        <f>VLOOKUP($A19,'Data shares'!$C:$FB,3)</f>
        <v>7520.5</v>
      </c>
      <c r="D19" s="140">
        <f>VLOOKUP($A19,'Data shares'!$C:$FB,4)</f>
        <v>7213.5</v>
      </c>
      <c r="E19" s="50">
        <f t="shared" si="0"/>
        <v>4.2559090594025095</v>
      </c>
      <c r="F19" s="49">
        <f>VLOOKUP($A19,'Data shares'!$C:$FB,98)</f>
        <v>7698500</v>
      </c>
      <c r="G19" s="49">
        <f>VLOOKUP($A19,'Data shares'!$C:$FB,99)</f>
        <v>6809625</v>
      </c>
      <c r="H19" s="50">
        <f t="shared" si="1"/>
        <v>13.053215118306808</v>
      </c>
      <c r="I19" s="49">
        <f>VLOOKUP($A19,'Data shares'!$C:$FB,66)</f>
        <v>31030875</v>
      </c>
      <c r="J19" s="49">
        <f>VLOOKUP($A19,'Data shares'!$C:$FB,67)</f>
        <v>6563875</v>
      </c>
      <c r="K19" s="50">
        <f t="shared" si="2"/>
        <v>78.847277107074802</v>
      </c>
      <c r="L19" s="50">
        <f>VLOOKUP($A19,'Data shares'!$C:$FB,118)</f>
        <v>0.75</v>
      </c>
      <c r="M19" s="50">
        <f>VLOOKUP($A19,'Data shares'!$C:$FB,119)</f>
        <v>0.69</v>
      </c>
      <c r="N19" s="50">
        <f>VLOOKUP($A19,'Data shares'!$C:$FB,121)*100</f>
        <v>8.6999999999999993</v>
      </c>
      <c r="O19" s="50">
        <f>VLOOKUP($A19,'Data shares'!$C:$FB,124)</f>
        <v>0.42</v>
      </c>
      <c r="P19" s="50">
        <f>VLOOKUP($A19,'Data shares'!$C:$FB,125)</f>
        <v>0.38</v>
      </c>
      <c r="Q19" s="50">
        <f>VLOOKUP($A19,'Data shares'!$C:$FB,127)*100</f>
        <v>10.530000000000001</v>
      </c>
    </row>
    <row r="20" spans="1:17" x14ac:dyDescent="0.25">
      <c r="A20" s="97" t="str">
        <f>'Snapshot (Value)'!A24</f>
        <v>ASHOKLEY</v>
      </c>
      <c r="B20" s="140">
        <f>VLOOKUP($A20,'Data shares'!$C:$FB,7)</f>
        <v>206.35</v>
      </c>
      <c r="C20" s="140">
        <f>VLOOKUP($A20,'Data shares'!$C:$FB,3)</f>
        <v>206.25</v>
      </c>
      <c r="D20" s="140">
        <f>VLOOKUP($A20,'Data shares'!$C:$FB,4)</f>
        <v>208.47</v>
      </c>
      <c r="E20" s="50">
        <f t="shared" si="0"/>
        <v>-1.0649014246654189</v>
      </c>
      <c r="F20" s="49">
        <f>VLOOKUP($A20,'Data shares'!$C:$FB,98)</f>
        <v>325710000</v>
      </c>
      <c r="G20" s="49">
        <f>VLOOKUP($A20,'Data shares'!$C:$FB,99)</f>
        <v>263705000</v>
      </c>
      <c r="H20" s="50">
        <f t="shared" si="1"/>
        <v>23.513016438823687</v>
      </c>
      <c r="I20" s="49">
        <f>VLOOKUP($A20,'Data shares'!$C:$FB,66)</f>
        <v>1045625000</v>
      </c>
      <c r="J20" s="49">
        <f>VLOOKUP($A20,'Data shares'!$C:$FB,67)</f>
        <v>191060000</v>
      </c>
      <c r="K20" s="50">
        <f t="shared" si="2"/>
        <v>81.727674835624626</v>
      </c>
      <c r="L20" s="50">
        <f>VLOOKUP($A20,'Data shares'!$C:$FB,118)</f>
        <v>0.63</v>
      </c>
      <c r="M20" s="50">
        <f>VLOOKUP($A20,'Data shares'!$C:$FB,119)</f>
        <v>0.71</v>
      </c>
      <c r="N20" s="50">
        <f>VLOOKUP($A20,'Data shares'!$C:$FB,121)*100</f>
        <v>-11.27</v>
      </c>
      <c r="O20" s="50">
        <f>VLOOKUP($A20,'Data shares'!$C:$FB,124)</f>
        <v>0.5</v>
      </c>
      <c r="P20" s="50">
        <f>VLOOKUP($A20,'Data shares'!$C:$FB,125)</f>
        <v>0.32</v>
      </c>
      <c r="Q20" s="50">
        <f>VLOOKUP($A20,'Data shares'!$C:$FB,127)*100</f>
        <v>56.25</v>
      </c>
    </row>
    <row r="21" spans="1:17" x14ac:dyDescent="0.25">
      <c r="A21" s="97" t="str">
        <f>'Snapshot (Value)'!A25</f>
        <v>ASIANPAINT</v>
      </c>
      <c r="B21" s="140">
        <f>VLOOKUP($A21,'Data shares'!$C:$FB,7)</f>
        <v>2392.5</v>
      </c>
      <c r="C21" s="140">
        <f>VLOOKUP($A21,'Data shares'!$C:$FB,3)</f>
        <v>2401.5</v>
      </c>
      <c r="D21" s="140">
        <f>VLOOKUP($A21,'Data shares'!$C:$FB,4)</f>
        <v>2401.8000000000002</v>
      </c>
      <c r="E21" s="50">
        <f t="shared" si="0"/>
        <v>-1.2490632025988088E-2</v>
      </c>
      <c r="F21" s="49">
        <f>VLOOKUP($A21,'Data shares'!$C:$FB,98)</f>
        <v>29619750</v>
      </c>
      <c r="G21" s="49">
        <f>VLOOKUP($A21,'Data shares'!$C:$FB,99)</f>
        <v>28464500</v>
      </c>
      <c r="H21" s="50">
        <f t="shared" si="1"/>
        <v>4.0585641764302904</v>
      </c>
      <c r="I21" s="49">
        <f>VLOOKUP($A21,'Data shares'!$C:$FB,66)</f>
        <v>15679750</v>
      </c>
      <c r="J21" s="49">
        <f>VLOOKUP($A21,'Data shares'!$C:$FB,67)</f>
        <v>14781750</v>
      </c>
      <c r="K21" s="50">
        <f t="shared" si="2"/>
        <v>5.727132129019914</v>
      </c>
      <c r="L21" s="50">
        <f>VLOOKUP($A21,'Data shares'!$C:$FB,118)</f>
        <v>0.49</v>
      </c>
      <c r="M21" s="50">
        <f>VLOOKUP($A21,'Data shares'!$C:$FB,119)</f>
        <v>0.49</v>
      </c>
      <c r="N21" s="50">
        <f>VLOOKUP($A21,'Data shares'!$C:$FB,121)*100</f>
        <v>0</v>
      </c>
      <c r="O21" s="50">
        <f>VLOOKUP($A21,'Data shares'!$C:$FB,124)</f>
        <v>0.41</v>
      </c>
      <c r="P21" s="50">
        <f>VLOOKUP($A21,'Data shares'!$C:$FB,125)</f>
        <v>0.42</v>
      </c>
      <c r="Q21" s="50">
        <f>VLOOKUP($A21,'Data shares'!$C:$FB,127)*100</f>
        <v>-2.3800000000000003</v>
      </c>
    </row>
    <row r="22" spans="1:17" x14ac:dyDescent="0.25">
      <c r="A22" s="97" t="str">
        <f>'Snapshot (Value)'!A26</f>
        <v>ASTRAL</v>
      </c>
      <c r="B22" s="140">
        <f>VLOOKUP($A22,'Data shares'!$C:$FB,7)</f>
        <v>1592.1</v>
      </c>
      <c r="C22" s="140">
        <f>VLOOKUP($A22,'Data shares'!$C:$FB,3)</f>
        <v>1591.2</v>
      </c>
      <c r="D22" s="140">
        <f>VLOOKUP($A22,'Data shares'!$C:$FB,4)</f>
        <v>1537</v>
      </c>
      <c r="E22" s="50">
        <f t="shared" si="0"/>
        <v>3.5263500325309076</v>
      </c>
      <c r="F22" s="49">
        <f>VLOOKUP($A22,'Data shares'!$C:$FB,98)</f>
        <v>14519275</v>
      </c>
      <c r="G22" s="49">
        <f>VLOOKUP($A22,'Data shares'!$C:$FB,99)</f>
        <v>13858400</v>
      </c>
      <c r="H22" s="50">
        <f t="shared" si="1"/>
        <v>4.7687684003925419</v>
      </c>
      <c r="I22" s="49">
        <f>VLOOKUP($A22,'Data shares'!$C:$FB,66)</f>
        <v>26813250</v>
      </c>
      <c r="J22" s="49">
        <f>VLOOKUP($A22,'Data shares'!$C:$FB,67)</f>
        <v>19276300</v>
      </c>
      <c r="K22" s="50">
        <f t="shared" si="2"/>
        <v>28.109050562688225</v>
      </c>
      <c r="L22" s="50">
        <f>VLOOKUP($A22,'Data shares'!$C:$FB,118)</f>
        <v>0.56999999999999995</v>
      </c>
      <c r="M22" s="50">
        <f>VLOOKUP($A22,'Data shares'!$C:$FB,119)</f>
        <v>0.52</v>
      </c>
      <c r="N22" s="50">
        <f>VLOOKUP($A22,'Data shares'!$C:$FB,121)*100</f>
        <v>9.6199999999999992</v>
      </c>
      <c r="O22" s="50">
        <f>VLOOKUP($A22,'Data shares'!$C:$FB,124)</f>
        <v>0.28000000000000003</v>
      </c>
      <c r="P22" s="50">
        <f>VLOOKUP($A22,'Data shares'!$C:$FB,125)</f>
        <v>0.28000000000000003</v>
      </c>
      <c r="Q22" s="50">
        <f>VLOOKUP($A22,'Data shares'!$C:$FB,127)*100</f>
        <v>0</v>
      </c>
    </row>
    <row r="23" spans="1:17" x14ac:dyDescent="0.25">
      <c r="A23" s="97" t="str">
        <f>'Snapshot (Value)'!A27</f>
        <v>AUBANK</v>
      </c>
      <c r="B23" s="140">
        <f>VLOOKUP($A23,'Data shares'!$C:$FB,7)</f>
        <v>990.25</v>
      </c>
      <c r="C23" s="140">
        <f>VLOOKUP($A23,'Data shares'!$C:$FB,3)</f>
        <v>990.95</v>
      </c>
      <c r="D23" s="140">
        <f>VLOOKUP($A23,'Data shares'!$C:$FB,4)</f>
        <v>1001.9</v>
      </c>
      <c r="E23" s="50">
        <f t="shared" si="0"/>
        <v>-1.0929234454536312</v>
      </c>
      <c r="F23" s="49">
        <f>VLOOKUP($A23,'Data shares'!$C:$FB,98)</f>
        <v>30874000</v>
      </c>
      <c r="G23" s="49">
        <f>VLOOKUP($A23,'Data shares'!$C:$FB,99)</f>
        <v>30560000</v>
      </c>
      <c r="H23" s="50">
        <f t="shared" si="1"/>
        <v>1.0274869109947644</v>
      </c>
      <c r="I23" s="49">
        <f>VLOOKUP($A23,'Data shares'!$C:$FB,66)</f>
        <v>13742000</v>
      </c>
      <c r="J23" s="49">
        <f>VLOOKUP($A23,'Data shares'!$C:$FB,67)</f>
        <v>13741000</v>
      </c>
      <c r="K23" s="50">
        <f t="shared" si="2"/>
        <v>7.2769611410275067E-3</v>
      </c>
      <c r="L23" s="50">
        <f>VLOOKUP($A23,'Data shares'!$C:$FB,118)</f>
        <v>0.75</v>
      </c>
      <c r="M23" s="50">
        <f>VLOOKUP($A23,'Data shares'!$C:$FB,119)</f>
        <v>0.8</v>
      </c>
      <c r="N23" s="50">
        <f>VLOOKUP($A23,'Data shares'!$C:$FB,121)*100</f>
        <v>-6.25</v>
      </c>
      <c r="O23" s="50">
        <f>VLOOKUP($A23,'Data shares'!$C:$FB,124)</f>
        <v>0.51</v>
      </c>
      <c r="P23" s="50">
        <f>VLOOKUP($A23,'Data shares'!$C:$FB,125)</f>
        <v>0.56999999999999995</v>
      </c>
      <c r="Q23" s="50">
        <f>VLOOKUP($A23,'Data shares'!$C:$FB,127)*100</f>
        <v>-10.530000000000001</v>
      </c>
    </row>
    <row r="24" spans="1:17" x14ac:dyDescent="0.25">
      <c r="A24" s="97" t="str">
        <f>'Snapshot (Value)'!A28</f>
        <v>AUROPHARMA</v>
      </c>
      <c r="B24" s="140">
        <f>VLOOKUP($A24,'Data shares'!$C:$FB,7)</f>
        <v>1146.5999999999999</v>
      </c>
      <c r="C24" s="140">
        <f>VLOOKUP($A24,'Data shares'!$C:$FB,3)</f>
        <v>1149.7</v>
      </c>
      <c r="D24" s="140">
        <f>VLOOKUP($A24,'Data shares'!$C:$FB,4)</f>
        <v>1126.5999999999999</v>
      </c>
      <c r="E24" s="50">
        <f t="shared" si="0"/>
        <v>2.0504171844487962</v>
      </c>
      <c r="F24" s="49">
        <f>VLOOKUP($A24,'Data shares'!$C:$FB,98)</f>
        <v>38993900</v>
      </c>
      <c r="G24" s="49">
        <f>VLOOKUP($A24,'Data shares'!$C:$FB,99)</f>
        <v>39296950</v>
      </c>
      <c r="H24" s="50">
        <f t="shared" si="1"/>
        <v>-0.77117944267939376</v>
      </c>
      <c r="I24" s="49">
        <f>VLOOKUP($A24,'Data shares'!$C:$FB,66)</f>
        <v>63129000</v>
      </c>
      <c r="J24" s="49">
        <f>VLOOKUP($A24,'Data shares'!$C:$FB,67)</f>
        <v>115479650</v>
      </c>
      <c r="K24" s="50">
        <f t="shared" si="2"/>
        <v>-82.926468025788466</v>
      </c>
      <c r="L24" s="50">
        <f>VLOOKUP($A24,'Data shares'!$C:$FB,118)</f>
        <v>0.64</v>
      </c>
      <c r="M24" s="50">
        <f>VLOOKUP($A24,'Data shares'!$C:$FB,119)</f>
        <v>0.55000000000000004</v>
      </c>
      <c r="N24" s="50">
        <f>VLOOKUP($A24,'Data shares'!$C:$FB,121)*100</f>
        <v>16.36</v>
      </c>
      <c r="O24" s="50">
        <f>VLOOKUP($A24,'Data shares'!$C:$FB,124)</f>
        <v>0.49</v>
      </c>
      <c r="P24" s="50">
        <f>VLOOKUP($A24,'Data shares'!$C:$FB,125)</f>
        <v>0.75</v>
      </c>
      <c r="Q24" s="50">
        <f>VLOOKUP($A24,'Data shares'!$C:$FB,127)*100</f>
        <v>-34.67</v>
      </c>
    </row>
    <row r="25" spans="1:17" x14ac:dyDescent="0.25">
      <c r="A25" s="97" t="str">
        <f>'Snapshot (Value)'!A29</f>
        <v>AXISBANK</v>
      </c>
      <c r="B25" s="140">
        <f>VLOOKUP($A25,'Data shares'!$C:$FB,7)</f>
        <v>1347.3</v>
      </c>
      <c r="C25" s="140">
        <f>VLOOKUP($A25,'Data shares'!$C:$FB,3)</f>
        <v>1348</v>
      </c>
      <c r="D25" s="140">
        <f>VLOOKUP($A25,'Data shares'!$C:$FB,4)</f>
        <v>1357.2</v>
      </c>
      <c r="E25" s="50">
        <f t="shared" si="0"/>
        <v>-0.67786619510757773</v>
      </c>
      <c r="F25" s="49">
        <f>VLOOKUP($A25,'Data shares'!$C:$FB,98)</f>
        <v>110110000</v>
      </c>
      <c r="G25" s="49">
        <f>VLOOKUP($A25,'Data shares'!$C:$FB,99)</f>
        <v>110224375</v>
      </c>
      <c r="H25" s="50">
        <f t="shared" si="1"/>
        <v>-0.10376561445687491</v>
      </c>
      <c r="I25" s="49">
        <f>VLOOKUP($A25,'Data shares'!$C:$FB,66)</f>
        <v>35283750</v>
      </c>
      <c r="J25" s="49">
        <f>VLOOKUP($A25,'Data shares'!$C:$FB,67)</f>
        <v>58873125</v>
      </c>
      <c r="K25" s="50">
        <f t="shared" si="2"/>
        <v>-66.856201509193326</v>
      </c>
      <c r="L25" s="50">
        <f>VLOOKUP($A25,'Data shares'!$C:$FB,118)</f>
        <v>0.5</v>
      </c>
      <c r="M25" s="50">
        <f>VLOOKUP($A25,'Data shares'!$C:$FB,119)</f>
        <v>0.53</v>
      </c>
      <c r="N25" s="50">
        <f>VLOOKUP($A25,'Data shares'!$C:$FB,121)*100</f>
        <v>-5.66</v>
      </c>
      <c r="O25" s="50">
        <f>VLOOKUP($A25,'Data shares'!$C:$FB,124)</f>
        <v>0.73</v>
      </c>
      <c r="P25" s="50">
        <f>VLOOKUP($A25,'Data shares'!$C:$FB,125)</f>
        <v>0.53</v>
      </c>
      <c r="Q25" s="50">
        <f>VLOOKUP($A25,'Data shares'!$C:$FB,127)*100</f>
        <v>37.74</v>
      </c>
    </row>
    <row r="26" spans="1:17" x14ac:dyDescent="0.25">
      <c r="A26" s="97" t="str">
        <f>'Snapshot (Value)'!A30</f>
        <v>BAJAJ-AUTO</v>
      </c>
      <c r="B26" s="140">
        <f>VLOOKUP($A26,'Data shares'!$C:$FB,7)</f>
        <v>9869.5</v>
      </c>
      <c r="C26" s="140">
        <f>VLOOKUP($A26,'Data shares'!$C:$FB,3)</f>
        <v>9869.5</v>
      </c>
      <c r="D26" s="140">
        <f>VLOOKUP($A26,'Data shares'!$C:$FB,4)</f>
        <v>9805</v>
      </c>
      <c r="E26" s="50">
        <f t="shared" si="0"/>
        <v>0.65782763895971441</v>
      </c>
      <c r="F26" s="49">
        <f>VLOOKUP($A26,'Data shares'!$C:$FB,98)</f>
        <v>5519175</v>
      </c>
      <c r="G26" s="49">
        <f>VLOOKUP($A26,'Data shares'!$C:$FB,99)</f>
        <v>5380650</v>
      </c>
      <c r="H26" s="50">
        <f t="shared" si="1"/>
        <v>2.5745030804828413</v>
      </c>
      <c r="I26" s="49">
        <f>VLOOKUP($A26,'Data shares'!$C:$FB,66)</f>
        <v>5184900</v>
      </c>
      <c r="J26" s="49">
        <f>VLOOKUP($A26,'Data shares'!$C:$FB,67)</f>
        <v>8900700</v>
      </c>
      <c r="K26" s="50">
        <f t="shared" si="2"/>
        <v>-71.665798761789048</v>
      </c>
      <c r="L26" s="50">
        <f>VLOOKUP($A26,'Data shares'!$C:$FB,118)</f>
        <v>0.7</v>
      </c>
      <c r="M26" s="50">
        <f>VLOOKUP($A26,'Data shares'!$C:$FB,119)</f>
        <v>0.68</v>
      </c>
      <c r="N26" s="50">
        <f>VLOOKUP($A26,'Data shares'!$C:$FB,121)*100</f>
        <v>2.94</v>
      </c>
      <c r="O26" s="50">
        <f>VLOOKUP($A26,'Data shares'!$C:$FB,124)</f>
        <v>0.4</v>
      </c>
      <c r="P26" s="50">
        <f>VLOOKUP($A26,'Data shares'!$C:$FB,125)</f>
        <v>0.35</v>
      </c>
      <c r="Q26" s="50">
        <f>VLOOKUP($A26,'Data shares'!$C:$FB,127)*100</f>
        <v>14.29</v>
      </c>
    </row>
    <row r="27" spans="1:17" x14ac:dyDescent="0.25">
      <c r="A27" s="97" t="str">
        <f>'Snapshot (Value)'!A31</f>
        <v>BAJAJFINSV</v>
      </c>
      <c r="B27" s="140">
        <f>VLOOKUP($A27,'Data shares'!$C:$FB,7)</f>
        <v>2027</v>
      </c>
      <c r="C27" s="140">
        <f>VLOOKUP($A27,'Data shares'!$C:$FB,3)</f>
        <v>2028.5</v>
      </c>
      <c r="D27" s="140">
        <f>VLOOKUP($A27,'Data shares'!$C:$FB,4)</f>
        <v>2029.4</v>
      </c>
      <c r="E27" s="50">
        <f t="shared" si="0"/>
        <v>-4.4348083177298263E-2</v>
      </c>
      <c r="F27" s="49">
        <f>VLOOKUP($A27,'Data shares'!$C:$FB,98)</f>
        <v>22548250</v>
      </c>
      <c r="G27" s="49">
        <f>VLOOKUP($A27,'Data shares'!$C:$FB,99)</f>
        <v>22591750</v>
      </c>
      <c r="H27" s="50">
        <f t="shared" si="1"/>
        <v>-0.19254816470614275</v>
      </c>
      <c r="I27" s="49">
        <f>VLOOKUP($A27,'Data shares'!$C:$FB,66)</f>
        <v>11158250</v>
      </c>
      <c r="J27" s="49">
        <f>VLOOKUP($A27,'Data shares'!$C:$FB,67)</f>
        <v>7134250</v>
      </c>
      <c r="K27" s="50">
        <f t="shared" si="2"/>
        <v>36.063002710998589</v>
      </c>
      <c r="L27" s="50">
        <f>VLOOKUP($A27,'Data shares'!$C:$FB,118)</f>
        <v>0.66</v>
      </c>
      <c r="M27" s="50">
        <f>VLOOKUP($A27,'Data shares'!$C:$FB,119)</f>
        <v>0.67</v>
      </c>
      <c r="N27" s="50">
        <f>VLOOKUP($A27,'Data shares'!$C:$FB,121)*100</f>
        <v>-1.49</v>
      </c>
      <c r="O27" s="50">
        <f>VLOOKUP($A27,'Data shares'!$C:$FB,124)</f>
        <v>0.38</v>
      </c>
      <c r="P27" s="50">
        <f>VLOOKUP($A27,'Data shares'!$C:$FB,125)</f>
        <v>0.6</v>
      </c>
      <c r="Q27" s="50">
        <f>VLOOKUP($A27,'Data shares'!$C:$FB,127)*100</f>
        <v>-36.67</v>
      </c>
    </row>
    <row r="28" spans="1:17" x14ac:dyDescent="0.25">
      <c r="A28" s="97" t="str">
        <f>'Snapshot (Value)'!A32</f>
        <v>BAJAJHLDNG</v>
      </c>
      <c r="B28" s="140">
        <f>VLOOKUP($A28,'Data shares'!$C:$FB,7)</f>
        <v>11111</v>
      </c>
      <c r="C28" s="140">
        <f>VLOOKUP($A28,'Data shares'!$C:$FB,3)</f>
        <v>11120</v>
      </c>
      <c r="D28" s="140">
        <f>VLOOKUP($A28,'Data shares'!$C:$FB,4)</f>
        <v>11118</v>
      </c>
      <c r="E28" s="50">
        <f t="shared" si="0"/>
        <v>1.7988846914912753E-2</v>
      </c>
      <c r="F28" s="49">
        <f>VLOOKUP($A28,'Data shares'!$C:$FB,98)</f>
        <v>438250</v>
      </c>
      <c r="G28" s="49">
        <f>VLOOKUP($A28,'Data shares'!$C:$FB,99)</f>
        <v>438650</v>
      </c>
      <c r="H28" s="50">
        <f t="shared" si="1"/>
        <v>-9.1188874957255223E-2</v>
      </c>
      <c r="I28" s="49">
        <f>VLOOKUP($A28,'Data shares'!$C:$FB,66)</f>
        <v>155650</v>
      </c>
      <c r="J28" s="49">
        <f>VLOOKUP($A28,'Data shares'!$C:$FB,67)</f>
        <v>163650</v>
      </c>
      <c r="K28" s="50">
        <f t="shared" si="2"/>
        <v>-5.1397365884998392</v>
      </c>
      <c r="L28" s="50">
        <f>VLOOKUP($A28,'Data shares'!$C:$FB,118)</f>
        <v>0.39</v>
      </c>
      <c r="M28" s="50">
        <f>VLOOKUP($A28,'Data shares'!$C:$FB,119)</f>
        <v>0.39</v>
      </c>
      <c r="N28" s="50">
        <f>VLOOKUP($A28,'Data shares'!$C:$FB,121)*100</f>
        <v>0</v>
      </c>
      <c r="O28" s="50">
        <f>VLOOKUP($A28,'Data shares'!$C:$FB,124)</f>
        <v>7.0000000000000007E-2</v>
      </c>
      <c r="P28" s="50">
        <f>VLOOKUP($A28,'Data shares'!$C:$FB,125)</f>
        <v>0.09</v>
      </c>
      <c r="Q28" s="50">
        <f>VLOOKUP($A28,'Data shares'!$C:$FB,127)*100</f>
        <v>-22.220000000000002</v>
      </c>
    </row>
    <row r="29" spans="1:17" x14ac:dyDescent="0.25">
      <c r="A29" s="97" t="str">
        <f>'Snapshot (Value)'!A33</f>
        <v>BAJFINANCE</v>
      </c>
      <c r="B29" s="140">
        <f>VLOOKUP($A29,'Data shares'!$C:$FB,7)</f>
        <v>968.95</v>
      </c>
      <c r="C29" s="140">
        <f>VLOOKUP($A29,'Data shares'!$C:$FB,3)</f>
        <v>969.35</v>
      </c>
      <c r="D29" s="140">
        <f>VLOOKUP($A29,'Data shares'!$C:$FB,4)</f>
        <v>968.5</v>
      </c>
      <c r="E29" s="50">
        <f t="shared" si="0"/>
        <v>8.776458440888206E-2</v>
      </c>
      <c r="F29" s="49">
        <f>VLOOKUP($A29,'Data shares'!$C:$FB,98)</f>
        <v>123766500</v>
      </c>
      <c r="G29" s="49">
        <f>VLOOKUP($A29,'Data shares'!$C:$FB,99)</f>
        <v>125115000</v>
      </c>
      <c r="H29" s="50">
        <f t="shared" si="1"/>
        <v>-1.0778084162570434</v>
      </c>
      <c r="I29" s="49">
        <f>VLOOKUP($A29,'Data shares'!$C:$FB,66)</f>
        <v>37087500</v>
      </c>
      <c r="J29" s="49">
        <f>VLOOKUP($A29,'Data shares'!$C:$FB,67)</f>
        <v>43986000</v>
      </c>
      <c r="K29" s="50">
        <f t="shared" si="2"/>
        <v>-18.600606673407484</v>
      </c>
      <c r="L29" s="50">
        <f>VLOOKUP($A29,'Data shares'!$C:$FB,118)</f>
        <v>0.95</v>
      </c>
      <c r="M29" s="50">
        <f>VLOOKUP($A29,'Data shares'!$C:$FB,119)</f>
        <v>0.97</v>
      </c>
      <c r="N29" s="50">
        <f>VLOOKUP($A29,'Data shares'!$C:$FB,121)*100</f>
        <v>-2.06</v>
      </c>
      <c r="O29" s="50">
        <f>VLOOKUP($A29,'Data shares'!$C:$FB,124)</f>
        <v>0.59</v>
      </c>
      <c r="P29" s="50">
        <f>VLOOKUP($A29,'Data shares'!$C:$FB,125)</f>
        <v>0.69</v>
      </c>
      <c r="Q29" s="50">
        <f>VLOOKUP($A29,'Data shares'!$C:$FB,127)*100</f>
        <v>-14.49</v>
      </c>
    </row>
    <row r="30" spans="1:17" x14ac:dyDescent="0.25">
      <c r="A30" s="97" t="str">
        <f>'Snapshot (Value)'!A34</f>
        <v>BANDHANBNK</v>
      </c>
      <c r="B30" s="176">
        <f>VLOOKUP($A30,'Data shares'!$C:$FB,7)</f>
        <v>168.26</v>
      </c>
      <c r="C30" s="176">
        <f>VLOOKUP($A30,'Data shares'!$C:$FB,3)</f>
        <v>168.28</v>
      </c>
      <c r="D30" s="176">
        <f>VLOOKUP($A30,'Data shares'!$C:$FB,4)</f>
        <v>166.67</v>
      </c>
      <c r="E30" s="50">
        <f t="shared" si="0"/>
        <v>0.9659806803864005</v>
      </c>
      <c r="F30" s="49">
        <f>VLOOKUP($A30,'Data shares'!$C:$FB,98)</f>
        <v>147517200</v>
      </c>
      <c r="G30" s="49">
        <f>VLOOKUP($A30,'Data shares'!$C:$FB,99)</f>
        <v>149472000</v>
      </c>
      <c r="H30" s="50">
        <f t="shared" si="1"/>
        <v>-1.3078034682080926</v>
      </c>
      <c r="I30" s="49">
        <f>VLOOKUP($A30,'Data shares'!$C:$FB,66)</f>
        <v>72172800</v>
      </c>
      <c r="J30" s="49">
        <f>VLOOKUP($A30,'Data shares'!$C:$FB,67)</f>
        <v>100224000</v>
      </c>
      <c r="K30" s="50">
        <f t="shared" si="2"/>
        <v>-38.866719872306469</v>
      </c>
      <c r="L30" s="50">
        <f>VLOOKUP($A30,'Data shares'!$C:$FB,118)</f>
        <v>0.9</v>
      </c>
      <c r="M30" s="50">
        <f>VLOOKUP($A30,'Data shares'!$C:$FB,119)</f>
        <v>0.86</v>
      </c>
      <c r="N30" s="50">
        <f>VLOOKUP($A30,'Data shares'!$C:$FB,121)*100</f>
        <v>4.6500000000000004</v>
      </c>
      <c r="O30" s="50">
        <f>VLOOKUP($A30,'Data shares'!$C:$FB,124)</f>
        <v>0.63</v>
      </c>
      <c r="P30" s="50">
        <f>VLOOKUP($A30,'Data shares'!$C:$FB,125)</f>
        <v>0.41</v>
      </c>
      <c r="Q30" s="50">
        <f>VLOOKUP($A30,'Data shares'!$C:$FB,127)*100</f>
        <v>53.66</v>
      </c>
    </row>
    <row r="31" spans="1:17" x14ac:dyDescent="0.25">
      <c r="A31" s="97" t="str">
        <f>'Snapshot (Value)'!A35</f>
        <v>BANKBARODA</v>
      </c>
      <c r="B31" s="140">
        <f>VLOOKUP($A31,'Data shares'!$C:$FB,7)</f>
        <v>291.2</v>
      </c>
      <c r="C31" s="140">
        <f>VLOOKUP($A31,'Data shares'!$C:$FB,3)</f>
        <v>291.39999999999998</v>
      </c>
      <c r="D31" s="140">
        <f>VLOOKUP($A31,'Data shares'!$C:$FB,4)</f>
        <v>291.3</v>
      </c>
      <c r="E31" s="50">
        <f t="shared" si="0"/>
        <v>3.4328870580146206E-2</v>
      </c>
      <c r="F31" s="49">
        <f>VLOOKUP($A31,'Data shares'!$C:$FB,98)</f>
        <v>184181400</v>
      </c>
      <c r="G31" s="49">
        <f>VLOOKUP($A31,'Data shares'!$C:$FB,99)</f>
        <v>181475775</v>
      </c>
      <c r="H31" s="50">
        <f t="shared" si="1"/>
        <v>1.490901471560047</v>
      </c>
      <c r="I31" s="49">
        <f>VLOOKUP($A31,'Data shares'!$C:$FB,66)</f>
        <v>101003175</v>
      </c>
      <c r="J31" s="49">
        <f>VLOOKUP($A31,'Data shares'!$C:$FB,67)</f>
        <v>49397400</v>
      </c>
      <c r="K31" s="50">
        <f t="shared" si="2"/>
        <v>51.093220584402424</v>
      </c>
      <c r="L31" s="50">
        <f>VLOOKUP($A31,'Data shares'!$C:$FB,118)</f>
        <v>0.63</v>
      </c>
      <c r="M31" s="50">
        <f>VLOOKUP($A31,'Data shares'!$C:$FB,119)</f>
        <v>0.64</v>
      </c>
      <c r="N31" s="50">
        <f>VLOOKUP($A31,'Data shares'!$C:$FB,121)*100</f>
        <v>-1.5599999999999998</v>
      </c>
      <c r="O31" s="50">
        <f>VLOOKUP($A31,'Data shares'!$C:$FB,124)</f>
        <v>0.37</v>
      </c>
      <c r="P31" s="50">
        <f>VLOOKUP($A31,'Data shares'!$C:$FB,125)</f>
        <v>0.49</v>
      </c>
      <c r="Q31" s="50">
        <f>VLOOKUP($A31,'Data shares'!$C:$FB,127)*100</f>
        <v>-24.490000000000002</v>
      </c>
    </row>
    <row r="32" spans="1:17" x14ac:dyDescent="0.25">
      <c r="A32" s="97" t="str">
        <f>'Snapshot (Value)'!A36</f>
        <v>BANKINDIA</v>
      </c>
      <c r="B32" s="140">
        <f>VLOOKUP($A32,'Data shares'!$C:$FB,7)</f>
        <v>167.13</v>
      </c>
      <c r="C32" s="140">
        <f>VLOOKUP($A32,'Data shares'!$C:$FB,3)</f>
        <v>167.57</v>
      </c>
      <c r="D32" s="140">
        <f>VLOOKUP($A32,'Data shares'!$C:$FB,4)</f>
        <v>167.72</v>
      </c>
      <c r="E32" s="50">
        <f t="shared" si="0"/>
        <v>-8.943477223945008E-2</v>
      </c>
      <c r="F32" s="49">
        <f>VLOOKUP($A32,'Data shares'!$C:$FB,98)</f>
        <v>92762800</v>
      </c>
      <c r="G32" s="49">
        <f>VLOOKUP($A32,'Data shares'!$C:$FB,99)</f>
        <v>93392000</v>
      </c>
      <c r="H32" s="50">
        <f t="shared" si="1"/>
        <v>-0.67371937639198221</v>
      </c>
      <c r="I32" s="49">
        <f>VLOOKUP($A32,'Data shares'!$C:$FB,66)</f>
        <v>51443600</v>
      </c>
      <c r="J32" s="49">
        <f>VLOOKUP($A32,'Data shares'!$C:$FB,67)</f>
        <v>34704800</v>
      </c>
      <c r="K32" s="50">
        <f t="shared" si="2"/>
        <v>32.538158293743052</v>
      </c>
      <c r="L32" s="50">
        <f>VLOOKUP($A32,'Data shares'!$C:$FB,118)</f>
        <v>0.73</v>
      </c>
      <c r="M32" s="50">
        <f>VLOOKUP($A32,'Data shares'!$C:$FB,119)</f>
        <v>0.72</v>
      </c>
      <c r="N32" s="50">
        <f>VLOOKUP($A32,'Data shares'!$C:$FB,121)*100</f>
        <v>1.39</v>
      </c>
      <c r="O32" s="50">
        <f>VLOOKUP($A32,'Data shares'!$C:$FB,124)</f>
        <v>0.54</v>
      </c>
      <c r="P32" s="50">
        <f>VLOOKUP($A32,'Data shares'!$C:$FB,125)</f>
        <v>0.59</v>
      </c>
      <c r="Q32" s="50">
        <f>VLOOKUP($A32,'Data shares'!$C:$FB,127)*100</f>
        <v>-8.4699999999999989</v>
      </c>
    </row>
    <row r="33" spans="1:17" x14ac:dyDescent="0.25">
      <c r="A33" s="97" t="str">
        <f>'Snapshot (Value)'!A37</f>
        <v>BANKNIFTY</v>
      </c>
      <c r="B33" s="140">
        <f>VLOOKUP($A33,'Data shares'!$C:$FB,7)</f>
        <v>60745.35</v>
      </c>
      <c r="C33" s="140">
        <f>VLOOKUP($A33,'Data shares'!$C:$FB,3)</f>
        <v>60809</v>
      </c>
      <c r="D33" s="140">
        <f>VLOOKUP($A33,'Data shares'!$C:$FB,4)</f>
        <v>60704</v>
      </c>
      <c r="E33" s="50">
        <f t="shared" si="0"/>
        <v>0.17297047970479704</v>
      </c>
      <c r="F33" s="49">
        <f>VLOOKUP($A33,'Data shares'!$C:$FB,98)</f>
        <v>33713915</v>
      </c>
      <c r="G33" s="49">
        <f>VLOOKUP($A33,'Data shares'!$C:$FB,99)</f>
        <v>31587505</v>
      </c>
      <c r="H33" s="50">
        <f t="shared" si="1"/>
        <v>6.7318074029588599</v>
      </c>
      <c r="I33" s="49">
        <f>VLOOKUP($A33,'Data shares'!$C:$FB,66)</f>
        <v>69202260</v>
      </c>
      <c r="J33" s="49">
        <f>VLOOKUP($A33,'Data shares'!$C:$FB,67)</f>
        <v>55623150</v>
      </c>
      <c r="K33" s="50">
        <f t="shared" si="2"/>
        <v>19.622350483929281</v>
      </c>
      <c r="L33" s="50">
        <f>VLOOKUP($A33,'Data shares'!$C:$FB,118)</f>
        <v>1.17</v>
      </c>
      <c r="M33" s="50">
        <f>VLOOKUP($A33,'Data shares'!$C:$FB,119)</f>
        <v>1.05</v>
      </c>
      <c r="N33" s="50">
        <f>VLOOKUP($A33,'Data shares'!$C:$FB,121)*100</f>
        <v>11.43</v>
      </c>
      <c r="O33" s="50">
        <f>VLOOKUP($A33,'Data shares'!$C:$FB,124)</f>
        <v>1.1000000000000001</v>
      </c>
      <c r="P33" s="50">
        <f>VLOOKUP($A33,'Data shares'!$C:$FB,125)</f>
        <v>0.98</v>
      </c>
      <c r="Q33" s="50">
        <f>VLOOKUP($A33,'Data shares'!$C:$FB,127)*100</f>
        <v>12.24</v>
      </c>
    </row>
    <row r="34" spans="1:17" x14ac:dyDescent="0.25">
      <c r="A34" s="97" t="str">
        <f>'Snapshot (Value)'!A38</f>
        <v>BDL</v>
      </c>
      <c r="B34" s="140">
        <f>VLOOKUP($A34,'Data shares'!$C:$FB,7)</f>
        <v>1282.5999999999999</v>
      </c>
      <c r="C34" s="140">
        <f>VLOOKUP($A34,'Data shares'!$C:$FB,3)</f>
        <v>1285.7</v>
      </c>
      <c r="D34" s="140">
        <f>VLOOKUP($A34,'Data shares'!$C:$FB,4)</f>
        <v>1291.5</v>
      </c>
      <c r="E34" s="50">
        <f t="shared" si="0"/>
        <v>-0.4490902051877626</v>
      </c>
      <c r="F34" s="49">
        <f>VLOOKUP($A34,'Data shares'!$C:$FB,98)</f>
        <v>22506750</v>
      </c>
      <c r="G34" s="49">
        <f>VLOOKUP($A34,'Data shares'!$C:$FB,99)</f>
        <v>22599850</v>
      </c>
      <c r="H34" s="50">
        <f t="shared" si="1"/>
        <v>-0.41194963683387276</v>
      </c>
      <c r="I34" s="49">
        <f>VLOOKUP($A34,'Data shares'!$C:$FB,66)</f>
        <v>10279500</v>
      </c>
      <c r="J34" s="49">
        <f>VLOOKUP($A34,'Data shares'!$C:$FB,67)</f>
        <v>10994900</v>
      </c>
      <c r="K34" s="50">
        <f t="shared" si="2"/>
        <v>-6.959482465100443</v>
      </c>
      <c r="L34" s="50">
        <f>VLOOKUP($A34,'Data shares'!$C:$FB,118)</f>
        <v>0.36</v>
      </c>
      <c r="M34" s="50">
        <f>VLOOKUP($A34,'Data shares'!$C:$FB,119)</f>
        <v>0.36</v>
      </c>
      <c r="N34" s="50">
        <f>VLOOKUP($A34,'Data shares'!$C:$FB,121)*100</f>
        <v>0</v>
      </c>
      <c r="O34" s="50">
        <f>VLOOKUP($A34,'Data shares'!$C:$FB,124)</f>
        <v>0.22</v>
      </c>
      <c r="P34" s="50">
        <f>VLOOKUP($A34,'Data shares'!$C:$FB,125)</f>
        <v>0.26</v>
      </c>
      <c r="Q34" s="50">
        <f>VLOOKUP($A34,'Data shares'!$C:$FB,127)*100</f>
        <v>-15.379999999999999</v>
      </c>
    </row>
    <row r="35" spans="1:17" x14ac:dyDescent="0.25">
      <c r="A35" s="97" t="str">
        <f>'Snapshot (Value)'!A39</f>
        <v>BEL</v>
      </c>
      <c r="B35" s="140">
        <f>VLOOKUP($A35,'Data shares'!$C:$FB,7)</f>
        <v>437.55</v>
      </c>
      <c r="C35" s="140">
        <f>VLOOKUP($A35,'Data shares'!$C:$FB,3)</f>
        <v>437.7</v>
      </c>
      <c r="D35" s="140">
        <f>VLOOKUP($A35,'Data shares'!$C:$FB,4)</f>
        <v>437.45</v>
      </c>
      <c r="E35" s="50">
        <f t="shared" si="0"/>
        <v>5.7149388501543039E-2</v>
      </c>
      <c r="F35" s="49">
        <f>VLOOKUP($A35,'Data shares'!$C:$FB,98)</f>
        <v>259092075</v>
      </c>
      <c r="G35" s="49">
        <f>VLOOKUP($A35,'Data shares'!$C:$FB,99)</f>
        <v>263291550</v>
      </c>
      <c r="H35" s="50">
        <f t="shared" si="1"/>
        <v>-1.5949904203154261</v>
      </c>
      <c r="I35" s="49">
        <f>VLOOKUP($A35,'Data shares'!$C:$FB,66)</f>
        <v>83204325</v>
      </c>
      <c r="J35" s="49">
        <f>VLOOKUP($A35,'Data shares'!$C:$FB,67)</f>
        <v>119338050</v>
      </c>
      <c r="K35" s="50">
        <f t="shared" si="2"/>
        <v>-43.427700423024888</v>
      </c>
      <c r="L35" s="50">
        <f>VLOOKUP($A35,'Data shares'!$C:$FB,118)</f>
        <v>0.42</v>
      </c>
      <c r="M35" s="50">
        <f>VLOOKUP($A35,'Data shares'!$C:$FB,119)</f>
        <v>0.42</v>
      </c>
      <c r="N35" s="50">
        <f>VLOOKUP($A35,'Data shares'!$C:$FB,121)*100</f>
        <v>0</v>
      </c>
      <c r="O35" s="50">
        <f>VLOOKUP($A35,'Data shares'!$C:$FB,124)</f>
        <v>0.33</v>
      </c>
      <c r="P35" s="50">
        <f>VLOOKUP($A35,'Data shares'!$C:$FB,125)</f>
        <v>0.36</v>
      </c>
      <c r="Q35" s="50">
        <f>VLOOKUP($A35,'Data shares'!$C:$FB,127)*100</f>
        <v>-8.33</v>
      </c>
    </row>
    <row r="36" spans="1:17" x14ac:dyDescent="0.25">
      <c r="A36" s="97" t="str">
        <f>'Snapshot (Value)'!A40</f>
        <v>BHARATFORG</v>
      </c>
      <c r="B36" s="140">
        <f>VLOOKUP($A36,'Data shares'!$C:$FB,7)</f>
        <v>1676.4</v>
      </c>
      <c r="C36" s="140">
        <f>VLOOKUP($A36,'Data shares'!$C:$FB,3)</f>
        <v>1678.4</v>
      </c>
      <c r="D36" s="140">
        <f>VLOOKUP($A36,'Data shares'!$C:$FB,4)</f>
        <v>1617.4</v>
      </c>
      <c r="E36" s="50">
        <f t="shared" si="0"/>
        <v>3.7714850995424749</v>
      </c>
      <c r="F36" s="49">
        <f>VLOOKUP($A36,'Data shares'!$C:$FB,98)</f>
        <v>13179500</v>
      </c>
      <c r="G36" s="49">
        <f>VLOOKUP($A36,'Data shares'!$C:$FB,99)</f>
        <v>12147500</v>
      </c>
      <c r="H36" s="50">
        <f t="shared" si="1"/>
        <v>8.495575221238937</v>
      </c>
      <c r="I36" s="49">
        <f>VLOOKUP($A36,'Data shares'!$C:$FB,66)</f>
        <v>22774000</v>
      </c>
      <c r="J36" s="49">
        <f>VLOOKUP($A36,'Data shares'!$C:$FB,67)</f>
        <v>6783500</v>
      </c>
      <c r="K36" s="50">
        <f t="shared" si="2"/>
        <v>70.213840344252219</v>
      </c>
      <c r="L36" s="50">
        <f>VLOOKUP($A36,'Data shares'!$C:$FB,118)</f>
        <v>0.78</v>
      </c>
      <c r="M36" s="50">
        <f>VLOOKUP($A36,'Data shares'!$C:$FB,119)</f>
        <v>0.75</v>
      </c>
      <c r="N36" s="50">
        <f>VLOOKUP($A36,'Data shares'!$C:$FB,121)*100</f>
        <v>4</v>
      </c>
      <c r="O36" s="50">
        <f>VLOOKUP($A36,'Data shares'!$C:$FB,124)</f>
        <v>0.33</v>
      </c>
      <c r="P36" s="50">
        <f>VLOOKUP($A36,'Data shares'!$C:$FB,125)</f>
        <v>0.38</v>
      </c>
      <c r="Q36" s="50">
        <f>VLOOKUP($A36,'Data shares'!$C:$FB,127)*100</f>
        <v>-13.16</v>
      </c>
    </row>
    <row r="37" spans="1:17" x14ac:dyDescent="0.25">
      <c r="A37" s="97" t="str">
        <f>'Snapshot (Value)'!A41</f>
        <v>BHARTIARTL</v>
      </c>
      <c r="B37" s="140">
        <f>VLOOKUP($A37,'Data shares'!$C:$FB,7)</f>
        <v>2012.1</v>
      </c>
      <c r="C37" s="140">
        <f>VLOOKUP($A37,'Data shares'!$C:$FB,3)</f>
        <v>2018.1</v>
      </c>
      <c r="D37" s="140">
        <f>VLOOKUP($A37,'Data shares'!$C:$FB,4)</f>
        <v>2016.9</v>
      </c>
      <c r="E37" s="50">
        <f t="shared" si="0"/>
        <v>5.9497248252259313E-2</v>
      </c>
      <c r="F37" s="49">
        <f>VLOOKUP($A37,'Data shares'!$C:$FB,98)</f>
        <v>76190950</v>
      </c>
      <c r="G37" s="49">
        <f>VLOOKUP($A37,'Data shares'!$C:$FB,99)</f>
        <v>74646725</v>
      </c>
      <c r="H37" s="50">
        <f t="shared" si="1"/>
        <v>2.0687109849762333</v>
      </c>
      <c r="I37" s="49">
        <f>VLOOKUP($A37,'Data shares'!$C:$FB,66)</f>
        <v>39387950</v>
      </c>
      <c r="J37" s="49">
        <f>VLOOKUP($A37,'Data shares'!$C:$FB,67)</f>
        <v>39064475</v>
      </c>
      <c r="K37" s="50">
        <f t="shared" si="2"/>
        <v>0.82125370830418953</v>
      </c>
      <c r="L37" s="50">
        <f>VLOOKUP($A37,'Data shares'!$C:$FB,118)</f>
        <v>0.5</v>
      </c>
      <c r="M37" s="50">
        <f>VLOOKUP($A37,'Data shares'!$C:$FB,119)</f>
        <v>0.51</v>
      </c>
      <c r="N37" s="50">
        <f>VLOOKUP($A37,'Data shares'!$C:$FB,121)*100</f>
        <v>-1.96</v>
      </c>
      <c r="O37" s="50">
        <f>VLOOKUP($A37,'Data shares'!$C:$FB,124)</f>
        <v>0.56999999999999995</v>
      </c>
      <c r="P37" s="50">
        <f>VLOOKUP($A37,'Data shares'!$C:$FB,125)</f>
        <v>0.72</v>
      </c>
      <c r="Q37" s="50">
        <f>VLOOKUP($A37,'Data shares'!$C:$FB,127)*100</f>
        <v>-20.830000000000002</v>
      </c>
    </row>
    <row r="38" spans="1:17" x14ac:dyDescent="0.25">
      <c r="A38" s="97" t="str">
        <f>'Snapshot (Value)'!A42</f>
        <v>BHEL</v>
      </c>
      <c r="B38" s="140">
        <f>VLOOKUP($A38,'Data shares'!$C:$FB,7)</f>
        <v>260.64999999999998</v>
      </c>
      <c r="C38" s="140">
        <f>VLOOKUP($A38,'Data shares'!$C:$FB,3)</f>
        <v>260.7</v>
      </c>
      <c r="D38" s="140">
        <f>VLOOKUP($A38,'Data shares'!$C:$FB,4)</f>
        <v>276.8</v>
      </c>
      <c r="E38" s="50">
        <f t="shared" si="0"/>
        <v>-5.8164739884393146</v>
      </c>
      <c r="F38" s="49">
        <f>VLOOKUP($A38,'Data shares'!$C:$FB,98)</f>
        <v>222096000</v>
      </c>
      <c r="G38" s="49">
        <f>VLOOKUP($A38,'Data shares'!$C:$FB,99)</f>
        <v>152181750</v>
      </c>
      <c r="H38" s="50">
        <f t="shared" si="1"/>
        <v>45.941284023872768</v>
      </c>
      <c r="I38" s="49">
        <f>VLOOKUP($A38,'Data shares'!$C:$FB,66)</f>
        <v>480619125</v>
      </c>
      <c r="J38" s="49">
        <f>VLOOKUP($A38,'Data shares'!$C:$FB,67)</f>
        <v>81125625</v>
      </c>
      <c r="K38" s="50">
        <f t="shared" si="2"/>
        <v>83.120599913705064</v>
      </c>
      <c r="L38" s="50">
        <f>VLOOKUP($A38,'Data shares'!$C:$FB,118)</f>
        <v>0.52</v>
      </c>
      <c r="M38" s="50">
        <f>VLOOKUP($A38,'Data shares'!$C:$FB,119)</f>
        <v>0.56000000000000005</v>
      </c>
      <c r="N38" s="50">
        <f>VLOOKUP($A38,'Data shares'!$C:$FB,121)*100</f>
        <v>-7.1400000000000006</v>
      </c>
      <c r="O38" s="50">
        <f>VLOOKUP($A38,'Data shares'!$C:$FB,124)</f>
        <v>0.6</v>
      </c>
      <c r="P38" s="50">
        <f>VLOOKUP($A38,'Data shares'!$C:$FB,125)</f>
        <v>0.46</v>
      </c>
      <c r="Q38" s="50">
        <f>VLOOKUP($A38,'Data shares'!$C:$FB,127)*100</f>
        <v>30.43</v>
      </c>
    </row>
    <row r="39" spans="1:17" x14ac:dyDescent="0.25">
      <c r="A39" s="97" t="str">
        <f>'Snapshot (Value)'!A43</f>
        <v>BIOCON</v>
      </c>
      <c r="B39" s="140">
        <f>VLOOKUP($A39,'Data shares'!$C:$FB,7)</f>
        <v>375.2</v>
      </c>
      <c r="C39" s="140">
        <f>VLOOKUP($A39,'Data shares'!$C:$FB,3)</f>
        <v>376.2</v>
      </c>
      <c r="D39" s="140">
        <f>VLOOKUP($A39,'Data shares'!$C:$FB,4)</f>
        <v>372</v>
      </c>
      <c r="E39" s="50">
        <f t="shared" si="0"/>
        <v>1.1290322580645131</v>
      </c>
      <c r="F39" s="49">
        <f>VLOOKUP($A39,'Data shares'!$C:$FB,98)</f>
        <v>83435000</v>
      </c>
      <c r="G39" s="49">
        <f>VLOOKUP($A39,'Data shares'!$C:$FB,99)</f>
        <v>79215000</v>
      </c>
      <c r="H39" s="50">
        <f t="shared" si="1"/>
        <v>5.3272738748974309</v>
      </c>
      <c r="I39" s="49">
        <f>VLOOKUP($A39,'Data shares'!$C:$FB,66)</f>
        <v>48047500</v>
      </c>
      <c r="J39" s="49">
        <f>VLOOKUP($A39,'Data shares'!$C:$FB,67)</f>
        <v>36200000</v>
      </c>
      <c r="K39" s="50">
        <f t="shared" si="2"/>
        <v>24.657890629064987</v>
      </c>
      <c r="L39" s="50">
        <f>VLOOKUP($A39,'Data shares'!$C:$FB,118)</f>
        <v>0.71</v>
      </c>
      <c r="M39" s="50">
        <f>VLOOKUP($A39,'Data shares'!$C:$FB,119)</f>
        <v>0.73</v>
      </c>
      <c r="N39" s="50">
        <f>VLOOKUP($A39,'Data shares'!$C:$FB,121)*100</f>
        <v>-2.74</v>
      </c>
      <c r="O39" s="50">
        <f>VLOOKUP($A39,'Data shares'!$C:$FB,124)</f>
        <v>0.36</v>
      </c>
      <c r="P39" s="50">
        <f>VLOOKUP($A39,'Data shares'!$C:$FB,125)</f>
        <v>0.44</v>
      </c>
      <c r="Q39" s="50">
        <f>VLOOKUP($A39,'Data shares'!$C:$FB,127)*100</f>
        <v>-18.18</v>
      </c>
    </row>
    <row r="40" spans="1:17" x14ac:dyDescent="0.25">
      <c r="A40" s="97" t="str">
        <f>'Snapshot (Value)'!A44</f>
        <v>BLUESTARCO</v>
      </c>
      <c r="B40" s="140">
        <f>VLOOKUP($A40,'Data shares'!$C:$FB,7)</f>
        <v>1962.2</v>
      </c>
      <c r="C40" s="140">
        <f>VLOOKUP($A40,'Data shares'!$C:$FB,3)</f>
        <v>1968.1</v>
      </c>
      <c r="D40" s="140">
        <f>VLOOKUP($A40,'Data shares'!$C:$FB,4)</f>
        <v>1956.8</v>
      </c>
      <c r="E40" s="50">
        <f t="shared" si="0"/>
        <v>0.57747342600163298</v>
      </c>
      <c r="F40" s="49">
        <f>VLOOKUP($A40,'Data shares'!$C:$FB,98)</f>
        <v>5661175</v>
      </c>
      <c r="G40" s="49">
        <f>VLOOKUP($A40,'Data shares'!$C:$FB,99)</f>
        <v>5698875</v>
      </c>
      <c r="H40" s="50">
        <f t="shared" si="1"/>
        <v>-0.6615340747077274</v>
      </c>
      <c r="I40" s="49">
        <f>VLOOKUP($A40,'Data shares'!$C:$FB,66)</f>
        <v>1916850</v>
      </c>
      <c r="J40" s="49">
        <f>VLOOKUP($A40,'Data shares'!$C:$FB,67)</f>
        <v>11791975</v>
      </c>
      <c r="K40" s="50">
        <f t="shared" si="2"/>
        <v>-515.17463546965075</v>
      </c>
      <c r="L40" s="50">
        <f>VLOOKUP($A40,'Data shares'!$C:$FB,118)</f>
        <v>0.74</v>
      </c>
      <c r="M40" s="50">
        <f>VLOOKUP($A40,'Data shares'!$C:$FB,119)</f>
        <v>0.69</v>
      </c>
      <c r="N40" s="50">
        <f>VLOOKUP($A40,'Data shares'!$C:$FB,121)*100</f>
        <v>7.2499999999999991</v>
      </c>
      <c r="O40" s="50">
        <f>VLOOKUP($A40,'Data shares'!$C:$FB,124)</f>
        <v>0.28000000000000003</v>
      </c>
      <c r="P40" s="50">
        <f>VLOOKUP($A40,'Data shares'!$C:$FB,125)</f>
        <v>0.42</v>
      </c>
      <c r="Q40" s="50">
        <f>VLOOKUP($A40,'Data shares'!$C:$FB,127)*100</f>
        <v>-33.33</v>
      </c>
    </row>
    <row r="41" spans="1:17" x14ac:dyDescent="0.25">
      <c r="A41" s="97" t="str">
        <f>'Snapshot (Value)'!A45</f>
        <v>BOSCHLTD</v>
      </c>
      <c r="B41" s="140">
        <f>VLOOKUP($A41,'Data shares'!$C:$FB,7)</f>
        <v>36570</v>
      </c>
      <c r="C41" s="140">
        <f>VLOOKUP($A41,'Data shares'!$C:$FB,3)</f>
        <v>36630</v>
      </c>
      <c r="D41" s="140">
        <f>VLOOKUP($A41,'Data shares'!$C:$FB,4)</f>
        <v>35680</v>
      </c>
      <c r="E41" s="50">
        <f t="shared" si="0"/>
        <v>2.6625560538116591</v>
      </c>
      <c r="F41" s="49">
        <f>VLOOKUP($A41,'Data shares'!$C:$FB,98)</f>
        <v>476450</v>
      </c>
      <c r="G41" s="49">
        <f>VLOOKUP($A41,'Data shares'!$C:$FB,99)</f>
        <v>507150</v>
      </c>
      <c r="H41" s="50">
        <f t="shared" si="1"/>
        <v>-6.0534358671004638</v>
      </c>
      <c r="I41" s="49">
        <f>VLOOKUP($A41,'Data shares'!$C:$FB,66)</f>
        <v>801350</v>
      </c>
      <c r="J41" s="49">
        <f>VLOOKUP($A41,'Data shares'!$C:$FB,67)</f>
        <v>408600</v>
      </c>
      <c r="K41" s="50">
        <f t="shared" si="2"/>
        <v>49.011043863480374</v>
      </c>
      <c r="L41" s="50">
        <f>VLOOKUP($A41,'Data shares'!$C:$FB,118)</f>
        <v>0.51</v>
      </c>
      <c r="M41" s="50">
        <f>VLOOKUP($A41,'Data shares'!$C:$FB,119)</f>
        <v>0.4</v>
      </c>
      <c r="N41" s="50">
        <f>VLOOKUP($A41,'Data shares'!$C:$FB,121)*100</f>
        <v>27.500000000000004</v>
      </c>
      <c r="O41" s="50">
        <f>VLOOKUP($A41,'Data shares'!$C:$FB,124)</f>
        <v>0.35</v>
      </c>
      <c r="P41" s="50">
        <f>VLOOKUP($A41,'Data shares'!$C:$FB,125)</f>
        <v>0.44</v>
      </c>
      <c r="Q41" s="50">
        <f>VLOOKUP($A41,'Data shares'!$C:$FB,127)*100</f>
        <v>-20.45</v>
      </c>
    </row>
    <row r="42" spans="1:17" x14ac:dyDescent="0.25">
      <c r="A42" s="97" t="str">
        <f>'Snapshot (Value)'!A46</f>
        <v>BPCL</v>
      </c>
      <c r="B42" s="140">
        <f>VLOOKUP($A42,'Data shares'!$C:$FB,7)</f>
        <v>387.6</v>
      </c>
      <c r="C42" s="140">
        <f>VLOOKUP($A42,'Data shares'!$C:$FB,3)</f>
        <v>388.1</v>
      </c>
      <c r="D42" s="140">
        <f>VLOOKUP($A42,'Data shares'!$C:$FB,4)</f>
        <v>387.1</v>
      </c>
      <c r="E42" s="50">
        <f t="shared" si="0"/>
        <v>0.25833118057349519</v>
      </c>
      <c r="F42" s="49">
        <f>VLOOKUP($A42,'Data shares'!$C:$FB,98)</f>
        <v>67712875</v>
      </c>
      <c r="G42" s="49">
        <f>VLOOKUP($A42,'Data shares'!$C:$FB,99)</f>
        <v>64663475</v>
      </c>
      <c r="H42" s="50">
        <f t="shared" si="1"/>
        <v>4.7157997617665925</v>
      </c>
      <c r="I42" s="49">
        <f>VLOOKUP($A42,'Data shares'!$C:$FB,66)</f>
        <v>30069375</v>
      </c>
      <c r="J42" s="49">
        <f>VLOOKUP($A42,'Data shares'!$C:$FB,67)</f>
        <v>24888950</v>
      </c>
      <c r="K42" s="50">
        <f t="shared" si="2"/>
        <v>17.228243021346472</v>
      </c>
      <c r="L42" s="50">
        <f>VLOOKUP($A42,'Data shares'!$C:$FB,118)</f>
        <v>0.73</v>
      </c>
      <c r="M42" s="50">
        <f>VLOOKUP($A42,'Data shares'!$C:$FB,119)</f>
        <v>0.71</v>
      </c>
      <c r="N42" s="50">
        <f>VLOOKUP($A42,'Data shares'!$C:$FB,121)*100</f>
        <v>2.82</v>
      </c>
      <c r="O42" s="50">
        <f>VLOOKUP($A42,'Data shares'!$C:$FB,124)</f>
        <v>0.52</v>
      </c>
      <c r="P42" s="50">
        <f>VLOOKUP($A42,'Data shares'!$C:$FB,125)</f>
        <v>0.63</v>
      </c>
      <c r="Q42" s="50">
        <f>VLOOKUP($A42,'Data shares'!$C:$FB,127)*100</f>
        <v>-17.46</v>
      </c>
    </row>
    <row r="43" spans="1:17" x14ac:dyDescent="0.25">
      <c r="A43" s="97" t="str">
        <f>'Snapshot (Value)'!A47</f>
        <v>BRITANNIA</v>
      </c>
      <c r="B43" s="140">
        <f>VLOOKUP($A43,'Data shares'!$C:$FB,7)</f>
        <v>6019</v>
      </c>
      <c r="C43" s="140">
        <f>VLOOKUP($A43,'Data shares'!$C:$FB,3)</f>
        <v>6039.5</v>
      </c>
      <c r="D43" s="140">
        <f>VLOOKUP($A43,'Data shares'!$C:$FB,4)</f>
        <v>5879.5</v>
      </c>
      <c r="E43" s="50">
        <f t="shared" si="0"/>
        <v>2.7213198401224594</v>
      </c>
      <c r="F43" s="49">
        <f>VLOOKUP($A43,'Data shares'!$C:$FB,98)</f>
        <v>6097875</v>
      </c>
      <c r="G43" s="49">
        <f>VLOOKUP($A43,'Data shares'!$C:$FB,99)</f>
        <v>5458875</v>
      </c>
      <c r="H43" s="50">
        <f t="shared" si="1"/>
        <v>11.705708593803669</v>
      </c>
      <c r="I43" s="49">
        <f>VLOOKUP($A43,'Data shares'!$C:$FB,66)</f>
        <v>14176750</v>
      </c>
      <c r="J43" s="49">
        <f>VLOOKUP($A43,'Data shares'!$C:$FB,67)</f>
        <v>3208875</v>
      </c>
      <c r="K43" s="50">
        <f t="shared" si="2"/>
        <v>77.365228278695753</v>
      </c>
      <c r="L43" s="50">
        <f>VLOOKUP($A43,'Data shares'!$C:$FB,118)</f>
        <v>0.55000000000000004</v>
      </c>
      <c r="M43" s="50">
        <f>VLOOKUP($A43,'Data shares'!$C:$FB,119)</f>
        <v>0.51</v>
      </c>
      <c r="N43" s="50">
        <f>VLOOKUP($A43,'Data shares'!$C:$FB,121)*100</f>
        <v>7.84</v>
      </c>
      <c r="O43" s="50">
        <f>VLOOKUP($A43,'Data shares'!$C:$FB,124)</f>
        <v>0.47</v>
      </c>
      <c r="P43" s="50">
        <f>VLOOKUP($A43,'Data shares'!$C:$FB,125)</f>
        <v>0.45</v>
      </c>
      <c r="Q43" s="50">
        <f>VLOOKUP($A43,'Data shares'!$C:$FB,127)*100</f>
        <v>4.4400000000000004</v>
      </c>
    </row>
    <row r="44" spans="1:17" x14ac:dyDescent="0.25">
      <c r="A44" s="97" t="str">
        <f>'Snapshot (Value)'!A48</f>
        <v>BSE</v>
      </c>
      <c r="B44" s="140">
        <f>VLOOKUP($A44,'Data shares'!$C:$FB,7)</f>
        <v>3177.1</v>
      </c>
      <c r="C44" s="140">
        <f>VLOOKUP($A44,'Data shares'!$C:$FB,3)</f>
        <v>3179.8</v>
      </c>
      <c r="D44" s="140">
        <f>VLOOKUP($A44,'Data shares'!$C:$FB,4)</f>
        <v>3185.4</v>
      </c>
      <c r="E44" s="50">
        <f t="shared" si="0"/>
        <v>-0.17580209706786931</v>
      </c>
      <c r="F44" s="49">
        <f>VLOOKUP($A44,'Data shares'!$C:$FB,98)</f>
        <v>28511250</v>
      </c>
      <c r="G44" s="49">
        <f>VLOOKUP($A44,'Data shares'!$C:$FB,99)</f>
        <v>29266500</v>
      </c>
      <c r="H44" s="50">
        <f t="shared" si="1"/>
        <v>-2.5805955614781406</v>
      </c>
      <c r="I44" s="49">
        <f>VLOOKUP($A44,'Data shares'!$C:$FB,66)</f>
        <v>42094125</v>
      </c>
      <c r="J44" s="49">
        <f>VLOOKUP($A44,'Data shares'!$C:$FB,67)</f>
        <v>154639500</v>
      </c>
      <c r="K44" s="50">
        <f t="shared" si="2"/>
        <v>-267.36599228514666</v>
      </c>
      <c r="L44" s="50">
        <f>VLOOKUP($A44,'Data shares'!$C:$FB,118)</f>
        <v>0.98</v>
      </c>
      <c r="M44" s="50">
        <f>VLOOKUP($A44,'Data shares'!$C:$FB,119)</f>
        <v>0.96</v>
      </c>
      <c r="N44" s="50">
        <f>VLOOKUP($A44,'Data shares'!$C:$FB,121)*100</f>
        <v>2.08</v>
      </c>
      <c r="O44" s="50">
        <f>VLOOKUP($A44,'Data shares'!$C:$FB,124)</f>
        <v>0.81</v>
      </c>
      <c r="P44" s="50">
        <f>VLOOKUP($A44,'Data shares'!$C:$FB,125)</f>
        <v>0.51</v>
      </c>
      <c r="Q44" s="50">
        <f>VLOOKUP($A44,'Data shares'!$C:$FB,127)*100</f>
        <v>58.819999999999993</v>
      </c>
    </row>
    <row r="45" spans="1:17" x14ac:dyDescent="0.25">
      <c r="A45" s="97" t="str">
        <f>'Snapshot (Value)'!A49</f>
        <v>CAMS</v>
      </c>
      <c r="B45" s="140">
        <f>VLOOKUP($A45,'Data shares'!$C:$FB,7)</f>
        <v>747.1</v>
      </c>
      <c r="C45" s="140">
        <f>VLOOKUP($A45,'Data shares'!$C:$FB,3)</f>
        <v>747.95</v>
      </c>
      <c r="D45" s="140">
        <f>VLOOKUP($A45,'Data shares'!$C:$FB,4)</f>
        <v>745.2</v>
      </c>
      <c r="E45" s="50">
        <f t="shared" si="0"/>
        <v>0.36902844873859364</v>
      </c>
      <c r="F45" s="49">
        <f>VLOOKUP($A45,'Data shares'!$C:$FB,98)</f>
        <v>13243500</v>
      </c>
      <c r="G45" s="49">
        <f>VLOOKUP($A45,'Data shares'!$C:$FB,99)</f>
        <v>13131750</v>
      </c>
      <c r="H45" s="50">
        <f t="shared" si="1"/>
        <v>0.85099091895596557</v>
      </c>
      <c r="I45" s="49">
        <f>VLOOKUP($A45,'Data shares'!$C:$FB,66)</f>
        <v>4007250</v>
      </c>
      <c r="J45" s="49">
        <f>VLOOKUP($A45,'Data shares'!$C:$FB,67)</f>
        <v>8137500</v>
      </c>
      <c r="K45" s="50">
        <f t="shared" si="2"/>
        <v>-103.06943664607897</v>
      </c>
      <c r="L45" s="50">
        <f>VLOOKUP($A45,'Data shares'!$C:$FB,118)</f>
        <v>1.06</v>
      </c>
      <c r="M45" s="50">
        <f>VLOOKUP($A45,'Data shares'!$C:$FB,119)</f>
        <v>1.08</v>
      </c>
      <c r="N45" s="50">
        <f>VLOOKUP($A45,'Data shares'!$C:$FB,121)*100</f>
        <v>-1.8499999999999999</v>
      </c>
      <c r="O45" s="50">
        <f>VLOOKUP($A45,'Data shares'!$C:$FB,124)</f>
        <v>0.39</v>
      </c>
      <c r="P45" s="50">
        <f>VLOOKUP($A45,'Data shares'!$C:$FB,125)</f>
        <v>0.32</v>
      </c>
      <c r="Q45" s="50">
        <f>VLOOKUP($A45,'Data shares'!$C:$FB,127)*100</f>
        <v>21.88</v>
      </c>
    </row>
    <row r="46" spans="1:17" x14ac:dyDescent="0.25">
      <c r="A46" s="97" t="str">
        <f>'Snapshot (Value)'!A50</f>
        <v>CANBK</v>
      </c>
      <c r="B46" s="140">
        <f>VLOOKUP($A46,'Data shares'!$C:$FB,7)</f>
        <v>145.51</v>
      </c>
      <c r="C46" s="140">
        <f>VLOOKUP($A46,'Data shares'!$C:$FB,3)</f>
        <v>146</v>
      </c>
      <c r="D46" s="140">
        <f>VLOOKUP($A46,'Data shares'!$C:$FB,4)</f>
        <v>147.35</v>
      </c>
      <c r="E46" s="50">
        <f t="shared" si="0"/>
        <v>-0.91618595181540174</v>
      </c>
      <c r="F46" s="49">
        <f>VLOOKUP($A46,'Data shares'!$C:$FB,98)</f>
        <v>470124000</v>
      </c>
      <c r="G46" s="49">
        <f>VLOOKUP($A46,'Data shares'!$C:$FB,99)</f>
        <v>447943500</v>
      </c>
      <c r="H46" s="50">
        <f t="shared" si="1"/>
        <v>4.9516289442753383</v>
      </c>
      <c r="I46" s="49">
        <f>VLOOKUP($A46,'Data shares'!$C:$FB,66)</f>
        <v>288272250</v>
      </c>
      <c r="J46" s="49">
        <f>VLOOKUP($A46,'Data shares'!$C:$FB,67)</f>
        <v>127183500</v>
      </c>
      <c r="K46" s="50">
        <f t="shared" si="2"/>
        <v>55.880768960591944</v>
      </c>
      <c r="L46" s="50">
        <f>VLOOKUP($A46,'Data shares'!$C:$FB,118)</f>
        <v>0.5</v>
      </c>
      <c r="M46" s="50">
        <f>VLOOKUP($A46,'Data shares'!$C:$FB,119)</f>
        <v>0.52</v>
      </c>
      <c r="N46" s="50">
        <f>VLOOKUP($A46,'Data shares'!$C:$FB,121)*100</f>
        <v>-3.85</v>
      </c>
      <c r="O46" s="50">
        <f>VLOOKUP($A46,'Data shares'!$C:$FB,124)</f>
        <v>0.38</v>
      </c>
      <c r="P46" s="50">
        <f>VLOOKUP($A46,'Data shares'!$C:$FB,125)</f>
        <v>0.32</v>
      </c>
      <c r="Q46" s="50">
        <f>VLOOKUP($A46,'Data shares'!$C:$FB,127)*100</f>
        <v>18.75</v>
      </c>
    </row>
    <row r="47" spans="1:17" x14ac:dyDescent="0.25">
      <c r="A47" s="97" t="str">
        <f>'Snapshot (Value)'!A51</f>
        <v>CDSL</v>
      </c>
      <c r="B47" s="140">
        <f>VLOOKUP($A47,'Data shares'!$C:$FB,7)</f>
        <v>1397.2</v>
      </c>
      <c r="C47" s="140">
        <f>VLOOKUP($A47,'Data shares'!$C:$FB,3)</f>
        <v>1398.9</v>
      </c>
      <c r="D47" s="140">
        <f>VLOOKUP($A47,'Data shares'!$C:$FB,4)</f>
        <v>1401.1</v>
      </c>
      <c r="E47" s="50">
        <f t="shared" si="0"/>
        <v>-0.15701948469058727</v>
      </c>
      <c r="F47" s="49">
        <f>VLOOKUP($A47,'Data shares'!$C:$FB,98)</f>
        <v>26453225</v>
      </c>
      <c r="G47" s="49">
        <f>VLOOKUP($A47,'Data shares'!$C:$FB,99)</f>
        <v>25860425</v>
      </c>
      <c r="H47" s="50">
        <f t="shared" si="1"/>
        <v>2.2923057142332346</v>
      </c>
      <c r="I47" s="49">
        <f>VLOOKUP($A47,'Data shares'!$C:$FB,66)</f>
        <v>15855500</v>
      </c>
      <c r="J47" s="49">
        <f>VLOOKUP($A47,'Data shares'!$C:$FB,67)</f>
        <v>36653375</v>
      </c>
      <c r="K47" s="50">
        <f t="shared" si="2"/>
        <v>-131.17136009586579</v>
      </c>
      <c r="L47" s="50">
        <f>VLOOKUP($A47,'Data shares'!$C:$FB,118)</f>
        <v>0.7</v>
      </c>
      <c r="M47" s="50">
        <f>VLOOKUP($A47,'Data shares'!$C:$FB,119)</f>
        <v>0.7</v>
      </c>
      <c r="N47" s="50">
        <f>VLOOKUP($A47,'Data shares'!$C:$FB,121)*100</f>
        <v>0</v>
      </c>
      <c r="O47" s="50">
        <f>VLOOKUP($A47,'Data shares'!$C:$FB,124)</f>
        <v>0.39</v>
      </c>
      <c r="P47" s="50">
        <f>VLOOKUP($A47,'Data shares'!$C:$FB,125)</f>
        <v>0.31</v>
      </c>
      <c r="Q47" s="50">
        <f>VLOOKUP($A47,'Data shares'!$C:$FB,127)*100</f>
        <v>25.81</v>
      </c>
    </row>
    <row r="48" spans="1:17" x14ac:dyDescent="0.25">
      <c r="A48" s="97" t="str">
        <f>'Snapshot (Value)'!A52</f>
        <v>CGPOWER</v>
      </c>
      <c r="B48" s="140">
        <f>VLOOKUP($A48,'Data shares'!$C:$FB,7)</f>
        <v>685.6</v>
      </c>
      <c r="C48" s="140">
        <f>VLOOKUP($A48,'Data shares'!$C:$FB,3)</f>
        <v>684.75</v>
      </c>
      <c r="D48" s="140">
        <f>VLOOKUP($A48,'Data shares'!$C:$FB,4)</f>
        <v>682</v>
      </c>
      <c r="E48" s="50">
        <f t="shared" si="0"/>
        <v>0.40322580645161288</v>
      </c>
      <c r="F48" s="49">
        <f>VLOOKUP($A48,'Data shares'!$C:$FB,98)</f>
        <v>29067450</v>
      </c>
      <c r="G48" s="49">
        <f>VLOOKUP($A48,'Data shares'!$C:$FB,99)</f>
        <v>29470350</v>
      </c>
      <c r="H48" s="50">
        <f t="shared" si="1"/>
        <v>-1.3671368002076663</v>
      </c>
      <c r="I48" s="49">
        <f>VLOOKUP($A48,'Data shares'!$C:$FB,66)</f>
        <v>10062300</v>
      </c>
      <c r="J48" s="49">
        <f>VLOOKUP($A48,'Data shares'!$C:$FB,67)</f>
        <v>17370600</v>
      </c>
      <c r="K48" s="50">
        <f t="shared" si="2"/>
        <v>-72.630511910795747</v>
      </c>
      <c r="L48" s="50">
        <f>VLOOKUP($A48,'Data shares'!$C:$FB,118)</f>
        <v>0.89</v>
      </c>
      <c r="M48" s="50">
        <f>VLOOKUP($A48,'Data shares'!$C:$FB,119)</f>
        <v>0.83</v>
      </c>
      <c r="N48" s="50">
        <f>VLOOKUP($A48,'Data shares'!$C:$FB,121)*100</f>
        <v>7.23</v>
      </c>
      <c r="O48" s="50">
        <f>VLOOKUP($A48,'Data shares'!$C:$FB,124)</f>
        <v>0.55000000000000004</v>
      </c>
      <c r="P48" s="50">
        <f>VLOOKUP($A48,'Data shares'!$C:$FB,125)</f>
        <v>0.74</v>
      </c>
      <c r="Q48" s="50">
        <f>VLOOKUP($A48,'Data shares'!$C:$FB,127)*100</f>
        <v>-25.679999999999996</v>
      </c>
    </row>
    <row r="49" spans="1:17" x14ac:dyDescent="0.25">
      <c r="A49" s="97" t="str">
        <f>'Snapshot (Value)'!A53</f>
        <v>CHOLAFIN</v>
      </c>
      <c r="B49" s="140">
        <f>VLOOKUP($A49,'Data shares'!$C:$FB,7)</f>
        <v>1723</v>
      </c>
      <c r="C49" s="140">
        <f>VLOOKUP($A49,'Data shares'!$C:$FB,3)</f>
        <v>1724.6</v>
      </c>
      <c r="D49" s="140">
        <f>VLOOKUP($A49,'Data shares'!$C:$FB,4)</f>
        <v>1731.9</v>
      </c>
      <c r="E49" s="50">
        <f t="shared" si="0"/>
        <v>-0.42150239621226288</v>
      </c>
      <c r="F49" s="49">
        <f>VLOOKUP($A49,'Data shares'!$C:$FB,98)</f>
        <v>19158750</v>
      </c>
      <c r="G49" s="49">
        <f>VLOOKUP($A49,'Data shares'!$C:$FB,99)</f>
        <v>19282500</v>
      </c>
      <c r="H49" s="50">
        <f t="shared" si="1"/>
        <v>-0.64177362893815637</v>
      </c>
      <c r="I49" s="49">
        <f>VLOOKUP($A49,'Data shares'!$C:$FB,66)</f>
        <v>3752500</v>
      </c>
      <c r="J49" s="49">
        <f>VLOOKUP($A49,'Data shares'!$C:$FB,67)</f>
        <v>8572500</v>
      </c>
      <c r="K49" s="50">
        <f t="shared" si="2"/>
        <v>-128.44770153231181</v>
      </c>
      <c r="L49" s="50">
        <f>VLOOKUP($A49,'Data shares'!$C:$FB,118)</f>
        <v>0.88</v>
      </c>
      <c r="M49" s="50">
        <f>VLOOKUP($A49,'Data shares'!$C:$FB,119)</f>
        <v>0.91</v>
      </c>
      <c r="N49" s="50">
        <f>VLOOKUP($A49,'Data shares'!$C:$FB,121)*100</f>
        <v>-3.3000000000000003</v>
      </c>
      <c r="O49" s="50">
        <f>VLOOKUP($A49,'Data shares'!$C:$FB,124)</f>
        <v>0.56000000000000005</v>
      </c>
      <c r="P49" s="50">
        <f>VLOOKUP($A49,'Data shares'!$C:$FB,125)</f>
        <v>0.84</v>
      </c>
      <c r="Q49" s="50">
        <f>VLOOKUP($A49,'Data shares'!$C:$FB,127)*100</f>
        <v>-33.33</v>
      </c>
    </row>
    <row r="50" spans="1:17" x14ac:dyDescent="0.25">
      <c r="A50" s="97" t="str">
        <f>'Snapshot (Value)'!A54</f>
        <v>CIPLA</v>
      </c>
      <c r="B50" s="140">
        <f>VLOOKUP($A50,'Data shares'!$C:$FB,7)</f>
        <v>1349.9</v>
      </c>
      <c r="C50" s="140">
        <f>VLOOKUP($A50,'Data shares'!$C:$FB,3)</f>
        <v>1350.8</v>
      </c>
      <c r="D50" s="140">
        <f>VLOOKUP($A50,'Data shares'!$C:$FB,4)</f>
        <v>1346.3</v>
      </c>
      <c r="E50" s="50">
        <f t="shared" si="0"/>
        <v>0.33424942434821364</v>
      </c>
      <c r="F50" s="49">
        <f>VLOOKUP($A50,'Data shares'!$C:$FB,98)</f>
        <v>24924375</v>
      </c>
      <c r="G50" s="49">
        <f>VLOOKUP($A50,'Data shares'!$C:$FB,99)</f>
        <v>25125750</v>
      </c>
      <c r="H50" s="50">
        <f t="shared" si="1"/>
        <v>-0.80146861287722759</v>
      </c>
      <c r="I50" s="49">
        <f>VLOOKUP($A50,'Data shares'!$C:$FB,66)</f>
        <v>6509250</v>
      </c>
      <c r="J50" s="49">
        <f>VLOOKUP($A50,'Data shares'!$C:$FB,67)</f>
        <v>13514250</v>
      </c>
      <c r="K50" s="50">
        <f t="shared" si="2"/>
        <v>-107.6160848023966</v>
      </c>
      <c r="L50" s="50">
        <f>VLOOKUP($A50,'Data shares'!$C:$FB,118)</f>
        <v>0.63</v>
      </c>
      <c r="M50" s="50">
        <f>VLOOKUP($A50,'Data shares'!$C:$FB,119)</f>
        <v>0.62</v>
      </c>
      <c r="N50" s="50">
        <f>VLOOKUP($A50,'Data shares'!$C:$FB,121)*100</f>
        <v>1.6099999999999999</v>
      </c>
      <c r="O50" s="50">
        <f>VLOOKUP($A50,'Data shares'!$C:$FB,124)</f>
        <v>0.36</v>
      </c>
      <c r="P50" s="50">
        <f>VLOOKUP($A50,'Data shares'!$C:$FB,125)</f>
        <v>0.31</v>
      </c>
      <c r="Q50" s="50">
        <f>VLOOKUP($A50,'Data shares'!$C:$FB,127)*100</f>
        <v>16.13</v>
      </c>
    </row>
    <row r="51" spans="1:17" x14ac:dyDescent="0.25">
      <c r="A51" s="97" t="str">
        <f>'Snapshot (Value)'!A55</f>
        <v>COALINDIA</v>
      </c>
      <c r="B51" s="140">
        <f>VLOOKUP($A51,'Data shares'!$C:$FB,7)</f>
        <v>423.25</v>
      </c>
      <c r="C51" s="140">
        <f>VLOOKUP($A51,'Data shares'!$C:$FB,3)</f>
        <v>417.5</v>
      </c>
      <c r="D51" s="140">
        <f>VLOOKUP($A51,'Data shares'!$C:$FB,4)</f>
        <v>427.35</v>
      </c>
      <c r="E51" s="50">
        <f t="shared" si="0"/>
        <v>-2.3049023049023099</v>
      </c>
      <c r="F51" s="49">
        <f>VLOOKUP($A51,'Data shares'!$C:$FB,98)</f>
        <v>117194850</v>
      </c>
      <c r="G51" s="49">
        <f>VLOOKUP($A51,'Data shares'!$C:$FB,99)</f>
        <v>113256900</v>
      </c>
      <c r="H51" s="50">
        <f t="shared" si="1"/>
        <v>3.4770066989296016</v>
      </c>
      <c r="I51" s="49">
        <f>VLOOKUP($A51,'Data shares'!$C:$FB,66)</f>
        <v>67246200</v>
      </c>
      <c r="J51" s="49">
        <f>VLOOKUP($A51,'Data shares'!$C:$FB,67)</f>
        <v>27315900</v>
      </c>
      <c r="K51" s="50">
        <f t="shared" si="2"/>
        <v>59.37926604031157</v>
      </c>
      <c r="L51" s="50">
        <f>VLOOKUP($A51,'Data shares'!$C:$FB,118)</f>
        <v>0.51</v>
      </c>
      <c r="M51" s="50">
        <f>VLOOKUP($A51,'Data shares'!$C:$FB,119)</f>
        <v>0.5</v>
      </c>
      <c r="N51" s="50">
        <f>VLOOKUP($A51,'Data shares'!$C:$FB,121)*100</f>
        <v>2</v>
      </c>
      <c r="O51" s="50">
        <f>VLOOKUP($A51,'Data shares'!$C:$FB,124)</f>
        <v>0.46</v>
      </c>
      <c r="P51" s="50">
        <f>VLOOKUP($A51,'Data shares'!$C:$FB,125)</f>
        <v>0.32</v>
      </c>
      <c r="Q51" s="50">
        <f>VLOOKUP($A51,'Data shares'!$C:$FB,127)*100</f>
        <v>43.75</v>
      </c>
    </row>
    <row r="52" spans="1:17" x14ac:dyDescent="0.25">
      <c r="A52" s="97" t="str">
        <f>'Snapshot (Value)'!A56</f>
        <v>COFORGE</v>
      </c>
      <c r="B52" s="140">
        <f>VLOOKUP($A52,'Data shares'!$C:$FB,7)</f>
        <v>1520.4</v>
      </c>
      <c r="C52" s="140">
        <f>VLOOKUP($A52,'Data shares'!$C:$FB,3)</f>
        <v>1520.8</v>
      </c>
      <c r="D52" s="140">
        <f>VLOOKUP($A52,'Data shares'!$C:$FB,4)</f>
        <v>1556.1</v>
      </c>
      <c r="E52" s="50">
        <f t="shared" si="0"/>
        <v>-2.2684917421759496</v>
      </c>
      <c r="F52" s="49">
        <f>VLOOKUP($A52,'Data shares'!$C:$FB,98)</f>
        <v>26547000</v>
      </c>
      <c r="G52" s="49">
        <f>VLOOKUP($A52,'Data shares'!$C:$FB,99)</f>
        <v>25626000</v>
      </c>
      <c r="H52" s="50">
        <f t="shared" si="1"/>
        <v>3.5940060875673141</v>
      </c>
      <c r="I52" s="49">
        <f>VLOOKUP($A52,'Data shares'!$C:$FB,66)</f>
        <v>16225875</v>
      </c>
      <c r="J52" s="49">
        <f>VLOOKUP($A52,'Data shares'!$C:$FB,67)</f>
        <v>18049500</v>
      </c>
      <c r="K52" s="50">
        <f t="shared" si="2"/>
        <v>-11.238993274630799</v>
      </c>
      <c r="L52" s="50">
        <f>VLOOKUP($A52,'Data shares'!$C:$FB,118)</f>
        <v>0.43</v>
      </c>
      <c r="M52" s="50">
        <f>VLOOKUP($A52,'Data shares'!$C:$FB,119)</f>
        <v>0.42</v>
      </c>
      <c r="N52" s="50">
        <f>VLOOKUP($A52,'Data shares'!$C:$FB,121)*100</f>
        <v>2.3800000000000003</v>
      </c>
      <c r="O52" s="50">
        <f>VLOOKUP($A52,'Data shares'!$C:$FB,124)</f>
        <v>0.48</v>
      </c>
      <c r="P52" s="50">
        <f>VLOOKUP($A52,'Data shares'!$C:$FB,125)</f>
        <v>0.37</v>
      </c>
      <c r="Q52" s="50">
        <f>VLOOKUP($A52,'Data shares'!$C:$FB,127)*100</f>
        <v>29.73</v>
      </c>
    </row>
    <row r="53" spans="1:17" x14ac:dyDescent="0.25">
      <c r="A53" s="97" t="str">
        <f>'Snapshot (Value)'!A57</f>
        <v>COLPAL</v>
      </c>
      <c r="B53" s="140">
        <f>VLOOKUP($A53,'Data shares'!$C:$FB,7)</f>
        <v>2173.4</v>
      </c>
      <c r="C53" s="140">
        <f>VLOOKUP($A53,'Data shares'!$C:$FB,3)</f>
        <v>2174.8000000000002</v>
      </c>
      <c r="D53" s="140">
        <f>VLOOKUP($A53,'Data shares'!$C:$FB,4)</f>
        <v>2190.1</v>
      </c>
      <c r="E53" s="50">
        <f t="shared" si="0"/>
        <v>-0.69859823752338834</v>
      </c>
      <c r="F53" s="49">
        <f>VLOOKUP($A53,'Data shares'!$C:$FB,98)</f>
        <v>10832625</v>
      </c>
      <c r="G53" s="49">
        <f>VLOOKUP($A53,'Data shares'!$C:$FB,99)</f>
        <v>10051875</v>
      </c>
      <c r="H53" s="50">
        <f t="shared" si="1"/>
        <v>7.7672076105204253</v>
      </c>
      <c r="I53" s="49">
        <f>VLOOKUP($A53,'Data shares'!$C:$FB,66)</f>
        <v>4935825</v>
      </c>
      <c r="J53" s="49">
        <f>VLOOKUP($A53,'Data shares'!$C:$FB,67)</f>
        <v>5532075</v>
      </c>
      <c r="K53" s="50">
        <f t="shared" si="2"/>
        <v>-12.080047408487943</v>
      </c>
      <c r="L53" s="50">
        <f>VLOOKUP($A53,'Data shares'!$C:$FB,118)</f>
        <v>0.52</v>
      </c>
      <c r="M53" s="50">
        <f>VLOOKUP($A53,'Data shares'!$C:$FB,119)</f>
        <v>0.59</v>
      </c>
      <c r="N53" s="50">
        <f>VLOOKUP($A53,'Data shares'!$C:$FB,121)*100</f>
        <v>-11.86</v>
      </c>
      <c r="O53" s="50">
        <f>VLOOKUP($A53,'Data shares'!$C:$FB,124)</f>
        <v>0.2</v>
      </c>
      <c r="P53" s="50">
        <f>VLOOKUP($A53,'Data shares'!$C:$FB,125)</f>
        <v>0.27</v>
      </c>
      <c r="Q53" s="50">
        <f>VLOOKUP($A53,'Data shares'!$C:$FB,127)*100</f>
        <v>-25.929999999999996</v>
      </c>
    </row>
    <row r="54" spans="1:17" x14ac:dyDescent="0.25">
      <c r="A54" s="97" t="str">
        <f>'Snapshot (Value)'!A58</f>
        <v>CONCOR</v>
      </c>
      <c r="B54" s="140">
        <f>VLOOKUP($A54,'Data shares'!$C:$FB,7)</f>
        <v>515.15</v>
      </c>
      <c r="C54" s="140">
        <f>VLOOKUP($A54,'Data shares'!$C:$FB,3)</f>
        <v>515.79999999999995</v>
      </c>
      <c r="D54" s="140">
        <f>VLOOKUP($A54,'Data shares'!$C:$FB,4)</f>
        <v>515.54999999999995</v>
      </c>
      <c r="E54" s="50">
        <f t="shared" si="0"/>
        <v>4.8491901852390655E-2</v>
      </c>
      <c r="F54" s="49">
        <f>VLOOKUP($A54,'Data shares'!$C:$FB,98)</f>
        <v>55351250</v>
      </c>
      <c r="G54" s="49">
        <f>VLOOKUP($A54,'Data shares'!$C:$FB,99)</f>
        <v>54842500</v>
      </c>
      <c r="H54" s="50">
        <f t="shared" si="1"/>
        <v>0.92765647080275337</v>
      </c>
      <c r="I54" s="49">
        <f>VLOOKUP($A54,'Data shares'!$C:$FB,66)</f>
        <v>9900000</v>
      </c>
      <c r="J54" s="49">
        <f>VLOOKUP($A54,'Data shares'!$C:$FB,67)</f>
        <v>15033750</v>
      </c>
      <c r="K54" s="50">
        <f t="shared" si="2"/>
        <v>-51.856060606060609</v>
      </c>
      <c r="L54" s="50">
        <f>VLOOKUP($A54,'Data shares'!$C:$FB,118)</f>
        <v>0.9</v>
      </c>
      <c r="M54" s="50">
        <f>VLOOKUP($A54,'Data shares'!$C:$FB,119)</f>
        <v>0.9</v>
      </c>
      <c r="N54" s="50">
        <f>VLOOKUP($A54,'Data shares'!$C:$FB,121)*100</f>
        <v>0</v>
      </c>
      <c r="O54" s="50">
        <f>VLOOKUP($A54,'Data shares'!$C:$FB,124)</f>
        <v>0.37</v>
      </c>
      <c r="P54" s="50">
        <f>VLOOKUP($A54,'Data shares'!$C:$FB,125)</f>
        <v>0.4</v>
      </c>
      <c r="Q54" s="50">
        <f>VLOOKUP($A54,'Data shares'!$C:$FB,127)*100</f>
        <v>-7.5</v>
      </c>
    </row>
    <row r="55" spans="1:17" x14ac:dyDescent="0.25">
      <c r="A55" s="97" t="str">
        <f>'Snapshot (Value)'!A59</f>
        <v>CROMPTON</v>
      </c>
      <c r="B55" s="140">
        <f>VLOOKUP($A55,'Data shares'!$C:$FB,7)</f>
        <v>266.04000000000002</v>
      </c>
      <c r="C55" s="140">
        <f>VLOOKUP($A55,'Data shares'!$C:$FB,3)</f>
        <v>266.47000000000003</v>
      </c>
      <c r="D55" s="140">
        <f>VLOOKUP($A55,'Data shares'!$C:$FB,4)</f>
        <v>261.91000000000003</v>
      </c>
      <c r="E55" s="50">
        <f t="shared" si="0"/>
        <v>1.7410560879691506</v>
      </c>
      <c r="F55" s="49">
        <f>VLOOKUP($A55,'Data shares'!$C:$FB,98)</f>
        <v>89100000</v>
      </c>
      <c r="G55" s="49">
        <f>VLOOKUP($A55,'Data shares'!$C:$FB,99)</f>
        <v>90262800</v>
      </c>
      <c r="H55" s="50">
        <f t="shared" si="1"/>
        <v>-1.2882383440354166</v>
      </c>
      <c r="I55" s="49">
        <f>VLOOKUP($A55,'Data shares'!$C:$FB,66)</f>
        <v>37668600</v>
      </c>
      <c r="J55" s="49">
        <f>VLOOKUP($A55,'Data shares'!$C:$FB,67)</f>
        <v>53640000</v>
      </c>
      <c r="K55" s="50">
        <f t="shared" si="2"/>
        <v>-42.399770631241935</v>
      </c>
      <c r="L55" s="50">
        <f>VLOOKUP($A55,'Data shares'!$C:$FB,118)</f>
        <v>0.95</v>
      </c>
      <c r="M55" s="50">
        <f>VLOOKUP($A55,'Data shares'!$C:$FB,119)</f>
        <v>0.96</v>
      </c>
      <c r="N55" s="50">
        <f>VLOOKUP($A55,'Data shares'!$C:$FB,121)*100</f>
        <v>-1.04</v>
      </c>
      <c r="O55" s="50">
        <f>VLOOKUP($A55,'Data shares'!$C:$FB,124)</f>
        <v>0.56999999999999995</v>
      </c>
      <c r="P55" s="50">
        <f>VLOOKUP($A55,'Data shares'!$C:$FB,125)</f>
        <v>0.81</v>
      </c>
      <c r="Q55" s="50">
        <f>VLOOKUP($A55,'Data shares'!$C:$FB,127)*100</f>
        <v>-29.630000000000003</v>
      </c>
    </row>
    <row r="56" spans="1:17" x14ac:dyDescent="0.25">
      <c r="A56" s="97" t="str">
        <f>'Snapshot (Value)'!A60</f>
        <v>CUMMINSIND</v>
      </c>
      <c r="B56" s="140">
        <f>VLOOKUP($A56,'Data shares'!$C:$FB,7)</f>
        <v>4363.2</v>
      </c>
      <c r="C56" s="140">
        <f>VLOOKUP($A56,'Data shares'!$C:$FB,3)</f>
        <v>4376.3999999999996</v>
      </c>
      <c r="D56" s="140">
        <f>VLOOKUP($A56,'Data shares'!$C:$FB,4)</f>
        <v>4409.7</v>
      </c>
      <c r="E56" s="50">
        <f t="shared" si="0"/>
        <v>-0.75515341179672502</v>
      </c>
      <c r="F56" s="49">
        <f>VLOOKUP($A56,'Data shares'!$C:$FB,98)</f>
        <v>5587200</v>
      </c>
      <c r="G56" s="49">
        <f>VLOOKUP($A56,'Data shares'!$C:$FB,99)</f>
        <v>5608000</v>
      </c>
      <c r="H56" s="50">
        <f t="shared" si="1"/>
        <v>-0.37089871611982883</v>
      </c>
      <c r="I56" s="49">
        <f>VLOOKUP($A56,'Data shares'!$C:$FB,66)</f>
        <v>3769600</v>
      </c>
      <c r="J56" s="49">
        <f>VLOOKUP($A56,'Data shares'!$C:$FB,67)</f>
        <v>3478400</v>
      </c>
      <c r="K56" s="50">
        <f t="shared" si="2"/>
        <v>7.7249575551782677</v>
      </c>
      <c r="L56" s="50">
        <f>VLOOKUP($A56,'Data shares'!$C:$FB,118)</f>
        <v>0.89</v>
      </c>
      <c r="M56" s="50">
        <f>VLOOKUP($A56,'Data shares'!$C:$FB,119)</f>
        <v>0.95</v>
      </c>
      <c r="N56" s="50">
        <f>VLOOKUP($A56,'Data shares'!$C:$FB,121)*100</f>
        <v>-6.32</v>
      </c>
      <c r="O56" s="50">
        <f>VLOOKUP($A56,'Data shares'!$C:$FB,124)</f>
        <v>0.51</v>
      </c>
      <c r="P56" s="50">
        <f>VLOOKUP($A56,'Data shares'!$C:$FB,125)</f>
        <v>0.74</v>
      </c>
      <c r="Q56" s="50">
        <f>VLOOKUP($A56,'Data shares'!$C:$FB,127)*100</f>
        <v>-31.080000000000002</v>
      </c>
    </row>
    <row r="57" spans="1:17" x14ac:dyDescent="0.25">
      <c r="A57" s="97" t="str">
        <f>'Snapshot (Value)'!A61</f>
        <v>DABUR</v>
      </c>
      <c r="B57" s="140">
        <f>VLOOKUP($A57,'Data shares'!$C:$FB,7)</f>
        <v>522.35</v>
      </c>
      <c r="C57" s="140">
        <f>VLOOKUP($A57,'Data shares'!$C:$FB,3)</f>
        <v>523.29999999999995</v>
      </c>
      <c r="D57" s="140">
        <f>VLOOKUP($A57,'Data shares'!$C:$FB,4)</f>
        <v>520</v>
      </c>
      <c r="E57" s="50">
        <f t="shared" si="0"/>
        <v>0.63461538461537581</v>
      </c>
      <c r="F57" s="49">
        <f>VLOOKUP($A57,'Data shares'!$C:$FB,98)</f>
        <v>46253750</v>
      </c>
      <c r="G57" s="49">
        <f>VLOOKUP($A57,'Data shares'!$C:$FB,99)</f>
        <v>46082500</v>
      </c>
      <c r="H57" s="50">
        <f t="shared" si="1"/>
        <v>0.37161612325720178</v>
      </c>
      <c r="I57" s="49">
        <f>VLOOKUP($A57,'Data shares'!$C:$FB,66)</f>
        <v>21225000</v>
      </c>
      <c r="J57" s="49">
        <f>VLOOKUP($A57,'Data shares'!$C:$FB,67)</f>
        <v>19337500</v>
      </c>
      <c r="K57" s="50">
        <f t="shared" si="2"/>
        <v>8.8928150765606588</v>
      </c>
      <c r="L57" s="50">
        <f>VLOOKUP($A57,'Data shares'!$C:$FB,118)</f>
        <v>0.57999999999999996</v>
      </c>
      <c r="M57" s="50">
        <f>VLOOKUP($A57,'Data shares'!$C:$FB,119)</f>
        <v>0.59</v>
      </c>
      <c r="N57" s="50">
        <f>VLOOKUP($A57,'Data shares'!$C:$FB,121)*100</f>
        <v>-1.69</v>
      </c>
      <c r="O57" s="50">
        <f>VLOOKUP($A57,'Data shares'!$C:$FB,124)</f>
        <v>0.51</v>
      </c>
      <c r="P57" s="50">
        <f>VLOOKUP($A57,'Data shares'!$C:$FB,125)</f>
        <v>0.39</v>
      </c>
      <c r="Q57" s="50">
        <f>VLOOKUP($A57,'Data shares'!$C:$FB,127)*100</f>
        <v>30.769999999999996</v>
      </c>
    </row>
    <row r="58" spans="1:17" x14ac:dyDescent="0.25">
      <c r="A58" s="97" t="str">
        <f>'Snapshot (Value)'!A62</f>
        <v>DALBHARAT</v>
      </c>
      <c r="B58" s="140">
        <f>VLOOKUP($A58,'Data shares'!$C:$FB,7)</f>
        <v>2175.1999999999998</v>
      </c>
      <c r="C58" s="140">
        <f>VLOOKUP($A58,'Data shares'!$C:$FB,3)</f>
        <v>2181.6999999999998</v>
      </c>
      <c r="D58" s="140">
        <f>VLOOKUP($A58,'Data shares'!$C:$FB,4)</f>
        <v>2194.5</v>
      </c>
      <c r="E58" s="50">
        <f t="shared" si="0"/>
        <v>-0.58327637275006516</v>
      </c>
      <c r="F58" s="49">
        <f>VLOOKUP($A58,'Data shares'!$C:$FB,98)</f>
        <v>5489900</v>
      </c>
      <c r="G58" s="49">
        <f>VLOOKUP($A58,'Data shares'!$C:$FB,99)</f>
        <v>5318300</v>
      </c>
      <c r="H58" s="50">
        <f t="shared" si="1"/>
        <v>3.2265949645563432</v>
      </c>
      <c r="I58" s="49">
        <f>VLOOKUP($A58,'Data shares'!$C:$FB,66)</f>
        <v>1100125</v>
      </c>
      <c r="J58" s="49">
        <f>VLOOKUP($A58,'Data shares'!$C:$FB,67)</f>
        <v>1517750</v>
      </c>
      <c r="K58" s="50">
        <f t="shared" si="2"/>
        <v>-37.9615952732644</v>
      </c>
      <c r="L58" s="50">
        <f>VLOOKUP($A58,'Data shares'!$C:$FB,118)</f>
        <v>2.12</v>
      </c>
      <c r="M58" s="50">
        <f>VLOOKUP($A58,'Data shares'!$C:$FB,119)</f>
        <v>2.14</v>
      </c>
      <c r="N58" s="50">
        <f>VLOOKUP($A58,'Data shares'!$C:$FB,121)*100</f>
        <v>-0.92999999999999994</v>
      </c>
      <c r="O58" s="50">
        <f>VLOOKUP($A58,'Data shares'!$C:$FB,124)</f>
        <v>1.1399999999999999</v>
      </c>
      <c r="P58" s="50">
        <f>VLOOKUP($A58,'Data shares'!$C:$FB,125)</f>
        <v>0.36</v>
      </c>
      <c r="Q58" s="50">
        <f>VLOOKUP($A58,'Data shares'!$C:$FB,127)*100</f>
        <v>216.67000000000002</v>
      </c>
    </row>
    <row r="59" spans="1:17" x14ac:dyDescent="0.25">
      <c r="A59" s="97" t="str">
        <f>'Snapshot (Value)'!A63</f>
        <v>DELHIVERY</v>
      </c>
      <c r="B59" s="140">
        <f>VLOOKUP($A59,'Data shares'!$C:$FB,7)</f>
        <v>429.5</v>
      </c>
      <c r="C59" s="140">
        <f>VLOOKUP($A59,'Data shares'!$C:$FB,3)</f>
        <v>430.15</v>
      </c>
      <c r="D59" s="140">
        <f>VLOOKUP($A59,'Data shares'!$C:$FB,4)</f>
        <v>436.75</v>
      </c>
      <c r="E59" s="50">
        <f t="shared" si="0"/>
        <v>-1.5111619919862673</v>
      </c>
      <c r="F59" s="49">
        <f>VLOOKUP($A59,'Data shares'!$C:$FB,98)</f>
        <v>41599600</v>
      </c>
      <c r="G59" s="49">
        <f>VLOOKUP($A59,'Data shares'!$C:$FB,99)</f>
        <v>41155550</v>
      </c>
      <c r="H59" s="50">
        <f t="shared" si="1"/>
        <v>1.0789553292326308</v>
      </c>
      <c r="I59" s="49">
        <f>VLOOKUP($A59,'Data shares'!$C:$FB,66)</f>
        <v>19702125</v>
      </c>
      <c r="J59" s="49">
        <f>VLOOKUP($A59,'Data shares'!$C:$FB,67)</f>
        <v>26740525</v>
      </c>
      <c r="K59" s="50">
        <f t="shared" si="2"/>
        <v>-35.724065297525016</v>
      </c>
      <c r="L59" s="50">
        <f>VLOOKUP($A59,'Data shares'!$C:$FB,118)</f>
        <v>0.56999999999999995</v>
      </c>
      <c r="M59" s="50">
        <f>VLOOKUP($A59,'Data shares'!$C:$FB,119)</f>
        <v>0.56999999999999995</v>
      </c>
      <c r="N59" s="50">
        <f>VLOOKUP($A59,'Data shares'!$C:$FB,121)*100</f>
        <v>0</v>
      </c>
      <c r="O59" s="50">
        <f>VLOOKUP($A59,'Data shares'!$C:$FB,124)</f>
        <v>0.4</v>
      </c>
      <c r="P59" s="50">
        <f>VLOOKUP($A59,'Data shares'!$C:$FB,125)</f>
        <v>0.37</v>
      </c>
      <c r="Q59" s="50">
        <f>VLOOKUP($A59,'Data shares'!$C:$FB,127)*100</f>
        <v>8.1100000000000012</v>
      </c>
    </row>
    <row r="60" spans="1:17" x14ac:dyDescent="0.25">
      <c r="A60" s="97" t="str">
        <f>'Snapshot (Value)'!A64</f>
        <v>DIVISLAB</v>
      </c>
      <c r="B60" s="140">
        <f>VLOOKUP($A60,'Data shares'!$C:$FB,7)</f>
        <v>6386.5</v>
      </c>
      <c r="C60" s="140">
        <f>VLOOKUP($A60,'Data shares'!$C:$FB,3)</f>
        <v>6363</v>
      </c>
      <c r="D60" s="140">
        <f>VLOOKUP($A60,'Data shares'!$C:$FB,4)</f>
        <v>6182</v>
      </c>
      <c r="E60" s="50">
        <f t="shared" si="0"/>
        <v>2.9278550630863798</v>
      </c>
      <c r="F60" s="49">
        <f>VLOOKUP($A60,'Data shares'!$C:$FB,98)</f>
        <v>6431800</v>
      </c>
      <c r="G60" s="49">
        <f>VLOOKUP($A60,'Data shares'!$C:$FB,99)</f>
        <v>5672000</v>
      </c>
      <c r="H60" s="50">
        <f t="shared" si="1"/>
        <v>13.395627644569815</v>
      </c>
      <c r="I60" s="49">
        <f>VLOOKUP($A60,'Data shares'!$C:$FB,66)</f>
        <v>22926000</v>
      </c>
      <c r="J60" s="49">
        <f>VLOOKUP($A60,'Data shares'!$C:$FB,67)</f>
        <v>3547900</v>
      </c>
      <c r="K60" s="50">
        <f t="shared" si="2"/>
        <v>84.524557271220445</v>
      </c>
      <c r="L60" s="50">
        <f>VLOOKUP($A60,'Data shares'!$C:$FB,118)</f>
        <v>0.64</v>
      </c>
      <c r="M60" s="50">
        <f>VLOOKUP($A60,'Data shares'!$C:$FB,119)</f>
        <v>0.66</v>
      </c>
      <c r="N60" s="50">
        <f>VLOOKUP($A60,'Data shares'!$C:$FB,121)*100</f>
        <v>-3.0300000000000002</v>
      </c>
      <c r="O60" s="50">
        <f>VLOOKUP($A60,'Data shares'!$C:$FB,124)</f>
        <v>0.44</v>
      </c>
      <c r="P60" s="50">
        <f>VLOOKUP($A60,'Data shares'!$C:$FB,125)</f>
        <v>0.33</v>
      </c>
      <c r="Q60" s="50">
        <f>VLOOKUP($A60,'Data shares'!$C:$FB,127)*100</f>
        <v>33.33</v>
      </c>
    </row>
    <row r="61" spans="1:17" x14ac:dyDescent="0.25">
      <c r="A61" s="97" t="str">
        <f>'Snapshot (Value)'!A65</f>
        <v>DIXON</v>
      </c>
      <c r="B61" s="140">
        <f>VLOOKUP($A61,'Data shares'!$C:$FB,7)</f>
        <v>11741</v>
      </c>
      <c r="C61" s="140">
        <f>VLOOKUP($A61,'Data shares'!$C:$FB,3)</f>
        <v>11776</v>
      </c>
      <c r="D61" s="140">
        <f>VLOOKUP($A61,'Data shares'!$C:$FB,4)</f>
        <v>11621</v>
      </c>
      <c r="E61" s="50">
        <f t="shared" si="0"/>
        <v>1.3337922726099303</v>
      </c>
      <c r="F61" s="49">
        <f>VLOOKUP($A61,'Data shares'!$C:$FB,98)</f>
        <v>6258750</v>
      </c>
      <c r="G61" s="49">
        <f>VLOOKUP($A61,'Data shares'!$C:$FB,99)</f>
        <v>6283800</v>
      </c>
      <c r="H61" s="50">
        <f t="shared" si="1"/>
        <v>-0.39864413253127085</v>
      </c>
      <c r="I61" s="49">
        <f>VLOOKUP($A61,'Data shares'!$C:$FB,66)</f>
        <v>5444800</v>
      </c>
      <c r="J61" s="49">
        <f>VLOOKUP($A61,'Data shares'!$C:$FB,67)</f>
        <v>5500900</v>
      </c>
      <c r="K61" s="50">
        <f t="shared" si="2"/>
        <v>-1.0303408756979135</v>
      </c>
      <c r="L61" s="50">
        <f>VLOOKUP($A61,'Data shares'!$C:$FB,118)</f>
        <v>0.78</v>
      </c>
      <c r="M61" s="50">
        <f>VLOOKUP($A61,'Data shares'!$C:$FB,119)</f>
        <v>0.73</v>
      </c>
      <c r="N61" s="50">
        <f>VLOOKUP($A61,'Data shares'!$C:$FB,121)*100</f>
        <v>6.8500000000000005</v>
      </c>
      <c r="O61" s="50">
        <f>VLOOKUP($A61,'Data shares'!$C:$FB,124)</f>
        <v>0.45</v>
      </c>
      <c r="P61" s="50">
        <f>VLOOKUP($A61,'Data shares'!$C:$FB,125)</f>
        <v>0.5</v>
      </c>
      <c r="Q61" s="50">
        <f>VLOOKUP($A61,'Data shares'!$C:$FB,127)*100</f>
        <v>-10</v>
      </c>
    </row>
    <row r="62" spans="1:17" x14ac:dyDescent="0.25">
      <c r="A62" s="97" t="str">
        <f>'Snapshot (Value)'!A66</f>
        <v>DLF</v>
      </c>
      <c r="B62" s="140">
        <f>VLOOKUP($A62,'Data shares'!$C:$FB,7)</f>
        <v>672.05</v>
      </c>
      <c r="C62" s="140">
        <f>VLOOKUP($A62,'Data shares'!$C:$FB,3)</f>
        <v>672.55</v>
      </c>
      <c r="D62" s="140">
        <f>VLOOKUP($A62,'Data shares'!$C:$FB,4)</f>
        <v>674.15</v>
      </c>
      <c r="E62" s="50">
        <f t="shared" si="0"/>
        <v>-0.23733590447230185</v>
      </c>
      <c r="F62" s="49">
        <f>VLOOKUP($A62,'Data shares'!$C:$FB,98)</f>
        <v>76020450</v>
      </c>
      <c r="G62" s="49">
        <f>VLOOKUP($A62,'Data shares'!$C:$FB,99)</f>
        <v>75956925</v>
      </c>
      <c r="H62" s="50">
        <f t="shared" si="1"/>
        <v>8.3632927478304309E-2</v>
      </c>
      <c r="I62" s="49">
        <f>VLOOKUP($A62,'Data shares'!$C:$FB,66)</f>
        <v>23698125</v>
      </c>
      <c r="J62" s="49">
        <f>VLOOKUP($A62,'Data shares'!$C:$FB,67)</f>
        <v>22531575</v>
      </c>
      <c r="K62" s="50">
        <f t="shared" si="2"/>
        <v>4.9225413402959095</v>
      </c>
      <c r="L62" s="50">
        <f>VLOOKUP($A62,'Data shares'!$C:$FB,118)</f>
        <v>0.87</v>
      </c>
      <c r="M62" s="50">
        <f>VLOOKUP($A62,'Data shares'!$C:$FB,119)</f>
        <v>0.85</v>
      </c>
      <c r="N62" s="50">
        <f>VLOOKUP($A62,'Data shares'!$C:$FB,121)*100</f>
        <v>2.35</v>
      </c>
      <c r="O62" s="50">
        <f>VLOOKUP($A62,'Data shares'!$C:$FB,124)</f>
        <v>0.63</v>
      </c>
      <c r="P62" s="50">
        <f>VLOOKUP($A62,'Data shares'!$C:$FB,125)</f>
        <v>0.44</v>
      </c>
      <c r="Q62" s="50">
        <f>VLOOKUP($A62,'Data shares'!$C:$FB,127)*100</f>
        <v>43.18</v>
      </c>
    </row>
    <row r="63" spans="1:17" x14ac:dyDescent="0.25">
      <c r="A63" s="97" t="str">
        <f>'Snapshot (Value)'!A67</f>
        <v>DMART</v>
      </c>
      <c r="B63" s="140">
        <f>VLOOKUP($A63,'Data shares'!$C:$FB,7)</f>
        <v>4003.7</v>
      </c>
      <c r="C63" s="140">
        <f>VLOOKUP($A63,'Data shares'!$C:$FB,3)</f>
        <v>3988.1</v>
      </c>
      <c r="D63" s="140">
        <f>VLOOKUP($A63,'Data shares'!$C:$FB,4)</f>
        <v>3998.8</v>
      </c>
      <c r="E63" s="50">
        <f t="shared" si="0"/>
        <v>-0.26758027408223145</v>
      </c>
      <c r="F63" s="49">
        <f>VLOOKUP($A63,'Data shares'!$C:$FB,98)</f>
        <v>8968050</v>
      </c>
      <c r="G63" s="49">
        <f>VLOOKUP($A63,'Data shares'!$C:$FB,99)</f>
        <v>8755500</v>
      </c>
      <c r="H63" s="50">
        <f t="shared" si="1"/>
        <v>2.4276169265033407</v>
      </c>
      <c r="I63" s="49">
        <f>VLOOKUP($A63,'Data shares'!$C:$FB,66)</f>
        <v>2650200</v>
      </c>
      <c r="J63" s="49">
        <f>VLOOKUP($A63,'Data shares'!$C:$FB,67)</f>
        <v>6068700</v>
      </c>
      <c r="K63" s="50">
        <f t="shared" si="2"/>
        <v>-128.99026488566901</v>
      </c>
      <c r="L63" s="50">
        <f>VLOOKUP($A63,'Data shares'!$C:$FB,118)</f>
        <v>0.69</v>
      </c>
      <c r="M63" s="50">
        <f>VLOOKUP($A63,'Data shares'!$C:$FB,119)</f>
        <v>0.73</v>
      </c>
      <c r="N63" s="50">
        <f>VLOOKUP($A63,'Data shares'!$C:$FB,121)*100</f>
        <v>-5.48</v>
      </c>
      <c r="O63" s="50">
        <f>VLOOKUP($A63,'Data shares'!$C:$FB,124)</f>
        <v>0.32</v>
      </c>
      <c r="P63" s="50">
        <f>VLOOKUP($A63,'Data shares'!$C:$FB,125)</f>
        <v>0.36</v>
      </c>
      <c r="Q63" s="50">
        <f>VLOOKUP($A63,'Data shares'!$C:$FB,127)*100</f>
        <v>-11.110000000000001</v>
      </c>
    </row>
    <row r="64" spans="1:17" x14ac:dyDescent="0.25">
      <c r="A64" s="97" t="str">
        <f>'Snapshot (Value)'!A68</f>
        <v>DRREDDY</v>
      </c>
      <c r="B64" s="140">
        <f>VLOOKUP($A64,'Data shares'!$C:$FB,7)</f>
        <v>1270.3</v>
      </c>
      <c r="C64" s="140">
        <f>VLOOKUP($A64,'Data shares'!$C:$FB,3)</f>
        <v>1271</v>
      </c>
      <c r="D64" s="140">
        <f>VLOOKUP($A64,'Data shares'!$C:$FB,4)</f>
        <v>1259</v>
      </c>
      <c r="E64" s="50">
        <f t="shared" si="0"/>
        <v>0.95313741064336788</v>
      </c>
      <c r="F64" s="49">
        <f>VLOOKUP($A64,'Data shares'!$C:$FB,98)</f>
        <v>27778750</v>
      </c>
      <c r="G64" s="49">
        <f>VLOOKUP($A64,'Data shares'!$C:$FB,99)</f>
        <v>28153750</v>
      </c>
      <c r="H64" s="50">
        <f t="shared" si="1"/>
        <v>-1.3319717621986413</v>
      </c>
      <c r="I64" s="49">
        <f>VLOOKUP($A64,'Data shares'!$C:$FB,66)</f>
        <v>13271875</v>
      </c>
      <c r="J64" s="49">
        <f>VLOOKUP($A64,'Data shares'!$C:$FB,67)</f>
        <v>17793750</v>
      </c>
      <c r="K64" s="50">
        <f t="shared" si="2"/>
        <v>-34.07110901813045</v>
      </c>
      <c r="L64" s="50">
        <f>VLOOKUP($A64,'Data shares'!$C:$FB,118)</f>
        <v>0.47</v>
      </c>
      <c r="M64" s="50">
        <f>VLOOKUP($A64,'Data shares'!$C:$FB,119)</f>
        <v>0.45</v>
      </c>
      <c r="N64" s="50">
        <f>VLOOKUP($A64,'Data shares'!$C:$FB,121)*100</f>
        <v>4.4400000000000004</v>
      </c>
      <c r="O64" s="50">
        <f>VLOOKUP($A64,'Data shares'!$C:$FB,124)</f>
        <v>0.31</v>
      </c>
      <c r="P64" s="50">
        <f>VLOOKUP($A64,'Data shares'!$C:$FB,125)</f>
        <v>0.34</v>
      </c>
      <c r="Q64" s="50">
        <f>VLOOKUP($A64,'Data shares'!$C:$FB,127)*100</f>
        <v>-8.82</v>
      </c>
    </row>
    <row r="65" spans="1:17" x14ac:dyDescent="0.25">
      <c r="A65" s="97" t="str">
        <f>'Snapshot (Value)'!A69</f>
        <v>EICHERMOT</v>
      </c>
      <c r="B65" s="140">
        <f>VLOOKUP($A65,'Data shares'!$C:$FB,7)</f>
        <v>7771</v>
      </c>
      <c r="C65" s="140">
        <f>VLOOKUP($A65,'Data shares'!$C:$FB,3)</f>
        <v>7795.5</v>
      </c>
      <c r="D65" s="140">
        <f>VLOOKUP($A65,'Data shares'!$C:$FB,4)</f>
        <v>7305</v>
      </c>
      <c r="E65" s="50">
        <f t="shared" si="0"/>
        <v>6.7145790554414786</v>
      </c>
      <c r="F65" s="49">
        <f>VLOOKUP($A65,'Data shares'!$C:$FB,98)</f>
        <v>8754100</v>
      </c>
      <c r="G65" s="49">
        <f>VLOOKUP($A65,'Data shares'!$C:$FB,99)</f>
        <v>6373200</v>
      </c>
      <c r="H65" s="50">
        <f t="shared" si="1"/>
        <v>37.357999121320532</v>
      </c>
      <c r="I65" s="49">
        <f>VLOOKUP($A65,'Data shares'!$C:$FB,66)</f>
        <v>44865900</v>
      </c>
      <c r="J65" s="49">
        <f>VLOOKUP($A65,'Data shares'!$C:$FB,67)</f>
        <v>7664700</v>
      </c>
      <c r="K65" s="50">
        <f t="shared" si="2"/>
        <v>82.916424277680818</v>
      </c>
      <c r="L65" s="50">
        <f>VLOOKUP($A65,'Data shares'!$C:$FB,118)</f>
        <v>0.95</v>
      </c>
      <c r="M65" s="50">
        <f>VLOOKUP($A65,'Data shares'!$C:$FB,119)</f>
        <v>0.76</v>
      </c>
      <c r="N65" s="50">
        <f>VLOOKUP($A65,'Data shares'!$C:$FB,121)*100</f>
        <v>25</v>
      </c>
      <c r="O65" s="50">
        <f>VLOOKUP($A65,'Data shares'!$C:$FB,124)</f>
        <v>0.44</v>
      </c>
      <c r="P65" s="50">
        <f>VLOOKUP($A65,'Data shares'!$C:$FB,125)</f>
        <v>0.33</v>
      </c>
      <c r="Q65" s="50">
        <f>VLOOKUP($A65,'Data shares'!$C:$FB,127)*100</f>
        <v>33.33</v>
      </c>
    </row>
    <row r="66" spans="1:17" x14ac:dyDescent="0.25">
      <c r="A66" s="97" t="str">
        <f>'Snapshot (Value)'!A70</f>
        <v>ETERNAL</v>
      </c>
      <c r="B66" s="140">
        <f>VLOOKUP($A66,'Data shares'!$C:$FB,7)</f>
        <v>300.7</v>
      </c>
      <c r="C66" s="140">
        <f>VLOOKUP($A66,'Data shares'!$C:$FB,3)</f>
        <v>301.64999999999998</v>
      </c>
      <c r="D66" s="140">
        <f>VLOOKUP($A66,'Data shares'!$C:$FB,4)</f>
        <v>304.10000000000002</v>
      </c>
      <c r="E66" s="50">
        <f t="shared" si="0"/>
        <v>-0.80565603419929144</v>
      </c>
      <c r="F66" s="49">
        <f>VLOOKUP($A66,'Data shares'!$C:$FB,98)</f>
        <v>386331600</v>
      </c>
      <c r="G66" s="49">
        <f>VLOOKUP($A66,'Data shares'!$C:$FB,99)</f>
        <v>389471975</v>
      </c>
      <c r="H66" s="50">
        <f t="shared" si="1"/>
        <v>-0.80631603852883127</v>
      </c>
      <c r="I66" s="49">
        <f>VLOOKUP($A66,'Data shares'!$C:$FB,66)</f>
        <v>225854800</v>
      </c>
      <c r="J66" s="49">
        <f>VLOOKUP($A66,'Data shares'!$C:$FB,67)</f>
        <v>813672375</v>
      </c>
      <c r="K66" s="50">
        <f t="shared" si="2"/>
        <v>-260.26348565538569</v>
      </c>
      <c r="L66" s="50">
        <f>VLOOKUP($A66,'Data shares'!$C:$FB,118)</f>
        <v>0.82</v>
      </c>
      <c r="M66" s="50">
        <f>VLOOKUP($A66,'Data shares'!$C:$FB,119)</f>
        <v>0.88</v>
      </c>
      <c r="N66" s="50">
        <f>VLOOKUP($A66,'Data shares'!$C:$FB,121)*100</f>
        <v>-6.8199999999999994</v>
      </c>
      <c r="O66" s="50">
        <f>VLOOKUP($A66,'Data shares'!$C:$FB,124)</f>
        <v>0.59</v>
      </c>
      <c r="P66" s="50">
        <f>VLOOKUP($A66,'Data shares'!$C:$FB,125)</f>
        <v>0.4</v>
      </c>
      <c r="Q66" s="50">
        <f>VLOOKUP($A66,'Data shares'!$C:$FB,127)*100</f>
        <v>47.5</v>
      </c>
    </row>
    <row r="67" spans="1:17" x14ac:dyDescent="0.25">
      <c r="A67" s="97" t="str">
        <f>'Snapshot (Value)'!A71</f>
        <v>EXIDEIND</v>
      </c>
      <c r="B67" s="140">
        <f>VLOOKUP($A67,'Data shares'!$C:$FB,7)</f>
        <v>341.1</v>
      </c>
      <c r="C67" s="140">
        <f>VLOOKUP($A67,'Data shares'!$C:$FB,3)</f>
        <v>341.45</v>
      </c>
      <c r="D67" s="140">
        <f>VLOOKUP($A67,'Data shares'!$C:$FB,4)</f>
        <v>339.05</v>
      </c>
      <c r="E67" s="50">
        <f t="shared" si="0"/>
        <v>0.70786019761096508</v>
      </c>
      <c r="F67" s="49">
        <f>VLOOKUP($A67,'Data shares'!$C:$FB,98)</f>
        <v>65145600</v>
      </c>
      <c r="G67" s="49">
        <f>VLOOKUP($A67,'Data shares'!$C:$FB,99)</f>
        <v>64960200</v>
      </c>
      <c r="H67" s="50">
        <f t="shared" si="1"/>
        <v>0.28540552522929424</v>
      </c>
      <c r="I67" s="49">
        <f>VLOOKUP($A67,'Data shares'!$C:$FB,66)</f>
        <v>14083200</v>
      </c>
      <c r="J67" s="49">
        <f>VLOOKUP($A67,'Data shares'!$C:$FB,67)</f>
        <v>19443600</v>
      </c>
      <c r="K67" s="50">
        <f t="shared" si="2"/>
        <v>-38.062372188139058</v>
      </c>
      <c r="L67" s="50">
        <f>VLOOKUP($A67,'Data shares'!$C:$FB,118)</f>
        <v>0.57999999999999996</v>
      </c>
      <c r="M67" s="50">
        <f>VLOOKUP($A67,'Data shares'!$C:$FB,119)</f>
        <v>0.59</v>
      </c>
      <c r="N67" s="50">
        <f>VLOOKUP($A67,'Data shares'!$C:$FB,121)*100</f>
        <v>-1.69</v>
      </c>
      <c r="O67" s="50">
        <f>VLOOKUP($A67,'Data shares'!$C:$FB,124)</f>
        <v>0.38</v>
      </c>
      <c r="P67" s="50">
        <f>VLOOKUP($A67,'Data shares'!$C:$FB,125)</f>
        <v>0.32</v>
      </c>
      <c r="Q67" s="50">
        <f>VLOOKUP($A67,'Data shares'!$C:$FB,127)*100</f>
        <v>18.75</v>
      </c>
    </row>
    <row r="68" spans="1:17" x14ac:dyDescent="0.25">
      <c r="A68" s="97" t="str">
        <f>'Snapshot (Value)'!A72</f>
        <v>FEDERALBNK</v>
      </c>
      <c r="B68" s="140">
        <f>VLOOKUP($A68,'Data shares'!$C:$FB,7)</f>
        <v>290.5</v>
      </c>
      <c r="C68" s="140">
        <f>VLOOKUP($A68,'Data shares'!$C:$FB,3)</f>
        <v>291.5</v>
      </c>
      <c r="D68" s="140">
        <f>VLOOKUP($A68,'Data shares'!$C:$FB,4)</f>
        <v>281.85000000000002</v>
      </c>
      <c r="E68" s="50">
        <f t="shared" si="0"/>
        <v>3.4238069895334315</v>
      </c>
      <c r="F68" s="49">
        <f>VLOOKUP($A68,'Data shares'!$C:$FB,98)</f>
        <v>138250000</v>
      </c>
      <c r="G68" s="49">
        <f>VLOOKUP($A68,'Data shares'!$C:$FB,99)</f>
        <v>128950000</v>
      </c>
      <c r="H68" s="50">
        <f t="shared" si="1"/>
        <v>7.2120977122915857</v>
      </c>
      <c r="I68" s="49">
        <f>VLOOKUP($A68,'Data shares'!$C:$FB,66)</f>
        <v>314900000</v>
      </c>
      <c r="J68" s="49">
        <f>VLOOKUP($A68,'Data shares'!$C:$FB,67)</f>
        <v>95745000</v>
      </c>
      <c r="K68" s="50">
        <f t="shared" si="2"/>
        <v>69.595109558590025</v>
      </c>
      <c r="L68" s="50">
        <f>VLOOKUP($A68,'Data shares'!$C:$FB,118)</f>
        <v>0.88</v>
      </c>
      <c r="M68" s="50">
        <f>VLOOKUP($A68,'Data shares'!$C:$FB,119)</f>
        <v>0.81</v>
      </c>
      <c r="N68" s="50">
        <f>VLOOKUP($A68,'Data shares'!$C:$FB,121)*100</f>
        <v>8.64</v>
      </c>
      <c r="O68" s="50">
        <f>VLOOKUP($A68,'Data shares'!$C:$FB,124)</f>
        <v>0.48</v>
      </c>
      <c r="P68" s="50">
        <f>VLOOKUP($A68,'Data shares'!$C:$FB,125)</f>
        <v>0.86</v>
      </c>
      <c r="Q68" s="50">
        <f>VLOOKUP($A68,'Data shares'!$C:$FB,127)*100</f>
        <v>-44.190000000000005</v>
      </c>
    </row>
    <row r="69" spans="1:17" x14ac:dyDescent="0.25">
      <c r="A69" s="97" t="str">
        <f>'Snapshot (Value)'!A73</f>
        <v>FINNIFTY</v>
      </c>
      <c r="B69" s="140">
        <f>VLOOKUP($A69,'Data shares'!$C:$FB,7)</f>
        <v>28276.95</v>
      </c>
      <c r="C69" s="140">
        <f>VLOOKUP($A69,'Data shares'!$C:$FB,3)</f>
        <v>28286.799999999999</v>
      </c>
      <c r="D69" s="140">
        <f>VLOOKUP($A69,'Data shares'!$C:$FB,4)</f>
        <v>28210.2</v>
      </c>
      <c r="E69" s="50">
        <f t="shared" si="0"/>
        <v>0.27153299161295752</v>
      </c>
      <c r="F69" s="49">
        <f>VLOOKUP($A69,'Data shares'!$C:$FB,98)</f>
        <v>1859700</v>
      </c>
      <c r="G69" s="49">
        <f>VLOOKUP($A69,'Data shares'!$C:$FB,99)</f>
        <v>1700100</v>
      </c>
      <c r="H69" s="50">
        <f t="shared" si="1"/>
        <v>9.3876830774660309</v>
      </c>
      <c r="I69" s="49">
        <f>VLOOKUP($A69,'Data shares'!$C:$FB,66)</f>
        <v>2727420</v>
      </c>
      <c r="J69" s="49">
        <f>VLOOKUP($A69,'Data shares'!$C:$FB,67)</f>
        <v>2553660</v>
      </c>
      <c r="K69" s="50">
        <f t="shared" si="2"/>
        <v>6.3708559737774157</v>
      </c>
      <c r="L69" s="50">
        <f>VLOOKUP($A69,'Data shares'!$C:$FB,118)</f>
        <v>1.22</v>
      </c>
      <c r="M69" s="50">
        <f>VLOOKUP($A69,'Data shares'!$C:$FB,119)</f>
        <v>1.39</v>
      </c>
      <c r="N69" s="50">
        <f>VLOOKUP($A69,'Data shares'!$C:$FB,121)*100</f>
        <v>-12.23</v>
      </c>
      <c r="O69" s="50">
        <f>VLOOKUP($A69,'Data shares'!$C:$FB,124)</f>
        <v>1.17</v>
      </c>
      <c r="P69" s="50">
        <f>VLOOKUP($A69,'Data shares'!$C:$FB,125)</f>
        <v>1.74</v>
      </c>
      <c r="Q69" s="50">
        <f>VLOOKUP($A69,'Data shares'!$C:$FB,127)*100</f>
        <v>-32.76</v>
      </c>
    </row>
    <row r="70" spans="1:17" x14ac:dyDescent="0.25">
      <c r="A70" s="97" t="str">
        <f>'Snapshot (Value)'!A74</f>
        <v>FORTIS</v>
      </c>
      <c r="B70" s="140">
        <f>VLOOKUP($A70,'Data shares'!$C:$FB,7)</f>
        <v>918.85</v>
      </c>
      <c r="C70" s="140">
        <f>VLOOKUP($A70,'Data shares'!$C:$FB,3)</f>
        <v>921.25</v>
      </c>
      <c r="D70" s="140">
        <f>VLOOKUP($A70,'Data shares'!$C:$FB,4)</f>
        <v>892.95</v>
      </c>
      <c r="E70" s="50">
        <f t="shared" si="0"/>
        <v>3.1692703958788231</v>
      </c>
      <c r="F70" s="49">
        <f>VLOOKUP($A70,'Data shares'!$C:$FB,98)</f>
        <v>20454575</v>
      </c>
      <c r="G70" s="49">
        <f>VLOOKUP($A70,'Data shares'!$C:$FB,99)</f>
        <v>17191825</v>
      </c>
      <c r="H70" s="50">
        <f t="shared" si="1"/>
        <v>18.978497047288464</v>
      </c>
      <c r="I70" s="49">
        <f>VLOOKUP($A70,'Data shares'!$C:$FB,66)</f>
        <v>50189775</v>
      </c>
      <c r="J70" s="49">
        <f>VLOOKUP($A70,'Data shares'!$C:$FB,67)</f>
        <v>6255025</v>
      </c>
      <c r="K70" s="50">
        <f t="shared" si="2"/>
        <v>87.53725235867266</v>
      </c>
      <c r="L70" s="50">
        <f>VLOOKUP($A70,'Data shares'!$C:$FB,118)</f>
        <v>0.67</v>
      </c>
      <c r="M70" s="50">
        <f>VLOOKUP($A70,'Data shares'!$C:$FB,119)</f>
        <v>0.78</v>
      </c>
      <c r="N70" s="50">
        <f>VLOOKUP($A70,'Data shares'!$C:$FB,121)*100</f>
        <v>-14.099999999999998</v>
      </c>
      <c r="O70" s="50">
        <f>VLOOKUP($A70,'Data shares'!$C:$FB,124)</f>
        <v>0.31</v>
      </c>
      <c r="P70" s="50">
        <f>VLOOKUP($A70,'Data shares'!$C:$FB,125)</f>
        <v>0.53</v>
      </c>
      <c r="Q70" s="50">
        <f>VLOOKUP($A70,'Data shares'!$C:$FB,127)*100</f>
        <v>-41.510000000000005</v>
      </c>
    </row>
    <row r="71" spans="1:17" x14ac:dyDescent="0.25">
      <c r="A71" s="97" t="str">
        <f>'Snapshot (Value)'!A75</f>
        <v>GAIL</v>
      </c>
      <c r="B71" s="140">
        <f>VLOOKUP($A71,'Data shares'!$C:$FB,7)</f>
        <v>163.47</v>
      </c>
      <c r="C71" s="140">
        <f>VLOOKUP($A71,'Data shares'!$C:$FB,3)</f>
        <v>164.01</v>
      </c>
      <c r="D71" s="140">
        <f>VLOOKUP($A71,'Data shares'!$C:$FB,4)</f>
        <v>165.06</v>
      </c>
      <c r="E71" s="50">
        <f t="shared" si="0"/>
        <v>-0.63613231552163541</v>
      </c>
      <c r="F71" s="49">
        <f>VLOOKUP($A71,'Data shares'!$C:$FB,98)</f>
        <v>190278900</v>
      </c>
      <c r="G71" s="49">
        <f>VLOOKUP($A71,'Data shares'!$C:$FB,99)</f>
        <v>188458200</v>
      </c>
      <c r="H71" s="50">
        <f t="shared" si="1"/>
        <v>0.96610282810724069</v>
      </c>
      <c r="I71" s="49">
        <f>VLOOKUP($A71,'Data shares'!$C:$FB,66)</f>
        <v>36848700</v>
      </c>
      <c r="J71" s="49">
        <f>VLOOKUP($A71,'Data shares'!$C:$FB,67)</f>
        <v>77152950</v>
      </c>
      <c r="K71" s="50">
        <f t="shared" si="2"/>
        <v>-109.37767139681998</v>
      </c>
      <c r="L71" s="50">
        <f>VLOOKUP($A71,'Data shares'!$C:$FB,118)</f>
        <v>0.76</v>
      </c>
      <c r="M71" s="50">
        <f>VLOOKUP($A71,'Data shares'!$C:$FB,119)</f>
        <v>0.76</v>
      </c>
      <c r="N71" s="50">
        <f>VLOOKUP($A71,'Data shares'!$C:$FB,121)*100</f>
        <v>0</v>
      </c>
      <c r="O71" s="50">
        <f>VLOOKUP($A71,'Data shares'!$C:$FB,124)</f>
        <v>0.5</v>
      </c>
      <c r="P71" s="50">
        <f>VLOOKUP($A71,'Data shares'!$C:$FB,125)</f>
        <v>0.55000000000000004</v>
      </c>
      <c r="Q71" s="50">
        <f>VLOOKUP($A71,'Data shares'!$C:$FB,127)*100</f>
        <v>-9.09</v>
      </c>
    </row>
    <row r="72" spans="1:17" x14ac:dyDescent="0.25">
      <c r="A72" s="97" t="str">
        <f>'Snapshot (Value)'!A76</f>
        <v>GLENMARK</v>
      </c>
      <c r="B72" s="140">
        <f>VLOOKUP($A72,'Data shares'!$C:$FB,7)</f>
        <v>2015.2</v>
      </c>
      <c r="C72" s="140">
        <f>VLOOKUP($A72,'Data shares'!$C:$FB,3)</f>
        <v>2018</v>
      </c>
      <c r="D72" s="140">
        <f>VLOOKUP($A72,'Data shares'!$C:$FB,4)</f>
        <v>1963.6</v>
      </c>
      <c r="E72" s="50">
        <f t="shared" ref="E72:E135" si="3">(C72-D72)/D72*100</f>
        <v>2.770421674475458</v>
      </c>
      <c r="F72" s="49">
        <f>VLOOKUP($A72,'Data shares'!$C:$FB,98)</f>
        <v>15714000</v>
      </c>
      <c r="G72" s="49">
        <f>VLOOKUP($A72,'Data shares'!$C:$FB,99)</f>
        <v>15631125</v>
      </c>
      <c r="H72" s="50">
        <f t="shared" ref="H72:H135" si="4">(F72-G72)/G72*100</f>
        <v>0.53019216467144881</v>
      </c>
      <c r="I72" s="49">
        <f>VLOOKUP($A72,'Data shares'!$C:$FB,66)</f>
        <v>7974375</v>
      </c>
      <c r="J72" s="49">
        <f>VLOOKUP($A72,'Data shares'!$C:$FB,67)</f>
        <v>3379875</v>
      </c>
      <c r="K72" s="50">
        <f t="shared" ref="K72:K135" si="5">(I72-J72)/I72*100</f>
        <v>57.615800611333178</v>
      </c>
      <c r="L72" s="50">
        <f>VLOOKUP($A72,'Data shares'!$C:$FB,118)</f>
        <v>0.71</v>
      </c>
      <c r="M72" s="50">
        <f>VLOOKUP($A72,'Data shares'!$C:$FB,119)</f>
        <v>0.65</v>
      </c>
      <c r="N72" s="50">
        <f>VLOOKUP($A72,'Data shares'!$C:$FB,121)*100</f>
        <v>9.2299999999999986</v>
      </c>
      <c r="O72" s="50">
        <f>VLOOKUP($A72,'Data shares'!$C:$FB,124)</f>
        <v>0.31</v>
      </c>
      <c r="P72" s="50">
        <f>VLOOKUP($A72,'Data shares'!$C:$FB,125)</f>
        <v>0.36</v>
      </c>
      <c r="Q72" s="50">
        <f>VLOOKUP($A72,'Data shares'!$C:$FB,127)*100</f>
        <v>-13.889999999999999</v>
      </c>
    </row>
    <row r="73" spans="1:17" x14ac:dyDescent="0.25">
      <c r="A73" s="97" t="str">
        <f>'Snapshot (Value)'!A77</f>
        <v>GMRAIRPORT</v>
      </c>
      <c r="B73" s="140">
        <f>VLOOKUP($A73,'Data shares'!$C:$FB,7)</f>
        <v>96.81</v>
      </c>
      <c r="C73" s="140">
        <f>VLOOKUP($A73,'Data shares'!$C:$FB,3)</f>
        <v>97.09</v>
      </c>
      <c r="D73" s="140">
        <f>VLOOKUP($A73,'Data shares'!$C:$FB,4)</f>
        <v>97.94</v>
      </c>
      <c r="E73" s="50">
        <f t="shared" si="3"/>
        <v>-0.86787829283234053</v>
      </c>
      <c r="F73" s="49">
        <f>VLOOKUP($A73,'Data shares'!$C:$FB,98)</f>
        <v>294059025</v>
      </c>
      <c r="G73" s="49">
        <f>VLOOKUP($A73,'Data shares'!$C:$FB,99)</f>
        <v>286679475</v>
      </c>
      <c r="H73" s="50">
        <f t="shared" si="4"/>
        <v>2.5741466144376051</v>
      </c>
      <c r="I73" s="49">
        <f>VLOOKUP($A73,'Data shares'!$C:$FB,66)</f>
        <v>54391050</v>
      </c>
      <c r="J73" s="49">
        <f>VLOOKUP($A73,'Data shares'!$C:$FB,67)</f>
        <v>55304775</v>
      </c>
      <c r="K73" s="50">
        <f t="shared" si="5"/>
        <v>-1.6799179276737626</v>
      </c>
      <c r="L73" s="50">
        <f>VLOOKUP($A73,'Data shares'!$C:$FB,118)</f>
        <v>0.68</v>
      </c>
      <c r="M73" s="50">
        <f>VLOOKUP($A73,'Data shares'!$C:$FB,119)</f>
        <v>0.71</v>
      </c>
      <c r="N73" s="50">
        <f>VLOOKUP($A73,'Data shares'!$C:$FB,121)*100</f>
        <v>-4.2299999999999995</v>
      </c>
      <c r="O73" s="50">
        <f>VLOOKUP($A73,'Data shares'!$C:$FB,124)</f>
        <v>0.32</v>
      </c>
      <c r="P73" s="50">
        <f>VLOOKUP($A73,'Data shares'!$C:$FB,125)</f>
        <v>0.52</v>
      </c>
      <c r="Q73" s="50">
        <f>VLOOKUP($A73,'Data shares'!$C:$FB,127)*100</f>
        <v>-38.46</v>
      </c>
    </row>
    <row r="74" spans="1:17" x14ac:dyDescent="0.25">
      <c r="A74" s="97" t="str">
        <f>'Snapshot (Value)'!A78</f>
        <v>GODREJCP</v>
      </c>
      <c r="B74" s="140">
        <f>VLOOKUP($A74,'Data shares'!$C:$FB,7)</f>
        <v>1208.5999999999999</v>
      </c>
      <c r="C74" s="140">
        <f>VLOOKUP($A74,'Data shares'!$C:$FB,3)</f>
        <v>1211.7</v>
      </c>
      <c r="D74" s="140">
        <f>VLOOKUP($A74,'Data shares'!$C:$FB,4)</f>
        <v>1206.8</v>
      </c>
      <c r="E74" s="50">
        <f t="shared" si="3"/>
        <v>0.40603248259861541</v>
      </c>
      <c r="F74" s="49">
        <f>VLOOKUP($A74,'Data shares'!$C:$FB,98)</f>
        <v>13404000</v>
      </c>
      <c r="G74" s="49">
        <f>VLOOKUP($A74,'Data shares'!$C:$FB,99)</f>
        <v>13452500</v>
      </c>
      <c r="H74" s="50">
        <f t="shared" si="4"/>
        <v>-0.36052778293997401</v>
      </c>
      <c r="I74" s="49">
        <f>VLOOKUP($A74,'Data shares'!$C:$FB,66)</f>
        <v>4537000</v>
      </c>
      <c r="J74" s="49">
        <f>VLOOKUP($A74,'Data shares'!$C:$FB,67)</f>
        <v>6660000</v>
      </c>
      <c r="K74" s="50">
        <f t="shared" si="5"/>
        <v>-46.793035045184048</v>
      </c>
      <c r="L74" s="50">
        <f>VLOOKUP($A74,'Data shares'!$C:$FB,118)</f>
        <v>0.74</v>
      </c>
      <c r="M74" s="50">
        <f>VLOOKUP($A74,'Data shares'!$C:$FB,119)</f>
        <v>0.74</v>
      </c>
      <c r="N74" s="50">
        <f>VLOOKUP($A74,'Data shares'!$C:$FB,121)*100</f>
        <v>0</v>
      </c>
      <c r="O74" s="50">
        <f>VLOOKUP($A74,'Data shares'!$C:$FB,124)</f>
        <v>0.36</v>
      </c>
      <c r="P74" s="50">
        <f>VLOOKUP($A74,'Data shares'!$C:$FB,125)</f>
        <v>0.38</v>
      </c>
      <c r="Q74" s="50">
        <f>VLOOKUP($A74,'Data shares'!$C:$FB,127)*100</f>
        <v>-5.26</v>
      </c>
    </row>
    <row r="75" spans="1:17" x14ac:dyDescent="0.25">
      <c r="A75" s="97" t="str">
        <f>'Snapshot (Value)'!A79</f>
        <v>GODREJPROP</v>
      </c>
      <c r="B75" s="140">
        <f>VLOOKUP($A75,'Data shares'!$C:$FB,7)</f>
        <v>1852.1</v>
      </c>
      <c r="C75" s="140">
        <f>VLOOKUP($A75,'Data shares'!$C:$FB,3)</f>
        <v>1853.4</v>
      </c>
      <c r="D75" s="140">
        <f>VLOOKUP($A75,'Data shares'!$C:$FB,4)</f>
        <v>1824.1</v>
      </c>
      <c r="E75" s="50">
        <f t="shared" si="3"/>
        <v>1.6062715859876202</v>
      </c>
      <c r="F75" s="49">
        <f>VLOOKUP($A75,'Data shares'!$C:$FB,98)</f>
        <v>17708350</v>
      </c>
      <c r="G75" s="49">
        <f>VLOOKUP($A75,'Data shares'!$C:$FB,99)</f>
        <v>18161275</v>
      </c>
      <c r="H75" s="50">
        <f t="shared" si="4"/>
        <v>-2.4939053012522523</v>
      </c>
      <c r="I75" s="49">
        <f>VLOOKUP($A75,'Data shares'!$C:$FB,66)</f>
        <v>12094500</v>
      </c>
      <c r="J75" s="49">
        <f>VLOOKUP($A75,'Data shares'!$C:$FB,67)</f>
        <v>11552475</v>
      </c>
      <c r="K75" s="50">
        <f t="shared" si="5"/>
        <v>4.4815825375170526</v>
      </c>
      <c r="L75" s="50">
        <f>VLOOKUP($A75,'Data shares'!$C:$FB,118)</f>
        <v>0.72</v>
      </c>
      <c r="M75" s="50">
        <f>VLOOKUP($A75,'Data shares'!$C:$FB,119)</f>
        <v>0.73</v>
      </c>
      <c r="N75" s="50">
        <f>VLOOKUP($A75,'Data shares'!$C:$FB,121)*100</f>
        <v>-1.37</v>
      </c>
      <c r="O75" s="50">
        <f>VLOOKUP($A75,'Data shares'!$C:$FB,124)</f>
        <v>0.54</v>
      </c>
      <c r="P75" s="50">
        <f>VLOOKUP($A75,'Data shares'!$C:$FB,125)</f>
        <v>0.44</v>
      </c>
      <c r="Q75" s="50">
        <f>VLOOKUP($A75,'Data shares'!$C:$FB,127)*100</f>
        <v>22.73</v>
      </c>
    </row>
    <row r="76" spans="1:17" x14ac:dyDescent="0.25">
      <c r="A76" s="97" t="str">
        <f>'Snapshot (Value)'!A80</f>
        <v>GRASIM</v>
      </c>
      <c r="B76" s="140">
        <f>VLOOKUP($A76,'Data shares'!$C:$FB,7)</f>
        <v>2932.6</v>
      </c>
      <c r="C76" s="140">
        <f>VLOOKUP($A76,'Data shares'!$C:$FB,3)</f>
        <v>2935.8</v>
      </c>
      <c r="D76" s="140">
        <f>VLOOKUP($A76,'Data shares'!$C:$FB,4)</f>
        <v>2958.1</v>
      </c>
      <c r="E76" s="50">
        <f t="shared" si="3"/>
        <v>-0.75386227646123283</v>
      </c>
      <c r="F76" s="49">
        <f>VLOOKUP($A76,'Data shares'!$C:$FB,98)</f>
        <v>21209000</v>
      </c>
      <c r="G76" s="49">
        <f>VLOOKUP($A76,'Data shares'!$C:$FB,99)</f>
        <v>21333500</v>
      </c>
      <c r="H76" s="50">
        <f t="shared" si="4"/>
        <v>-0.58358919070944759</v>
      </c>
      <c r="I76" s="49">
        <f>VLOOKUP($A76,'Data shares'!$C:$FB,66)</f>
        <v>16467750</v>
      </c>
      <c r="J76" s="49">
        <f>VLOOKUP($A76,'Data shares'!$C:$FB,67)</f>
        <v>12088750</v>
      </c>
      <c r="K76" s="50">
        <f t="shared" si="5"/>
        <v>26.591367976803141</v>
      </c>
      <c r="L76" s="50">
        <f>VLOOKUP($A76,'Data shares'!$C:$FB,118)</f>
        <v>0.84</v>
      </c>
      <c r="M76" s="50">
        <f>VLOOKUP($A76,'Data shares'!$C:$FB,119)</f>
        <v>0.96</v>
      </c>
      <c r="N76" s="50">
        <f>VLOOKUP($A76,'Data shares'!$C:$FB,121)*100</f>
        <v>-12.5</v>
      </c>
      <c r="O76" s="50">
        <f>VLOOKUP($A76,'Data shares'!$C:$FB,124)</f>
        <v>0.51</v>
      </c>
      <c r="P76" s="50">
        <f>VLOOKUP($A76,'Data shares'!$C:$FB,125)</f>
        <v>0.61</v>
      </c>
      <c r="Q76" s="50">
        <f>VLOOKUP($A76,'Data shares'!$C:$FB,127)*100</f>
        <v>-16.39</v>
      </c>
    </row>
    <row r="77" spans="1:17" x14ac:dyDescent="0.25">
      <c r="A77" s="97" t="str">
        <f>'Snapshot (Value)'!A81</f>
        <v>HAL</v>
      </c>
      <c r="B77" s="140">
        <f>VLOOKUP($A77,'Data shares'!$C:$FB,7)</f>
        <v>4133</v>
      </c>
      <c r="C77" s="140">
        <f>VLOOKUP($A77,'Data shares'!$C:$FB,3)</f>
        <v>4117.6000000000004</v>
      </c>
      <c r="D77" s="140">
        <f>VLOOKUP($A77,'Data shares'!$C:$FB,4)</f>
        <v>4139.3999999999996</v>
      </c>
      <c r="E77" s="50">
        <f t="shared" si="3"/>
        <v>-0.52664637387059177</v>
      </c>
      <c r="F77" s="49">
        <f>VLOOKUP($A77,'Data shares'!$C:$FB,98)</f>
        <v>25715700</v>
      </c>
      <c r="G77" s="49">
        <f>VLOOKUP($A77,'Data shares'!$C:$FB,99)</f>
        <v>25510350</v>
      </c>
      <c r="H77" s="50">
        <f t="shared" si="4"/>
        <v>0.80496739558649721</v>
      </c>
      <c r="I77" s="49">
        <f>VLOOKUP($A77,'Data shares'!$C:$FB,66)</f>
        <v>9493200</v>
      </c>
      <c r="J77" s="49">
        <f>VLOOKUP($A77,'Data shares'!$C:$FB,67)</f>
        <v>12153000</v>
      </c>
      <c r="K77" s="50">
        <f t="shared" si="5"/>
        <v>-28.01794969030464</v>
      </c>
      <c r="L77" s="50">
        <f>VLOOKUP($A77,'Data shares'!$C:$FB,118)</f>
        <v>0.55000000000000004</v>
      </c>
      <c r="M77" s="50">
        <f>VLOOKUP($A77,'Data shares'!$C:$FB,119)</f>
        <v>0.55000000000000004</v>
      </c>
      <c r="N77" s="50">
        <f>VLOOKUP($A77,'Data shares'!$C:$FB,121)*100</f>
        <v>0</v>
      </c>
      <c r="O77" s="50">
        <f>VLOOKUP($A77,'Data shares'!$C:$FB,124)</f>
        <v>0.36</v>
      </c>
      <c r="P77" s="50">
        <f>VLOOKUP($A77,'Data shares'!$C:$FB,125)</f>
        <v>0.36</v>
      </c>
      <c r="Q77" s="50">
        <f>VLOOKUP($A77,'Data shares'!$C:$FB,127)*100</f>
        <v>0</v>
      </c>
    </row>
    <row r="78" spans="1:17" x14ac:dyDescent="0.25">
      <c r="A78" s="97" t="str">
        <f>'Snapshot (Value)'!A82</f>
        <v>HAVELLS</v>
      </c>
      <c r="B78" s="140">
        <f>VLOOKUP($A78,'Data shares'!$C:$FB,7)</f>
        <v>1383.8</v>
      </c>
      <c r="C78" s="140">
        <f>VLOOKUP($A78,'Data shares'!$C:$FB,3)</f>
        <v>1387.1</v>
      </c>
      <c r="D78" s="140">
        <f>VLOOKUP($A78,'Data shares'!$C:$FB,4)</f>
        <v>1374.6</v>
      </c>
      <c r="E78" s="50">
        <f t="shared" si="3"/>
        <v>0.90935544885784958</v>
      </c>
      <c r="F78" s="49">
        <f>VLOOKUP($A78,'Data shares'!$C:$FB,98)</f>
        <v>15843000</v>
      </c>
      <c r="G78" s="49">
        <f>VLOOKUP($A78,'Data shares'!$C:$FB,99)</f>
        <v>15814000</v>
      </c>
      <c r="H78" s="50">
        <f t="shared" si="4"/>
        <v>0.18338181358290123</v>
      </c>
      <c r="I78" s="49">
        <f>VLOOKUP($A78,'Data shares'!$C:$FB,66)</f>
        <v>4692500</v>
      </c>
      <c r="J78" s="49">
        <f>VLOOKUP($A78,'Data shares'!$C:$FB,67)</f>
        <v>6065000</v>
      </c>
      <c r="K78" s="50">
        <f t="shared" si="5"/>
        <v>-29.248801278636122</v>
      </c>
      <c r="L78" s="50">
        <f>VLOOKUP($A78,'Data shares'!$C:$FB,118)</f>
        <v>0.68</v>
      </c>
      <c r="M78" s="50">
        <f>VLOOKUP($A78,'Data shares'!$C:$FB,119)</f>
        <v>0.69</v>
      </c>
      <c r="N78" s="50">
        <f>VLOOKUP($A78,'Data shares'!$C:$FB,121)*100</f>
        <v>-1.4500000000000002</v>
      </c>
      <c r="O78" s="50">
        <f>VLOOKUP($A78,'Data shares'!$C:$FB,124)</f>
        <v>0.46</v>
      </c>
      <c r="P78" s="50">
        <f>VLOOKUP($A78,'Data shares'!$C:$FB,125)</f>
        <v>0.49</v>
      </c>
      <c r="Q78" s="50">
        <f>VLOOKUP($A78,'Data shares'!$C:$FB,127)*100</f>
        <v>-6.12</v>
      </c>
    </row>
    <row r="79" spans="1:17" x14ac:dyDescent="0.25">
      <c r="A79" s="97" t="str">
        <f>'Snapshot (Value)'!A83</f>
        <v>HCLTECH</v>
      </c>
      <c r="B79" s="140">
        <f>VLOOKUP($A79,'Data shares'!$C:$FB,7)</f>
        <v>1551.6</v>
      </c>
      <c r="C79" s="140">
        <f>VLOOKUP($A79,'Data shares'!$C:$FB,3)</f>
        <v>1553.5</v>
      </c>
      <c r="D79" s="140">
        <f>VLOOKUP($A79,'Data shares'!$C:$FB,4)</f>
        <v>1578.3</v>
      </c>
      <c r="E79" s="50">
        <f t="shared" si="3"/>
        <v>-1.5713109041373601</v>
      </c>
      <c r="F79" s="49">
        <f>VLOOKUP($A79,'Data shares'!$C:$FB,98)</f>
        <v>35658000</v>
      </c>
      <c r="G79" s="49">
        <f>VLOOKUP($A79,'Data shares'!$C:$FB,99)</f>
        <v>34394150</v>
      </c>
      <c r="H79" s="50">
        <f t="shared" si="4"/>
        <v>3.674607455046861</v>
      </c>
      <c r="I79" s="49">
        <f>VLOOKUP($A79,'Data shares'!$C:$FB,66)</f>
        <v>21196000</v>
      </c>
      <c r="J79" s="49">
        <f>VLOOKUP($A79,'Data shares'!$C:$FB,67)</f>
        <v>20867000</v>
      </c>
      <c r="K79" s="50">
        <f t="shared" si="5"/>
        <v>1.5521796565389696</v>
      </c>
      <c r="L79" s="50">
        <f>VLOOKUP($A79,'Data shares'!$C:$FB,118)</f>
        <v>0.53</v>
      </c>
      <c r="M79" s="50">
        <f>VLOOKUP($A79,'Data shares'!$C:$FB,119)</f>
        <v>0.59</v>
      </c>
      <c r="N79" s="50">
        <f>VLOOKUP($A79,'Data shares'!$C:$FB,121)*100</f>
        <v>-10.17</v>
      </c>
      <c r="O79" s="50">
        <f>VLOOKUP($A79,'Data shares'!$C:$FB,124)</f>
        <v>0.7</v>
      </c>
      <c r="P79" s="50">
        <f>VLOOKUP($A79,'Data shares'!$C:$FB,125)</f>
        <v>0.57999999999999996</v>
      </c>
      <c r="Q79" s="50">
        <f>VLOOKUP($A79,'Data shares'!$C:$FB,127)*100</f>
        <v>20.69</v>
      </c>
    </row>
    <row r="80" spans="1:17" x14ac:dyDescent="0.25">
      <c r="A80" s="97" t="str">
        <f>'Snapshot (Value)'!A84</f>
        <v>HDFCAMC</v>
      </c>
      <c r="B80" s="140">
        <f>VLOOKUP($A80,'Data shares'!$C:$FB,7)</f>
        <v>2826.9</v>
      </c>
      <c r="C80" s="140">
        <f>VLOOKUP($A80,'Data shares'!$C:$FB,3)</f>
        <v>2831.7</v>
      </c>
      <c r="D80" s="140">
        <f>VLOOKUP($A80,'Data shares'!$C:$FB,4)</f>
        <v>2819.5</v>
      </c>
      <c r="E80" s="50">
        <f t="shared" si="3"/>
        <v>0.43270083348110722</v>
      </c>
      <c r="F80" s="49">
        <f>VLOOKUP($A80,'Data shares'!$C:$FB,98)</f>
        <v>9884700</v>
      </c>
      <c r="G80" s="49">
        <f>VLOOKUP($A80,'Data shares'!$C:$FB,99)</f>
        <v>9957300</v>
      </c>
      <c r="H80" s="50">
        <f t="shared" si="4"/>
        <v>-0.72911331385014011</v>
      </c>
      <c r="I80" s="49">
        <f>VLOOKUP($A80,'Data shares'!$C:$FB,66)</f>
        <v>4146300</v>
      </c>
      <c r="J80" s="49">
        <f>VLOOKUP($A80,'Data shares'!$C:$FB,67)</f>
        <v>9772200</v>
      </c>
      <c r="K80" s="50">
        <f t="shared" si="5"/>
        <v>-135.68482743650966</v>
      </c>
      <c r="L80" s="50">
        <f>VLOOKUP($A80,'Data shares'!$C:$FB,118)</f>
        <v>0.91</v>
      </c>
      <c r="M80" s="50">
        <f>VLOOKUP($A80,'Data shares'!$C:$FB,119)</f>
        <v>0.91</v>
      </c>
      <c r="N80" s="50">
        <f>VLOOKUP($A80,'Data shares'!$C:$FB,121)*100</f>
        <v>0</v>
      </c>
      <c r="O80" s="50">
        <f>VLOOKUP($A80,'Data shares'!$C:$FB,124)</f>
        <v>0.48</v>
      </c>
      <c r="P80" s="50">
        <f>VLOOKUP($A80,'Data shares'!$C:$FB,125)</f>
        <v>0.39</v>
      </c>
      <c r="Q80" s="50">
        <f>VLOOKUP($A80,'Data shares'!$C:$FB,127)*100</f>
        <v>23.080000000000002</v>
      </c>
    </row>
    <row r="81" spans="1:17" x14ac:dyDescent="0.25">
      <c r="A81" s="97" t="str">
        <f>'Snapshot (Value)'!A85</f>
        <v>HDFCBANK</v>
      </c>
      <c r="B81" s="140">
        <f>VLOOKUP($A81,'Data shares'!$C:$FB,7)</f>
        <v>927.1</v>
      </c>
      <c r="C81" s="140">
        <f>VLOOKUP($A81,'Data shares'!$C:$FB,3)</f>
        <v>930.7</v>
      </c>
      <c r="D81" s="140">
        <f>VLOOKUP($A81,'Data shares'!$C:$FB,4)</f>
        <v>935.8</v>
      </c>
      <c r="E81" s="50">
        <f t="shared" si="3"/>
        <v>-0.54498824535156121</v>
      </c>
      <c r="F81" s="49">
        <f>VLOOKUP($A81,'Data shares'!$C:$FB,98)</f>
        <v>363347050</v>
      </c>
      <c r="G81" s="49">
        <f>VLOOKUP($A81,'Data shares'!$C:$FB,99)</f>
        <v>352744700</v>
      </c>
      <c r="H81" s="50">
        <f t="shared" si="4"/>
        <v>3.0056723743829461</v>
      </c>
      <c r="I81" s="49">
        <f>VLOOKUP($A81,'Data shares'!$C:$FB,66)</f>
        <v>125980800</v>
      </c>
      <c r="J81" s="49">
        <f>VLOOKUP($A81,'Data shares'!$C:$FB,67)</f>
        <v>118824200</v>
      </c>
      <c r="K81" s="50">
        <f t="shared" si="5"/>
        <v>5.6807069013690974</v>
      </c>
      <c r="L81" s="50">
        <f>VLOOKUP($A81,'Data shares'!$C:$FB,118)</f>
        <v>0.55000000000000004</v>
      </c>
      <c r="M81" s="50">
        <f>VLOOKUP($A81,'Data shares'!$C:$FB,119)</f>
        <v>0.57999999999999996</v>
      </c>
      <c r="N81" s="50">
        <f>VLOOKUP($A81,'Data shares'!$C:$FB,121)*100</f>
        <v>-5.17</v>
      </c>
      <c r="O81" s="50">
        <f>VLOOKUP($A81,'Data shares'!$C:$FB,124)</f>
        <v>0.5</v>
      </c>
      <c r="P81" s="50">
        <f>VLOOKUP($A81,'Data shares'!$C:$FB,125)</f>
        <v>0.55000000000000004</v>
      </c>
      <c r="Q81" s="50">
        <f>VLOOKUP($A81,'Data shares'!$C:$FB,127)*100</f>
        <v>-9.09</v>
      </c>
    </row>
    <row r="82" spans="1:17" x14ac:dyDescent="0.25">
      <c r="A82" s="97" t="str">
        <f>'Snapshot (Value)'!A86</f>
        <v>HDFCLIFE</v>
      </c>
      <c r="B82" s="140">
        <f>VLOOKUP($A82,'Data shares'!$C:$FB,7)</f>
        <v>701.1</v>
      </c>
      <c r="C82" s="140">
        <f>VLOOKUP($A82,'Data shares'!$C:$FB,3)</f>
        <v>702.95</v>
      </c>
      <c r="D82" s="140">
        <f>VLOOKUP($A82,'Data shares'!$C:$FB,4)</f>
        <v>706.35</v>
      </c>
      <c r="E82" s="50">
        <f t="shared" si="3"/>
        <v>-0.48134777376654314</v>
      </c>
      <c r="F82" s="49">
        <f>VLOOKUP($A82,'Data shares'!$C:$FB,98)</f>
        <v>61413000</v>
      </c>
      <c r="G82" s="49">
        <f>VLOOKUP($A82,'Data shares'!$C:$FB,99)</f>
        <v>60097400</v>
      </c>
      <c r="H82" s="50">
        <f t="shared" si="4"/>
        <v>2.189113006552696</v>
      </c>
      <c r="I82" s="49">
        <f>VLOOKUP($A82,'Data shares'!$C:$FB,66)</f>
        <v>16855300</v>
      </c>
      <c r="J82" s="49">
        <f>VLOOKUP($A82,'Data shares'!$C:$FB,67)</f>
        <v>15790500</v>
      </c>
      <c r="K82" s="50">
        <f t="shared" si="5"/>
        <v>6.3173007896625988</v>
      </c>
      <c r="L82" s="50">
        <f>VLOOKUP($A82,'Data shares'!$C:$FB,118)</f>
        <v>0.43</v>
      </c>
      <c r="M82" s="50">
        <f>VLOOKUP($A82,'Data shares'!$C:$FB,119)</f>
        <v>0.43</v>
      </c>
      <c r="N82" s="50">
        <f>VLOOKUP($A82,'Data shares'!$C:$FB,121)*100</f>
        <v>0</v>
      </c>
      <c r="O82" s="50">
        <f>VLOOKUP($A82,'Data shares'!$C:$FB,124)</f>
        <v>0.39</v>
      </c>
      <c r="P82" s="50">
        <f>VLOOKUP($A82,'Data shares'!$C:$FB,125)</f>
        <v>0.33</v>
      </c>
      <c r="Q82" s="50">
        <f>VLOOKUP($A82,'Data shares'!$C:$FB,127)*100</f>
        <v>18.18</v>
      </c>
    </row>
    <row r="83" spans="1:17" x14ac:dyDescent="0.25">
      <c r="A83" s="97" t="str">
        <f>'Snapshot (Value)'!A87</f>
        <v>HEROMOTOCO</v>
      </c>
      <c r="B83" s="140">
        <f>VLOOKUP($A83,'Data shares'!$C:$FB,7)</f>
        <v>5682.5</v>
      </c>
      <c r="C83" s="140">
        <f>VLOOKUP($A83,'Data shares'!$C:$FB,3)</f>
        <v>5700.5</v>
      </c>
      <c r="D83" s="140">
        <f>VLOOKUP($A83,'Data shares'!$C:$FB,4)</f>
        <v>5664</v>
      </c>
      <c r="E83" s="50">
        <f t="shared" si="3"/>
        <v>0.64442090395480223</v>
      </c>
      <c r="F83" s="49">
        <f>VLOOKUP($A83,'Data shares'!$C:$FB,98)</f>
        <v>8917200</v>
      </c>
      <c r="G83" s="49">
        <f>VLOOKUP($A83,'Data shares'!$C:$FB,99)</f>
        <v>9427350</v>
      </c>
      <c r="H83" s="50">
        <f t="shared" si="4"/>
        <v>-5.4113828382313161</v>
      </c>
      <c r="I83" s="49">
        <f>VLOOKUP($A83,'Data shares'!$C:$FB,66)</f>
        <v>13795050</v>
      </c>
      <c r="J83" s="49">
        <f>VLOOKUP($A83,'Data shares'!$C:$FB,67)</f>
        <v>9383850</v>
      </c>
      <c r="K83" s="50">
        <f t="shared" si="5"/>
        <v>31.9766872900062</v>
      </c>
      <c r="L83" s="50">
        <f>VLOOKUP($A83,'Data shares'!$C:$FB,118)</f>
        <v>0.61</v>
      </c>
      <c r="M83" s="50">
        <f>VLOOKUP($A83,'Data shares'!$C:$FB,119)</f>
        <v>0.56000000000000005</v>
      </c>
      <c r="N83" s="50">
        <f>VLOOKUP($A83,'Data shares'!$C:$FB,121)*100</f>
        <v>8.93</v>
      </c>
      <c r="O83" s="50">
        <f>VLOOKUP($A83,'Data shares'!$C:$FB,124)</f>
        <v>0.4</v>
      </c>
      <c r="P83" s="50">
        <f>VLOOKUP($A83,'Data shares'!$C:$FB,125)</f>
        <v>0.33</v>
      </c>
      <c r="Q83" s="50">
        <f>VLOOKUP($A83,'Data shares'!$C:$FB,127)*100</f>
        <v>21.21</v>
      </c>
    </row>
    <row r="84" spans="1:17" x14ac:dyDescent="0.25">
      <c r="A84" s="97" t="str">
        <f>'Snapshot (Value)'!A88</f>
        <v>HINDALCO</v>
      </c>
      <c r="B84" s="140">
        <f>VLOOKUP($A84,'Data shares'!$C:$FB,7)</f>
        <v>965.95</v>
      </c>
      <c r="C84" s="140">
        <f>VLOOKUP($A84,'Data shares'!$C:$FB,3)</f>
        <v>964.85</v>
      </c>
      <c r="D84" s="140">
        <f>VLOOKUP($A84,'Data shares'!$C:$FB,4)</f>
        <v>968.2</v>
      </c>
      <c r="E84" s="50">
        <f t="shared" si="3"/>
        <v>-0.34600289196447248</v>
      </c>
      <c r="F84" s="49">
        <f>VLOOKUP($A84,'Data shares'!$C:$FB,98)</f>
        <v>70389900</v>
      </c>
      <c r="G84" s="49">
        <f>VLOOKUP($A84,'Data shares'!$C:$FB,99)</f>
        <v>67406500</v>
      </c>
      <c r="H84" s="50">
        <f t="shared" si="4"/>
        <v>4.4259826574588503</v>
      </c>
      <c r="I84" s="49">
        <f>VLOOKUP($A84,'Data shares'!$C:$FB,66)</f>
        <v>49658000</v>
      </c>
      <c r="J84" s="49">
        <f>VLOOKUP($A84,'Data shares'!$C:$FB,67)</f>
        <v>26611200</v>
      </c>
      <c r="K84" s="50">
        <f t="shared" si="5"/>
        <v>46.411051592895404</v>
      </c>
      <c r="L84" s="50">
        <f>VLOOKUP($A84,'Data shares'!$C:$FB,118)</f>
        <v>0.8</v>
      </c>
      <c r="M84" s="50">
        <f>VLOOKUP($A84,'Data shares'!$C:$FB,119)</f>
        <v>0.75</v>
      </c>
      <c r="N84" s="50">
        <f>VLOOKUP($A84,'Data shares'!$C:$FB,121)*100</f>
        <v>6.67</v>
      </c>
      <c r="O84" s="50">
        <f>VLOOKUP($A84,'Data shares'!$C:$FB,124)</f>
        <v>0.59</v>
      </c>
      <c r="P84" s="50">
        <f>VLOOKUP($A84,'Data shares'!$C:$FB,125)</f>
        <v>0.44</v>
      </c>
      <c r="Q84" s="50">
        <f>VLOOKUP($A84,'Data shares'!$C:$FB,127)*100</f>
        <v>34.089999999999996</v>
      </c>
    </row>
    <row r="85" spans="1:17" x14ac:dyDescent="0.25">
      <c r="A85" s="97" t="str">
        <f>'Snapshot (Value)'!A89</f>
        <v>HINDPETRO</v>
      </c>
      <c r="B85" s="140">
        <f>VLOOKUP($A85,'Data shares'!$C:$FB,7)</f>
        <v>461.75</v>
      </c>
      <c r="C85" s="140">
        <f>VLOOKUP($A85,'Data shares'!$C:$FB,3)</f>
        <v>462.1</v>
      </c>
      <c r="D85" s="140">
        <f>VLOOKUP($A85,'Data shares'!$C:$FB,4)</f>
        <v>462.25</v>
      </c>
      <c r="E85" s="50">
        <f t="shared" si="3"/>
        <v>-3.2449972958350948E-2</v>
      </c>
      <c r="F85" s="49">
        <f>VLOOKUP($A85,'Data shares'!$C:$FB,98)</f>
        <v>65662650</v>
      </c>
      <c r="G85" s="49">
        <f>VLOOKUP($A85,'Data shares'!$C:$FB,99)</f>
        <v>65439900</v>
      </c>
      <c r="H85" s="50">
        <f t="shared" si="4"/>
        <v>0.34038866196311424</v>
      </c>
      <c r="I85" s="49">
        <f>VLOOKUP($A85,'Data shares'!$C:$FB,66)</f>
        <v>23291550</v>
      </c>
      <c r="J85" s="49">
        <f>VLOOKUP($A85,'Data shares'!$C:$FB,67)</f>
        <v>22971600</v>
      </c>
      <c r="K85" s="50">
        <f t="shared" si="5"/>
        <v>1.3736741436271953</v>
      </c>
      <c r="L85" s="50">
        <f>VLOOKUP($A85,'Data shares'!$C:$FB,118)</f>
        <v>0.66</v>
      </c>
      <c r="M85" s="50">
        <f>VLOOKUP($A85,'Data shares'!$C:$FB,119)</f>
        <v>0.67</v>
      </c>
      <c r="N85" s="50">
        <f>VLOOKUP($A85,'Data shares'!$C:$FB,121)*100</f>
        <v>-1.49</v>
      </c>
      <c r="O85" s="50">
        <f>VLOOKUP($A85,'Data shares'!$C:$FB,124)</f>
        <v>0.28000000000000003</v>
      </c>
      <c r="P85" s="50">
        <f>VLOOKUP($A85,'Data shares'!$C:$FB,125)</f>
        <v>0.38</v>
      </c>
      <c r="Q85" s="50">
        <f>VLOOKUP($A85,'Data shares'!$C:$FB,127)*100</f>
        <v>-26.32</v>
      </c>
    </row>
    <row r="86" spans="1:17" x14ac:dyDescent="0.25">
      <c r="A86" s="97" t="str">
        <f>'Snapshot (Value)'!A90</f>
        <v>HINDUNILVR</v>
      </c>
      <c r="B86" s="140">
        <f>VLOOKUP($A86,'Data shares'!$C:$FB,7)</f>
        <v>2462.9</v>
      </c>
      <c r="C86" s="140">
        <f>VLOOKUP($A86,'Data shares'!$C:$FB,3)</f>
        <v>2469.1999999999998</v>
      </c>
      <c r="D86" s="140">
        <f>VLOOKUP($A86,'Data shares'!$C:$FB,4)</f>
        <v>2454.1999999999998</v>
      </c>
      <c r="E86" s="50">
        <f t="shared" si="3"/>
        <v>0.61119713144812982</v>
      </c>
      <c r="F86" s="49">
        <f>VLOOKUP($A86,'Data shares'!$C:$FB,98)</f>
        <v>24653400</v>
      </c>
      <c r="G86" s="49">
        <f>VLOOKUP($A86,'Data shares'!$C:$FB,99)</f>
        <v>24034800</v>
      </c>
      <c r="H86" s="50">
        <f t="shared" si="4"/>
        <v>2.5737680363472966</v>
      </c>
      <c r="I86" s="49">
        <f>VLOOKUP($A86,'Data shares'!$C:$FB,66)</f>
        <v>13492500</v>
      </c>
      <c r="J86" s="49">
        <f>VLOOKUP($A86,'Data shares'!$C:$FB,67)</f>
        <v>11323800</v>
      </c>
      <c r="K86" s="50">
        <f t="shared" si="5"/>
        <v>16.0733740967204</v>
      </c>
      <c r="L86" s="50">
        <f>VLOOKUP($A86,'Data shares'!$C:$FB,118)</f>
        <v>0.72</v>
      </c>
      <c r="M86" s="50">
        <f>VLOOKUP($A86,'Data shares'!$C:$FB,119)</f>
        <v>0.7</v>
      </c>
      <c r="N86" s="50">
        <f>VLOOKUP($A86,'Data shares'!$C:$FB,121)*100</f>
        <v>2.86</v>
      </c>
      <c r="O86" s="50">
        <f>VLOOKUP($A86,'Data shares'!$C:$FB,124)</f>
        <v>0.44</v>
      </c>
      <c r="P86" s="50">
        <f>VLOOKUP($A86,'Data shares'!$C:$FB,125)</f>
        <v>0.37</v>
      </c>
      <c r="Q86" s="50">
        <f>VLOOKUP($A86,'Data shares'!$C:$FB,127)*100</f>
        <v>18.920000000000002</v>
      </c>
    </row>
    <row r="87" spans="1:17" x14ac:dyDescent="0.25">
      <c r="A87" s="97" t="str">
        <f>'Snapshot (Value)'!A91</f>
        <v>HINDZINC</v>
      </c>
      <c r="B87" s="140">
        <f>VLOOKUP($A87,'Data shares'!$C:$FB,7)</f>
        <v>628.54999999999995</v>
      </c>
      <c r="C87" s="140">
        <f>VLOOKUP($A87,'Data shares'!$C:$FB,3)</f>
        <v>630.9</v>
      </c>
      <c r="D87" s="140">
        <f>VLOOKUP($A87,'Data shares'!$C:$FB,4)</f>
        <v>619.54999999999995</v>
      </c>
      <c r="E87" s="50">
        <f t="shared" si="3"/>
        <v>1.8319748204341897</v>
      </c>
      <c r="F87" s="49">
        <f>VLOOKUP($A87,'Data shares'!$C:$FB,98)</f>
        <v>144107775</v>
      </c>
      <c r="G87" s="49">
        <f>VLOOKUP($A87,'Data shares'!$C:$FB,99)</f>
        <v>147539000</v>
      </c>
      <c r="H87" s="50">
        <f t="shared" si="4"/>
        <v>-2.3256393224842244</v>
      </c>
      <c r="I87" s="49">
        <f>VLOOKUP($A87,'Data shares'!$C:$FB,66)</f>
        <v>74355050</v>
      </c>
      <c r="J87" s="49">
        <f>VLOOKUP($A87,'Data shares'!$C:$FB,67)</f>
        <v>80935750</v>
      </c>
      <c r="K87" s="50">
        <f t="shared" si="5"/>
        <v>-8.8503739826682928</v>
      </c>
      <c r="L87" s="50">
        <f>VLOOKUP($A87,'Data shares'!$C:$FB,118)</f>
        <v>0.55000000000000004</v>
      </c>
      <c r="M87" s="50">
        <f>VLOOKUP($A87,'Data shares'!$C:$FB,119)</f>
        <v>0.54</v>
      </c>
      <c r="N87" s="50">
        <f>VLOOKUP($A87,'Data shares'!$C:$FB,121)*100</f>
        <v>1.8499999999999999</v>
      </c>
      <c r="O87" s="50">
        <f>VLOOKUP($A87,'Data shares'!$C:$FB,124)</f>
        <v>0.45</v>
      </c>
      <c r="P87" s="50">
        <f>VLOOKUP($A87,'Data shares'!$C:$FB,125)</f>
        <v>0.55000000000000004</v>
      </c>
      <c r="Q87" s="50">
        <f>VLOOKUP($A87,'Data shares'!$C:$FB,127)*100</f>
        <v>-18.18</v>
      </c>
    </row>
    <row r="88" spans="1:17" x14ac:dyDescent="0.25">
      <c r="A88" s="97" t="str">
        <f>'Snapshot (Value)'!A92</f>
        <v>HUDCO</v>
      </c>
      <c r="B88" s="140">
        <f>VLOOKUP($A88,'Data shares'!$C:$FB,7)</f>
        <v>193.24</v>
      </c>
      <c r="C88" s="140">
        <f>VLOOKUP($A88,'Data shares'!$C:$FB,3)</f>
        <v>193.89</v>
      </c>
      <c r="D88" s="140">
        <f>VLOOKUP($A88,'Data shares'!$C:$FB,4)</f>
        <v>194.08</v>
      </c>
      <c r="E88" s="50">
        <f t="shared" si="3"/>
        <v>-9.7897774113780978E-2</v>
      </c>
      <c r="F88" s="140">
        <f>VLOOKUP($A88,'Data shares'!$C:$FB,98)</f>
        <v>96084375</v>
      </c>
      <c r="G88" s="140">
        <f>VLOOKUP($A88,'Data shares'!$C:$FB,99)</f>
        <v>95401725</v>
      </c>
      <c r="H88" s="50">
        <f t="shared" si="4"/>
        <v>0.71555309927572064</v>
      </c>
      <c r="I88" s="49">
        <f>VLOOKUP($A88,'Data shares'!$C:$FB,66)</f>
        <v>26978550</v>
      </c>
      <c r="J88" s="49">
        <f>VLOOKUP($A88,'Data shares'!$C:$FB,67)</f>
        <v>23365500</v>
      </c>
      <c r="K88" s="50">
        <f t="shared" si="5"/>
        <v>13.392306109853941</v>
      </c>
      <c r="L88" s="50">
        <f>VLOOKUP($A88,'Data shares'!$C:$FB,118)</f>
        <v>0.57999999999999996</v>
      </c>
      <c r="M88" s="50">
        <f>VLOOKUP($A88,'Data shares'!$C:$FB,119)</f>
        <v>0.59</v>
      </c>
      <c r="N88" s="50">
        <f>VLOOKUP($A88,'Data shares'!$C:$FB,121)*100</f>
        <v>-1.69</v>
      </c>
      <c r="O88" s="50">
        <f>VLOOKUP($A88,'Data shares'!$C:$FB,124)</f>
        <v>0.47</v>
      </c>
      <c r="P88" s="50">
        <f>VLOOKUP($A88,'Data shares'!$C:$FB,125)</f>
        <v>0.51</v>
      </c>
      <c r="Q88" s="50">
        <f>VLOOKUP($A88,'Data shares'!$C:$FB,127)*100</f>
        <v>-7.84</v>
      </c>
    </row>
    <row r="89" spans="1:17" x14ac:dyDescent="0.25">
      <c r="A89" s="97" t="str">
        <f>'Snapshot (Value)'!A93</f>
        <v>ICICIBANK</v>
      </c>
      <c r="B89" s="140">
        <f>VLOOKUP($A89,'Data shares'!$C:$FB,7)</f>
        <v>1406.1</v>
      </c>
      <c r="C89" s="140">
        <f>VLOOKUP($A89,'Data shares'!$C:$FB,3)</f>
        <v>1409.6</v>
      </c>
      <c r="D89" s="140">
        <f>VLOOKUP($A89,'Data shares'!$C:$FB,4)</f>
        <v>1408.3</v>
      </c>
      <c r="E89" s="50">
        <f t="shared" si="3"/>
        <v>9.2309877156852557E-2</v>
      </c>
      <c r="F89" s="49">
        <f>VLOOKUP($A89,'Data shares'!$C:$FB,98)</f>
        <v>183897000</v>
      </c>
      <c r="G89" s="49">
        <f>VLOOKUP($A89,'Data shares'!$C:$FB,99)</f>
        <v>181811000</v>
      </c>
      <c r="H89" s="50">
        <f t="shared" si="4"/>
        <v>1.1473453201401456</v>
      </c>
      <c r="I89" s="49">
        <f>VLOOKUP($A89,'Data shares'!$C:$FB,66)</f>
        <v>48216700</v>
      </c>
      <c r="J89" s="49">
        <f>VLOOKUP($A89,'Data shares'!$C:$FB,67)</f>
        <v>66976000</v>
      </c>
      <c r="K89" s="50">
        <f t="shared" si="5"/>
        <v>-38.906229584355629</v>
      </c>
      <c r="L89" s="50">
        <f>VLOOKUP($A89,'Data shares'!$C:$FB,118)</f>
        <v>0.65</v>
      </c>
      <c r="M89" s="50">
        <f>VLOOKUP($A89,'Data shares'!$C:$FB,119)</f>
        <v>0.64</v>
      </c>
      <c r="N89" s="50">
        <f>VLOOKUP($A89,'Data shares'!$C:$FB,121)*100</f>
        <v>1.5599999999999998</v>
      </c>
      <c r="O89" s="50">
        <f>VLOOKUP($A89,'Data shares'!$C:$FB,124)</f>
        <v>0.73</v>
      </c>
      <c r="P89" s="50">
        <f>VLOOKUP($A89,'Data shares'!$C:$FB,125)</f>
        <v>0.69</v>
      </c>
      <c r="Q89" s="50">
        <f>VLOOKUP($A89,'Data shares'!$C:$FB,127)*100</f>
        <v>5.8000000000000007</v>
      </c>
    </row>
    <row r="90" spans="1:17" x14ac:dyDescent="0.25">
      <c r="A90" s="97" t="str">
        <f>'Snapshot (Value)'!A94</f>
        <v>ICICIGI</v>
      </c>
      <c r="B90" s="140">
        <f>VLOOKUP($A90,'Data shares'!$C:$FB,7)</f>
        <v>1931.7</v>
      </c>
      <c r="C90" s="140">
        <f>VLOOKUP($A90,'Data shares'!$C:$FB,3)</f>
        <v>1922.3</v>
      </c>
      <c r="D90" s="140">
        <f>VLOOKUP($A90,'Data shares'!$C:$FB,4)</f>
        <v>1915.5</v>
      </c>
      <c r="E90" s="50">
        <f t="shared" si="3"/>
        <v>0.35499869485773716</v>
      </c>
      <c r="F90" s="49">
        <f>VLOOKUP($A90,'Data shares'!$C:$FB,98)</f>
        <v>8249150</v>
      </c>
      <c r="G90" s="49">
        <f>VLOOKUP($A90,'Data shares'!$C:$FB,99)</f>
        <v>7955675</v>
      </c>
      <c r="H90" s="50">
        <f t="shared" si="4"/>
        <v>3.6888761795824996</v>
      </c>
      <c r="I90" s="49">
        <f>VLOOKUP($A90,'Data shares'!$C:$FB,66)</f>
        <v>2763150</v>
      </c>
      <c r="J90" s="49">
        <f>VLOOKUP($A90,'Data shares'!$C:$FB,67)</f>
        <v>5100550</v>
      </c>
      <c r="K90" s="50">
        <f t="shared" si="5"/>
        <v>-84.591860738649729</v>
      </c>
      <c r="L90" s="50">
        <f>VLOOKUP($A90,'Data shares'!$C:$FB,118)</f>
        <v>1.05</v>
      </c>
      <c r="M90" s="50">
        <f>VLOOKUP($A90,'Data shares'!$C:$FB,119)</f>
        <v>1.02</v>
      </c>
      <c r="N90" s="50">
        <f>VLOOKUP($A90,'Data shares'!$C:$FB,121)*100</f>
        <v>2.94</v>
      </c>
      <c r="O90" s="50">
        <f>VLOOKUP($A90,'Data shares'!$C:$FB,124)</f>
        <v>0.49</v>
      </c>
      <c r="P90" s="50">
        <f>VLOOKUP($A90,'Data shares'!$C:$FB,125)</f>
        <v>0.57999999999999996</v>
      </c>
      <c r="Q90" s="50">
        <f>VLOOKUP($A90,'Data shares'!$C:$FB,127)*100</f>
        <v>-15.52</v>
      </c>
    </row>
    <row r="91" spans="1:17" x14ac:dyDescent="0.25">
      <c r="A91" s="97" t="str">
        <f>'Snapshot (Value)'!A95</f>
        <v>ICICIPRULI</v>
      </c>
      <c r="B91" s="140">
        <f>VLOOKUP($A91,'Data shares'!$C:$FB,7)</f>
        <v>640.95000000000005</v>
      </c>
      <c r="C91" s="140">
        <f>VLOOKUP($A91,'Data shares'!$C:$FB,3)</f>
        <v>643.15</v>
      </c>
      <c r="D91" s="140">
        <f>VLOOKUP($A91,'Data shares'!$C:$FB,4)</f>
        <v>644.85</v>
      </c>
      <c r="E91" s="50">
        <f t="shared" si="3"/>
        <v>-0.26362720012406687</v>
      </c>
      <c r="F91" s="49">
        <f>VLOOKUP($A91,'Data shares'!$C:$FB,98)</f>
        <v>20746825</v>
      </c>
      <c r="G91" s="49">
        <f>VLOOKUP($A91,'Data shares'!$C:$FB,99)</f>
        <v>20844875</v>
      </c>
      <c r="H91" s="50">
        <f t="shared" si="4"/>
        <v>-0.47037940980696696</v>
      </c>
      <c r="I91" s="49">
        <f>VLOOKUP($A91,'Data shares'!$C:$FB,66)</f>
        <v>4255000</v>
      </c>
      <c r="J91" s="49">
        <f>VLOOKUP($A91,'Data shares'!$C:$FB,67)</f>
        <v>8776400</v>
      </c>
      <c r="K91" s="50">
        <f t="shared" si="5"/>
        <v>-106.26086956521739</v>
      </c>
      <c r="L91" s="50">
        <f>VLOOKUP($A91,'Data shares'!$C:$FB,118)</f>
        <v>0.72</v>
      </c>
      <c r="M91" s="50">
        <f>VLOOKUP($A91,'Data shares'!$C:$FB,119)</f>
        <v>0.73</v>
      </c>
      <c r="N91" s="50">
        <f>VLOOKUP($A91,'Data shares'!$C:$FB,121)*100</f>
        <v>-1.37</v>
      </c>
      <c r="O91" s="50">
        <f>VLOOKUP($A91,'Data shares'!$C:$FB,124)</f>
        <v>0.59</v>
      </c>
      <c r="P91" s="50">
        <f>VLOOKUP($A91,'Data shares'!$C:$FB,125)</f>
        <v>0.84</v>
      </c>
      <c r="Q91" s="50">
        <f>VLOOKUP($A91,'Data shares'!$C:$FB,127)*100</f>
        <v>-29.759999999999998</v>
      </c>
    </row>
    <row r="92" spans="1:17" x14ac:dyDescent="0.25">
      <c r="A92" s="97" t="str">
        <f>'Snapshot (Value)'!A96</f>
        <v>IDEA</v>
      </c>
      <c r="B92" s="140">
        <f>VLOOKUP($A92,'Data shares'!$C:$FB,7)</f>
        <v>11.85</v>
      </c>
      <c r="C92" s="140">
        <f>VLOOKUP($A92,'Data shares'!$C:$FB,3)</f>
        <v>11.85</v>
      </c>
      <c r="D92" s="140">
        <f>VLOOKUP($A92,'Data shares'!$C:$FB,4)</f>
        <v>11.51</v>
      </c>
      <c r="E92" s="50">
        <f t="shared" si="3"/>
        <v>2.9539530842745427</v>
      </c>
      <c r="F92" s="49">
        <f>VLOOKUP($A92,'Data shares'!$C:$FB,98)</f>
        <v>9926305050</v>
      </c>
      <c r="G92" s="49">
        <f>VLOOKUP($A92,'Data shares'!$C:$FB,99)</f>
        <v>9943816425</v>
      </c>
      <c r="H92" s="50">
        <f t="shared" si="4"/>
        <v>-0.17610316051263991</v>
      </c>
      <c r="I92" s="49">
        <f>VLOOKUP($A92,'Data shares'!$C:$FB,66)</f>
        <v>3670527150</v>
      </c>
      <c r="J92" s="49">
        <f>VLOOKUP($A92,'Data shares'!$C:$FB,67)</f>
        <v>1578596850</v>
      </c>
      <c r="K92" s="50">
        <f t="shared" si="5"/>
        <v>56.992639327024186</v>
      </c>
      <c r="L92" s="50">
        <f>VLOOKUP($A92,'Data shares'!$C:$FB,118)</f>
        <v>0.62</v>
      </c>
      <c r="M92" s="50">
        <f>VLOOKUP($A92,'Data shares'!$C:$FB,119)</f>
        <v>0.61</v>
      </c>
      <c r="N92" s="50">
        <f>VLOOKUP($A92,'Data shares'!$C:$FB,121)*100</f>
        <v>1.6400000000000001</v>
      </c>
      <c r="O92" s="50">
        <f>VLOOKUP($A92,'Data shares'!$C:$FB,124)</f>
        <v>0.44</v>
      </c>
      <c r="P92" s="50">
        <f>VLOOKUP($A92,'Data shares'!$C:$FB,125)</f>
        <v>0.46</v>
      </c>
      <c r="Q92" s="50">
        <f>VLOOKUP($A92,'Data shares'!$C:$FB,127)*100</f>
        <v>-4.3499999999999996</v>
      </c>
    </row>
    <row r="93" spans="1:17" x14ac:dyDescent="0.25">
      <c r="A93" s="97" t="str">
        <f>'Snapshot (Value)'!A97</f>
        <v>IDFCFIRSTB</v>
      </c>
      <c r="B93" s="140">
        <f>VLOOKUP($A93,'Data shares'!$C:$FB,7)</f>
        <v>82.56</v>
      </c>
      <c r="C93" s="140">
        <f>VLOOKUP($A93,'Data shares'!$C:$FB,3)</f>
        <v>82.73</v>
      </c>
      <c r="D93" s="140">
        <f>VLOOKUP($A93,'Data shares'!$C:$FB,4)</f>
        <v>84.08</v>
      </c>
      <c r="E93" s="50">
        <f t="shared" si="3"/>
        <v>-1.6056137012369103</v>
      </c>
      <c r="F93" s="49">
        <f>VLOOKUP($A93,'Data shares'!$C:$FB,98)</f>
        <v>530196100</v>
      </c>
      <c r="G93" s="49">
        <f>VLOOKUP($A93,'Data shares'!$C:$FB,99)</f>
        <v>503122375</v>
      </c>
      <c r="H93" s="50">
        <f t="shared" si="4"/>
        <v>5.3811411189971423</v>
      </c>
      <c r="I93" s="49">
        <f>VLOOKUP($A93,'Data shares'!$C:$FB,66)</f>
        <v>204513750</v>
      </c>
      <c r="J93" s="49">
        <f>VLOOKUP($A93,'Data shares'!$C:$FB,67)</f>
        <v>153696025</v>
      </c>
      <c r="K93" s="50">
        <f t="shared" si="5"/>
        <v>24.848072562358276</v>
      </c>
      <c r="L93" s="50">
        <f>VLOOKUP($A93,'Data shares'!$C:$FB,118)</f>
        <v>0.68</v>
      </c>
      <c r="M93" s="50">
        <f>VLOOKUP($A93,'Data shares'!$C:$FB,119)</f>
        <v>0.71</v>
      </c>
      <c r="N93" s="50">
        <f>VLOOKUP($A93,'Data shares'!$C:$FB,121)*100</f>
        <v>-4.2299999999999995</v>
      </c>
      <c r="O93" s="50">
        <f>VLOOKUP($A93,'Data shares'!$C:$FB,124)</f>
        <v>0.57999999999999996</v>
      </c>
      <c r="P93" s="50">
        <f>VLOOKUP($A93,'Data shares'!$C:$FB,125)</f>
        <v>0.4</v>
      </c>
      <c r="Q93" s="50">
        <f>VLOOKUP($A93,'Data shares'!$C:$FB,127)*100</f>
        <v>45</v>
      </c>
    </row>
    <row r="94" spans="1:17" x14ac:dyDescent="0.25">
      <c r="A94" s="97" t="str">
        <f>'Snapshot (Value)'!A98</f>
        <v>IEX</v>
      </c>
      <c r="B94" s="140">
        <f>VLOOKUP($A94,'Data shares'!$C:$FB,7)</f>
        <v>127.16</v>
      </c>
      <c r="C94" s="140">
        <f>VLOOKUP($A94,'Data shares'!$C:$FB,3)</f>
        <v>127.65</v>
      </c>
      <c r="D94" s="140">
        <f>VLOOKUP($A94,'Data shares'!$C:$FB,4)</f>
        <v>126.23</v>
      </c>
      <c r="E94" s="50">
        <f t="shared" si="3"/>
        <v>1.124930682088253</v>
      </c>
      <c r="F94" s="49">
        <f>VLOOKUP($A94,'Data shares'!$C:$FB,98)</f>
        <v>204697500</v>
      </c>
      <c r="G94" s="49">
        <f>VLOOKUP($A94,'Data shares'!$C:$FB,99)</f>
        <v>202942500</v>
      </c>
      <c r="H94" s="50">
        <f t="shared" si="4"/>
        <v>0.86477696884585531</v>
      </c>
      <c r="I94" s="49">
        <f>VLOOKUP($A94,'Data shares'!$C:$FB,66)</f>
        <v>64260000</v>
      </c>
      <c r="J94" s="49">
        <f>VLOOKUP($A94,'Data shares'!$C:$FB,67)</f>
        <v>54018750</v>
      </c>
      <c r="K94" s="50">
        <f t="shared" si="5"/>
        <v>15.937208216619981</v>
      </c>
      <c r="L94" s="50">
        <f>VLOOKUP($A94,'Data shares'!$C:$FB,118)</f>
        <v>0.67</v>
      </c>
      <c r="M94" s="50">
        <f>VLOOKUP($A94,'Data shares'!$C:$FB,119)</f>
        <v>0.69</v>
      </c>
      <c r="N94" s="50">
        <f>VLOOKUP($A94,'Data shares'!$C:$FB,121)*100</f>
        <v>-2.9000000000000004</v>
      </c>
      <c r="O94" s="50">
        <f>VLOOKUP($A94,'Data shares'!$C:$FB,124)</f>
        <v>0.28999999999999998</v>
      </c>
      <c r="P94" s="50">
        <f>VLOOKUP($A94,'Data shares'!$C:$FB,125)</f>
        <v>0.41</v>
      </c>
      <c r="Q94" s="50">
        <f>VLOOKUP($A94,'Data shares'!$C:$FB,127)*100</f>
        <v>-29.270000000000003</v>
      </c>
    </row>
    <row r="95" spans="1:17" x14ac:dyDescent="0.25">
      <c r="A95" s="97" t="str">
        <f>'Snapshot (Value)'!A99</f>
        <v>INDHOTEL</v>
      </c>
      <c r="B95" s="140">
        <f>VLOOKUP($A95,'Data shares'!$C:$FB,7)</f>
        <v>707.55</v>
      </c>
      <c r="C95" s="140">
        <f>VLOOKUP($A95,'Data shares'!$C:$FB,3)</f>
        <v>708.45</v>
      </c>
      <c r="D95" s="140">
        <f>VLOOKUP($A95,'Data shares'!$C:$FB,4)</f>
        <v>703.25</v>
      </c>
      <c r="E95" s="50">
        <f t="shared" si="3"/>
        <v>0.73942410238180523</v>
      </c>
      <c r="F95" s="49">
        <f>VLOOKUP($A95,'Data shares'!$C:$FB,98)</f>
        <v>44815000</v>
      </c>
      <c r="G95" s="49">
        <f>VLOOKUP($A95,'Data shares'!$C:$FB,99)</f>
        <v>42403000</v>
      </c>
      <c r="H95" s="50">
        <f t="shared" si="4"/>
        <v>5.6882767728698447</v>
      </c>
      <c r="I95" s="49">
        <f>VLOOKUP($A95,'Data shares'!$C:$FB,66)</f>
        <v>19321000</v>
      </c>
      <c r="J95" s="49">
        <f>VLOOKUP($A95,'Data shares'!$C:$FB,67)</f>
        <v>19264000</v>
      </c>
      <c r="K95" s="50">
        <f t="shared" si="5"/>
        <v>0.29501578593240518</v>
      </c>
      <c r="L95" s="50">
        <f>VLOOKUP($A95,'Data shares'!$C:$FB,118)</f>
        <v>0.78</v>
      </c>
      <c r="M95" s="50">
        <f>VLOOKUP($A95,'Data shares'!$C:$FB,119)</f>
        <v>0.84</v>
      </c>
      <c r="N95" s="50">
        <f>VLOOKUP($A95,'Data shares'!$C:$FB,121)*100</f>
        <v>-7.1400000000000006</v>
      </c>
      <c r="O95" s="50">
        <f>VLOOKUP($A95,'Data shares'!$C:$FB,124)</f>
        <v>0.3</v>
      </c>
      <c r="P95" s="50">
        <f>VLOOKUP($A95,'Data shares'!$C:$FB,125)</f>
        <v>0.28000000000000003</v>
      </c>
      <c r="Q95" s="50">
        <f>VLOOKUP($A95,'Data shares'!$C:$FB,127)*100</f>
        <v>7.1400000000000006</v>
      </c>
    </row>
    <row r="96" spans="1:17" x14ac:dyDescent="0.25">
      <c r="A96" s="97" t="str">
        <f>'Snapshot (Value)'!A100</f>
        <v>INDIANB</v>
      </c>
      <c r="B96" s="140">
        <f>VLOOKUP($A96,'Data shares'!$C:$FB,7)</f>
        <v>897.3</v>
      </c>
      <c r="C96" s="140">
        <f>VLOOKUP($A96,'Data shares'!$C:$FB,3)</f>
        <v>900.45</v>
      </c>
      <c r="D96" s="140">
        <f>VLOOKUP($A96,'Data shares'!$C:$FB,4)</f>
        <v>906.65</v>
      </c>
      <c r="E96" s="50">
        <f t="shared" si="3"/>
        <v>-0.68383609992829997</v>
      </c>
      <c r="F96" s="49">
        <f>VLOOKUP($A96,'Data shares'!$C:$FB,98)</f>
        <v>18753000</v>
      </c>
      <c r="G96" s="49">
        <f>VLOOKUP($A96,'Data shares'!$C:$FB,99)</f>
        <v>18253000</v>
      </c>
      <c r="H96" s="50">
        <f t="shared" si="4"/>
        <v>2.7392757354955348</v>
      </c>
      <c r="I96" s="49">
        <f>VLOOKUP($A96,'Data shares'!$C:$FB,66)</f>
        <v>21089000</v>
      </c>
      <c r="J96" s="49">
        <f>VLOOKUP($A96,'Data shares'!$C:$FB,67)</f>
        <v>10865000</v>
      </c>
      <c r="K96" s="50">
        <f t="shared" si="5"/>
        <v>48.480250367490164</v>
      </c>
      <c r="L96" s="50">
        <f>VLOOKUP($A96,'Data shares'!$C:$FB,118)</f>
        <v>0.69</v>
      </c>
      <c r="M96" s="50">
        <f>VLOOKUP($A96,'Data shares'!$C:$FB,119)</f>
        <v>0.64</v>
      </c>
      <c r="N96" s="50">
        <f>VLOOKUP($A96,'Data shares'!$C:$FB,121)*100</f>
        <v>7.8100000000000005</v>
      </c>
      <c r="O96" s="50">
        <f>VLOOKUP($A96,'Data shares'!$C:$FB,124)</f>
        <v>0.62</v>
      </c>
      <c r="P96" s="50">
        <f>VLOOKUP($A96,'Data shares'!$C:$FB,125)</f>
        <v>0.42</v>
      </c>
      <c r="Q96" s="50">
        <f>VLOOKUP($A96,'Data shares'!$C:$FB,127)*100</f>
        <v>47.620000000000005</v>
      </c>
    </row>
    <row r="97" spans="1:17" x14ac:dyDescent="0.25">
      <c r="A97" s="97" t="str">
        <f>'Snapshot (Value)'!A101</f>
        <v>INDIAVIX</v>
      </c>
      <c r="B97" s="140">
        <f>VLOOKUP($A97,'Data shares'!$C:$FB,7)</f>
        <v>11.55</v>
      </c>
      <c r="C97" s="140">
        <f>VLOOKUP($A97,'Data shares'!$C:$FB,3)</f>
        <v>11.55</v>
      </c>
      <c r="D97" s="140">
        <f>VLOOKUP($A97,'Data shares'!$C:$FB,4)</f>
        <v>11.66</v>
      </c>
      <c r="E97" s="50">
        <f t="shared" si="3"/>
        <v>-0.94339622641508947</v>
      </c>
      <c r="F97" s="49">
        <f>VLOOKUP($A97,'Data shares'!$C:$FB,98)</f>
        <v>0</v>
      </c>
      <c r="G97" s="49">
        <f>VLOOKUP($A97,'Data shares'!$C:$FB,99)</f>
        <v>0</v>
      </c>
      <c r="H97" s="50" t="e">
        <f t="shared" si="4"/>
        <v>#DIV/0!</v>
      </c>
      <c r="I97" s="49">
        <f>VLOOKUP($A97,'Data shares'!$C:$FB,66)</f>
        <v>0</v>
      </c>
      <c r="J97" s="49">
        <f>VLOOKUP($A97,'Data shares'!$C:$FB,67)</f>
        <v>0</v>
      </c>
      <c r="K97" s="50" t="e">
        <f t="shared" si="5"/>
        <v>#DIV/0!</v>
      </c>
      <c r="L97" s="50">
        <f>VLOOKUP($A97,'Data shares'!$C:$FB,118)</f>
        <v>0</v>
      </c>
      <c r="M97" s="50">
        <f>VLOOKUP($A97,'Data shares'!$C:$FB,119)</f>
        <v>0</v>
      </c>
      <c r="N97" s="50">
        <f>VLOOKUP($A97,'Data shares'!$C:$FB,121)*100</f>
        <v>0</v>
      </c>
      <c r="O97" s="50">
        <f>VLOOKUP($A97,'Data shares'!$C:$FB,124)</f>
        <v>0</v>
      </c>
      <c r="P97" s="50">
        <f>VLOOKUP($A97,'Data shares'!$C:$FB,125)</f>
        <v>0</v>
      </c>
      <c r="Q97" s="50">
        <f>VLOOKUP($A97,'Data shares'!$C:$FB,127)*100</f>
        <v>0</v>
      </c>
    </row>
    <row r="98" spans="1:17" x14ac:dyDescent="0.25">
      <c r="A98" s="97" t="str">
        <f>'Snapshot (Value)'!A102</f>
        <v>INDIGO</v>
      </c>
      <c r="B98" s="140">
        <f>VLOOKUP($A98,'Data shares'!$C:$FB,7)</f>
        <v>5013.8</v>
      </c>
      <c r="C98" s="140">
        <f>VLOOKUP($A98,'Data shares'!$C:$FB,3)</f>
        <v>5017.6000000000004</v>
      </c>
      <c r="D98" s="140">
        <f>VLOOKUP($A98,'Data shares'!$C:$FB,4)</f>
        <v>4978.1000000000004</v>
      </c>
      <c r="E98" s="50">
        <f t="shared" si="3"/>
        <v>0.79347542234989243</v>
      </c>
      <c r="F98" s="49">
        <f>VLOOKUP($A98,'Data shares'!$C:$FB,98)</f>
        <v>15203550</v>
      </c>
      <c r="G98" s="49">
        <f>VLOOKUP($A98,'Data shares'!$C:$FB,99)</f>
        <v>14958300</v>
      </c>
      <c r="H98" s="50">
        <f t="shared" si="4"/>
        <v>1.6395579711598243</v>
      </c>
      <c r="I98" s="49">
        <f>VLOOKUP($A98,'Data shares'!$C:$FB,66)</f>
        <v>9909150</v>
      </c>
      <c r="J98" s="49">
        <f>VLOOKUP($A98,'Data shares'!$C:$FB,67)</f>
        <v>5215800</v>
      </c>
      <c r="K98" s="50">
        <f t="shared" si="5"/>
        <v>47.3638001241277</v>
      </c>
      <c r="L98" s="50">
        <f>VLOOKUP($A98,'Data shares'!$C:$FB,118)</f>
        <v>0.85</v>
      </c>
      <c r="M98" s="50">
        <f>VLOOKUP($A98,'Data shares'!$C:$FB,119)</f>
        <v>0.86</v>
      </c>
      <c r="N98" s="50">
        <f>VLOOKUP($A98,'Data shares'!$C:$FB,121)*100</f>
        <v>-1.1599999999999999</v>
      </c>
      <c r="O98" s="50">
        <f>VLOOKUP($A98,'Data shares'!$C:$FB,124)</f>
        <v>0.47</v>
      </c>
      <c r="P98" s="50">
        <f>VLOOKUP($A98,'Data shares'!$C:$FB,125)</f>
        <v>0.72</v>
      </c>
      <c r="Q98" s="50">
        <f>VLOOKUP($A98,'Data shares'!$C:$FB,127)*100</f>
        <v>-34.72</v>
      </c>
    </row>
    <row r="99" spans="1:17" x14ac:dyDescent="0.25">
      <c r="A99" s="97" t="str">
        <f>'Snapshot (Value)'!A103</f>
        <v>INDUSINDBK</v>
      </c>
      <c r="B99" s="140">
        <f>VLOOKUP($A99,'Data shares'!$C:$FB,7)</f>
        <v>925</v>
      </c>
      <c r="C99" s="140">
        <f>VLOOKUP($A99,'Data shares'!$C:$FB,3)</f>
        <v>922.6</v>
      </c>
      <c r="D99" s="140">
        <f>VLOOKUP($A99,'Data shares'!$C:$FB,4)</f>
        <v>926.45</v>
      </c>
      <c r="E99" s="50">
        <f t="shared" si="3"/>
        <v>-0.41556479032867644</v>
      </c>
      <c r="F99" s="49">
        <f>VLOOKUP($A99,'Data shares'!$C:$FB,98)</f>
        <v>50677900</v>
      </c>
      <c r="G99" s="49">
        <f>VLOOKUP($A99,'Data shares'!$C:$FB,99)</f>
        <v>51611000</v>
      </c>
      <c r="H99" s="50">
        <f t="shared" si="4"/>
        <v>-1.8079479180794791</v>
      </c>
      <c r="I99" s="49">
        <f>VLOOKUP($A99,'Data shares'!$C:$FB,66)</f>
        <v>13162800</v>
      </c>
      <c r="J99" s="49">
        <f>VLOOKUP($A99,'Data shares'!$C:$FB,67)</f>
        <v>14871500</v>
      </c>
      <c r="K99" s="50">
        <f t="shared" si="5"/>
        <v>-12.981280578600298</v>
      </c>
      <c r="L99" s="50">
        <f>VLOOKUP($A99,'Data shares'!$C:$FB,118)</f>
        <v>0.72</v>
      </c>
      <c r="M99" s="50">
        <f>VLOOKUP($A99,'Data shares'!$C:$FB,119)</f>
        <v>0.72</v>
      </c>
      <c r="N99" s="50">
        <f>VLOOKUP($A99,'Data shares'!$C:$FB,121)*100</f>
        <v>0</v>
      </c>
      <c r="O99" s="50">
        <f>VLOOKUP($A99,'Data shares'!$C:$FB,124)</f>
        <v>0.49</v>
      </c>
      <c r="P99" s="50">
        <f>VLOOKUP($A99,'Data shares'!$C:$FB,125)</f>
        <v>0.54</v>
      </c>
      <c r="Q99" s="50">
        <f>VLOOKUP($A99,'Data shares'!$C:$FB,127)*100</f>
        <v>-9.26</v>
      </c>
    </row>
    <row r="100" spans="1:17" x14ac:dyDescent="0.25">
      <c r="A100" s="97" t="str">
        <f>'Snapshot (Value)'!A104</f>
        <v>INDUSTOWER</v>
      </c>
      <c r="B100" s="140">
        <f>VLOOKUP($A100,'Data shares'!$C:$FB,7)</f>
        <v>467.05</v>
      </c>
      <c r="C100" s="140">
        <f>VLOOKUP($A100,'Data shares'!$C:$FB,3)</f>
        <v>468.15</v>
      </c>
      <c r="D100" s="140">
        <f>VLOOKUP($A100,'Data shares'!$C:$FB,4)</f>
        <v>459.25</v>
      </c>
      <c r="E100" s="50">
        <f t="shared" si="3"/>
        <v>1.9379422972237295</v>
      </c>
      <c r="F100" s="49">
        <f>VLOOKUP($A100,'Data shares'!$C:$FB,98)</f>
        <v>121050200</v>
      </c>
      <c r="G100" s="49">
        <f>VLOOKUP($A100,'Data shares'!$C:$FB,99)</f>
        <v>114957400</v>
      </c>
      <c r="H100" s="50">
        <f t="shared" si="4"/>
        <v>5.3000502794948385</v>
      </c>
      <c r="I100" s="49">
        <f>VLOOKUP($A100,'Data shares'!$C:$FB,66)</f>
        <v>123074900</v>
      </c>
      <c r="J100" s="49">
        <f>VLOOKUP($A100,'Data shares'!$C:$FB,67)</f>
        <v>96430800</v>
      </c>
      <c r="K100" s="50">
        <f t="shared" si="5"/>
        <v>21.648687100294211</v>
      </c>
      <c r="L100" s="50">
        <f>VLOOKUP($A100,'Data shares'!$C:$FB,118)</f>
        <v>0.69</v>
      </c>
      <c r="M100" s="50">
        <f>VLOOKUP($A100,'Data shares'!$C:$FB,119)</f>
        <v>0.6</v>
      </c>
      <c r="N100" s="50">
        <f>VLOOKUP($A100,'Data shares'!$C:$FB,121)*100</f>
        <v>15</v>
      </c>
      <c r="O100" s="50">
        <f>VLOOKUP($A100,'Data shares'!$C:$FB,124)</f>
        <v>0.41</v>
      </c>
      <c r="P100" s="50">
        <f>VLOOKUP($A100,'Data shares'!$C:$FB,125)</f>
        <v>0.41</v>
      </c>
      <c r="Q100" s="50">
        <f>VLOOKUP($A100,'Data shares'!$C:$FB,127)*100</f>
        <v>0</v>
      </c>
    </row>
    <row r="101" spans="1:17" x14ac:dyDescent="0.25">
      <c r="A101" s="97" t="str">
        <f>'Snapshot (Value)'!A105</f>
        <v>INFY</v>
      </c>
      <c r="B101" s="140">
        <f>VLOOKUP($A101,'Data shares'!$C:$FB,7)</f>
        <v>1471.9</v>
      </c>
      <c r="C101" s="140">
        <f>VLOOKUP($A101,'Data shares'!$C:$FB,3)</f>
        <v>1472.4</v>
      </c>
      <c r="D101" s="140">
        <f>VLOOKUP($A101,'Data shares'!$C:$FB,4)</f>
        <v>1501.7</v>
      </c>
      <c r="E101" s="50">
        <f t="shared" si="3"/>
        <v>-1.951122061663445</v>
      </c>
      <c r="F101" s="49">
        <f>VLOOKUP($A101,'Data shares'!$C:$FB,98)</f>
        <v>149304400</v>
      </c>
      <c r="G101" s="49">
        <f>VLOOKUP($A101,'Data shares'!$C:$FB,99)</f>
        <v>147216400</v>
      </c>
      <c r="H101" s="50">
        <f t="shared" si="4"/>
        <v>1.4183202414948335</v>
      </c>
      <c r="I101" s="49">
        <f>VLOOKUP($A101,'Data shares'!$C:$FB,66)</f>
        <v>102023200</v>
      </c>
      <c r="J101" s="49">
        <f>VLOOKUP($A101,'Data shares'!$C:$FB,67)</f>
        <v>87683600</v>
      </c>
      <c r="K101" s="50">
        <f t="shared" si="5"/>
        <v>14.055234495683337</v>
      </c>
      <c r="L101" s="50">
        <f>VLOOKUP($A101,'Data shares'!$C:$FB,118)</f>
        <v>0.44</v>
      </c>
      <c r="M101" s="50">
        <f>VLOOKUP($A101,'Data shares'!$C:$FB,119)</f>
        <v>0.45</v>
      </c>
      <c r="N101" s="50">
        <f>VLOOKUP($A101,'Data shares'!$C:$FB,121)*100</f>
        <v>-2.2200000000000002</v>
      </c>
      <c r="O101" s="50">
        <f>VLOOKUP($A101,'Data shares'!$C:$FB,124)</f>
        <v>0.57999999999999996</v>
      </c>
      <c r="P101" s="50">
        <f>VLOOKUP($A101,'Data shares'!$C:$FB,125)</f>
        <v>0.51</v>
      </c>
      <c r="Q101" s="50">
        <f>VLOOKUP($A101,'Data shares'!$C:$FB,127)*100</f>
        <v>13.73</v>
      </c>
    </row>
    <row r="102" spans="1:17" x14ac:dyDescent="0.25">
      <c r="A102" s="97" t="str">
        <f>'Snapshot (Value)'!A106</f>
        <v>INOXWIND</v>
      </c>
      <c r="B102" s="140">
        <f>VLOOKUP($A102,'Data shares'!$C:$FB,7)</f>
        <v>110.42</v>
      </c>
      <c r="C102" s="140">
        <f>VLOOKUP($A102,'Data shares'!$C:$FB,3)</f>
        <v>110.63</v>
      </c>
      <c r="D102" s="140">
        <f>VLOOKUP($A102,'Data shares'!$C:$FB,4)</f>
        <v>111.39</v>
      </c>
      <c r="E102" s="50">
        <f t="shared" si="3"/>
        <v>-0.68228745847922179</v>
      </c>
      <c r="F102" s="49">
        <f>VLOOKUP($A102,'Data shares'!$C:$FB,98)</f>
        <v>146567850</v>
      </c>
      <c r="G102" s="49">
        <f>VLOOKUP($A102,'Data shares'!$C:$FB,99)</f>
        <v>142485200</v>
      </c>
      <c r="H102" s="50">
        <f t="shared" si="4"/>
        <v>2.8653151344841428</v>
      </c>
      <c r="I102" s="49">
        <f>VLOOKUP($A102,'Data shares'!$C:$FB,66)</f>
        <v>48062300</v>
      </c>
      <c r="J102" s="49">
        <f>VLOOKUP($A102,'Data shares'!$C:$FB,67)</f>
        <v>40851525</v>
      </c>
      <c r="K102" s="50">
        <f t="shared" si="5"/>
        <v>15.002975304968761</v>
      </c>
      <c r="L102" s="50">
        <f>VLOOKUP($A102,'Data shares'!$C:$FB,118)</f>
        <v>0.68</v>
      </c>
      <c r="M102" s="50">
        <f>VLOOKUP($A102,'Data shares'!$C:$FB,119)</f>
        <v>0.76</v>
      </c>
      <c r="N102" s="50">
        <f>VLOOKUP($A102,'Data shares'!$C:$FB,121)*100</f>
        <v>-10.530000000000001</v>
      </c>
      <c r="O102" s="50">
        <f>VLOOKUP($A102,'Data shares'!$C:$FB,124)</f>
        <v>0.28000000000000003</v>
      </c>
      <c r="P102" s="50">
        <f>VLOOKUP($A102,'Data shares'!$C:$FB,125)</f>
        <v>0.3</v>
      </c>
      <c r="Q102" s="50">
        <f>VLOOKUP($A102,'Data shares'!$C:$FB,127)*100</f>
        <v>-6.67</v>
      </c>
    </row>
    <row r="103" spans="1:17" x14ac:dyDescent="0.25">
      <c r="A103" s="97" t="str">
        <f>'Snapshot (Value)'!A107</f>
        <v>IOC</v>
      </c>
      <c r="B103" s="140">
        <f>VLOOKUP($A103,'Data shares'!$C:$FB,7)</f>
        <v>181.31</v>
      </c>
      <c r="C103" s="140">
        <f>VLOOKUP($A103,'Data shares'!$C:$FB,3)</f>
        <v>181.39</v>
      </c>
      <c r="D103" s="140">
        <f>VLOOKUP($A103,'Data shares'!$C:$FB,4)</f>
        <v>178.26</v>
      </c>
      <c r="E103" s="50">
        <f t="shared" si="3"/>
        <v>1.755862223718162</v>
      </c>
      <c r="F103" s="49">
        <f>VLOOKUP($A103,'Data shares'!$C:$FB,98)</f>
        <v>201649500</v>
      </c>
      <c r="G103" s="49">
        <f>VLOOKUP($A103,'Data shares'!$C:$FB,99)</f>
        <v>210585375</v>
      </c>
      <c r="H103" s="50">
        <f t="shared" si="4"/>
        <v>-4.2433502326550459</v>
      </c>
      <c r="I103" s="49">
        <f>VLOOKUP($A103,'Data shares'!$C:$FB,66)</f>
        <v>153274875</v>
      </c>
      <c r="J103" s="49">
        <f>VLOOKUP($A103,'Data shares'!$C:$FB,67)</f>
        <v>88403250</v>
      </c>
      <c r="K103" s="50">
        <f t="shared" si="5"/>
        <v>42.323717439012754</v>
      </c>
      <c r="L103" s="50">
        <f>VLOOKUP($A103,'Data shares'!$C:$FB,118)</f>
        <v>0.74</v>
      </c>
      <c r="M103" s="50">
        <f>VLOOKUP($A103,'Data shares'!$C:$FB,119)</f>
        <v>0.66</v>
      </c>
      <c r="N103" s="50">
        <f>VLOOKUP($A103,'Data shares'!$C:$FB,121)*100</f>
        <v>12.120000000000001</v>
      </c>
      <c r="O103" s="50">
        <f>VLOOKUP($A103,'Data shares'!$C:$FB,124)</f>
        <v>0.54</v>
      </c>
      <c r="P103" s="50">
        <f>VLOOKUP($A103,'Data shares'!$C:$FB,125)</f>
        <v>0.64</v>
      </c>
      <c r="Q103" s="50">
        <f>VLOOKUP($A103,'Data shares'!$C:$FB,127)*100</f>
        <v>-15.620000000000001</v>
      </c>
    </row>
    <row r="104" spans="1:17" x14ac:dyDescent="0.25">
      <c r="A104" s="97" t="str">
        <f>'Snapshot (Value)'!A108</f>
        <v>IRCTC</v>
      </c>
      <c r="B104" s="140">
        <f>VLOOKUP($A104,'Data shares'!$C:$FB,7)</f>
        <v>628.35</v>
      </c>
      <c r="C104" s="140">
        <f>VLOOKUP($A104,'Data shares'!$C:$FB,3)</f>
        <v>625</v>
      </c>
      <c r="D104" s="140">
        <f>VLOOKUP($A104,'Data shares'!$C:$FB,4)</f>
        <v>631.79999999999995</v>
      </c>
      <c r="E104" s="50">
        <f t="shared" si="3"/>
        <v>-1.0762899651788469</v>
      </c>
      <c r="F104" s="49">
        <f>VLOOKUP($A104,'Data shares'!$C:$FB,98)</f>
        <v>42609000</v>
      </c>
      <c r="G104" s="49">
        <f>VLOOKUP($A104,'Data shares'!$C:$FB,99)</f>
        <v>41597500</v>
      </c>
      <c r="H104" s="50">
        <f t="shared" si="4"/>
        <v>2.4316365166175848</v>
      </c>
      <c r="I104" s="49">
        <f>VLOOKUP($A104,'Data shares'!$C:$FB,66)</f>
        <v>16672250</v>
      </c>
      <c r="J104" s="49">
        <f>VLOOKUP($A104,'Data shares'!$C:$FB,67)</f>
        <v>34286875</v>
      </c>
      <c r="K104" s="50">
        <f t="shared" si="5"/>
        <v>-105.65235646058571</v>
      </c>
      <c r="L104" s="50">
        <f>VLOOKUP($A104,'Data shares'!$C:$FB,118)</f>
        <v>0.61</v>
      </c>
      <c r="M104" s="50">
        <f>VLOOKUP($A104,'Data shares'!$C:$FB,119)</f>
        <v>0.65</v>
      </c>
      <c r="N104" s="50">
        <f>VLOOKUP($A104,'Data shares'!$C:$FB,121)*100</f>
        <v>-6.15</v>
      </c>
      <c r="O104" s="50">
        <f>VLOOKUP($A104,'Data shares'!$C:$FB,124)</f>
        <v>0.28999999999999998</v>
      </c>
      <c r="P104" s="50">
        <f>VLOOKUP($A104,'Data shares'!$C:$FB,125)</f>
        <v>0.23</v>
      </c>
      <c r="Q104" s="50">
        <f>VLOOKUP($A104,'Data shares'!$C:$FB,127)*100</f>
        <v>26.090000000000003</v>
      </c>
    </row>
    <row r="105" spans="1:17" x14ac:dyDescent="0.25">
      <c r="A105" s="97" t="str">
        <f>'Snapshot (Value)'!A109</f>
        <v>IREDA</v>
      </c>
      <c r="B105" s="140">
        <f>VLOOKUP($A105,'Data shares'!$C:$FB,7)</f>
        <v>126.67</v>
      </c>
      <c r="C105" s="140">
        <f>VLOOKUP($A105,'Data shares'!$C:$FB,3)</f>
        <v>125.05</v>
      </c>
      <c r="D105" s="140">
        <f>VLOOKUP($A105,'Data shares'!$C:$FB,4)</f>
        <v>128.62</v>
      </c>
      <c r="E105" s="50">
        <f t="shared" si="3"/>
        <v>-2.775618099828959</v>
      </c>
      <c r="F105" s="49">
        <f>VLOOKUP($A105,'Data shares'!$C:$FB,98)</f>
        <v>148563900</v>
      </c>
      <c r="G105" s="49">
        <f>VLOOKUP($A105,'Data shares'!$C:$FB,99)</f>
        <v>135136500</v>
      </c>
      <c r="H105" s="50">
        <f t="shared" si="4"/>
        <v>9.9361756446259903</v>
      </c>
      <c r="I105" s="49">
        <f>VLOOKUP($A105,'Data shares'!$C:$FB,66)</f>
        <v>82251450</v>
      </c>
      <c r="J105" s="49">
        <f>VLOOKUP($A105,'Data shares'!$C:$FB,67)</f>
        <v>30932700</v>
      </c>
      <c r="K105" s="50">
        <f t="shared" si="5"/>
        <v>62.392517092403843</v>
      </c>
      <c r="L105" s="50">
        <f>VLOOKUP($A105,'Data shares'!$C:$FB,118)</f>
        <v>0.53</v>
      </c>
      <c r="M105" s="50">
        <f>VLOOKUP($A105,'Data shares'!$C:$FB,119)</f>
        <v>0.55000000000000004</v>
      </c>
      <c r="N105" s="50">
        <f>VLOOKUP($A105,'Data shares'!$C:$FB,121)*100</f>
        <v>-3.64</v>
      </c>
      <c r="O105" s="50">
        <f>VLOOKUP($A105,'Data shares'!$C:$FB,124)</f>
        <v>0.39</v>
      </c>
      <c r="P105" s="50">
        <f>VLOOKUP($A105,'Data shares'!$C:$FB,125)</f>
        <v>0.34</v>
      </c>
      <c r="Q105" s="50">
        <f>VLOOKUP($A105,'Data shares'!$C:$FB,127)*100</f>
        <v>14.71</v>
      </c>
    </row>
    <row r="106" spans="1:17" x14ac:dyDescent="0.25">
      <c r="A106" s="97" t="str">
        <f>'Snapshot (Value)'!A110</f>
        <v>IRFC</v>
      </c>
      <c r="B106" s="140">
        <f>VLOOKUP($A106,'Data shares'!$C:$FB,7)</f>
        <v>114.33</v>
      </c>
      <c r="C106" s="140">
        <f>VLOOKUP($A106,'Data shares'!$C:$FB,3)</f>
        <v>114.28</v>
      </c>
      <c r="D106" s="140">
        <f>VLOOKUP($A106,'Data shares'!$C:$FB,4)</f>
        <v>115.82</v>
      </c>
      <c r="E106" s="50">
        <f t="shared" si="3"/>
        <v>-1.3296494560524885</v>
      </c>
      <c r="F106" s="49">
        <f>VLOOKUP($A106,'Data shares'!$C:$FB,98)</f>
        <v>222874250</v>
      </c>
      <c r="G106" s="49">
        <f>VLOOKUP($A106,'Data shares'!$C:$FB,99)</f>
        <v>219470000</v>
      </c>
      <c r="H106" s="50">
        <f t="shared" si="4"/>
        <v>1.5511231603408211</v>
      </c>
      <c r="I106" s="49">
        <f>VLOOKUP($A106,'Data shares'!$C:$FB,66)</f>
        <v>95650500</v>
      </c>
      <c r="J106" s="49">
        <f>VLOOKUP($A106,'Data shares'!$C:$FB,67)</f>
        <v>92560750</v>
      </c>
      <c r="K106" s="50">
        <f t="shared" si="5"/>
        <v>3.2302497111881276</v>
      </c>
      <c r="L106" s="50">
        <f>VLOOKUP($A106,'Data shares'!$C:$FB,118)</f>
        <v>0.38</v>
      </c>
      <c r="M106" s="50">
        <f>VLOOKUP($A106,'Data shares'!$C:$FB,119)</f>
        <v>0.39</v>
      </c>
      <c r="N106" s="50">
        <f>VLOOKUP($A106,'Data shares'!$C:$FB,121)*100</f>
        <v>-2.56</v>
      </c>
      <c r="O106" s="50">
        <f>VLOOKUP($A106,'Data shares'!$C:$FB,124)</f>
        <v>0.25</v>
      </c>
      <c r="P106" s="50">
        <f>VLOOKUP($A106,'Data shares'!$C:$FB,125)</f>
        <v>0.21</v>
      </c>
      <c r="Q106" s="50">
        <f>VLOOKUP($A106,'Data shares'!$C:$FB,127)*100</f>
        <v>19.05</v>
      </c>
    </row>
    <row r="107" spans="1:17" x14ac:dyDescent="0.25">
      <c r="A107" s="97" t="str">
        <f>'Snapshot (Value)'!A111</f>
        <v>ITC</v>
      </c>
      <c r="B107" s="140">
        <f>VLOOKUP($A107,'Data shares'!$C:$FB,7)</f>
        <v>318.25</v>
      </c>
      <c r="C107" s="140">
        <f>VLOOKUP($A107,'Data shares'!$C:$FB,3)</f>
        <v>319.14999999999998</v>
      </c>
      <c r="D107" s="140">
        <f>VLOOKUP($A107,'Data shares'!$C:$FB,4)</f>
        <v>321.89999999999998</v>
      </c>
      <c r="E107" s="50">
        <f t="shared" si="3"/>
        <v>-0.85430257844050961</v>
      </c>
      <c r="F107" s="49">
        <f>VLOOKUP($A107,'Data shares'!$C:$FB,98)</f>
        <v>486958400</v>
      </c>
      <c r="G107" s="49">
        <f>VLOOKUP($A107,'Data shares'!$C:$FB,99)</f>
        <v>476147200</v>
      </c>
      <c r="H107" s="50">
        <f t="shared" si="4"/>
        <v>2.2705583483426972</v>
      </c>
      <c r="I107" s="49">
        <f>VLOOKUP($A107,'Data shares'!$C:$FB,66)</f>
        <v>250953600</v>
      </c>
      <c r="J107" s="49">
        <f>VLOOKUP($A107,'Data shares'!$C:$FB,67)</f>
        <v>183904000</v>
      </c>
      <c r="K107" s="50">
        <f t="shared" si="5"/>
        <v>26.717927138722057</v>
      </c>
      <c r="L107" s="50">
        <f>VLOOKUP($A107,'Data shares'!$C:$FB,118)</f>
        <v>0.46</v>
      </c>
      <c r="M107" s="50">
        <f>VLOOKUP($A107,'Data shares'!$C:$FB,119)</f>
        <v>0.49</v>
      </c>
      <c r="N107" s="50">
        <f>VLOOKUP($A107,'Data shares'!$C:$FB,121)*100</f>
        <v>-6.12</v>
      </c>
      <c r="O107" s="50">
        <f>VLOOKUP($A107,'Data shares'!$C:$FB,124)</f>
        <v>0.46</v>
      </c>
      <c r="P107" s="50">
        <f>VLOOKUP($A107,'Data shares'!$C:$FB,125)</f>
        <v>0.41</v>
      </c>
      <c r="Q107" s="50">
        <f>VLOOKUP($A107,'Data shares'!$C:$FB,127)*100</f>
        <v>12.2</v>
      </c>
    </row>
    <row r="108" spans="1:17" x14ac:dyDescent="0.25">
      <c r="A108" s="97" t="str">
        <f>'Snapshot (Value)'!A112</f>
        <v>JINDALSTEL</v>
      </c>
      <c r="B108" s="140">
        <f>VLOOKUP($A108,'Data shares'!$C:$FB,7)</f>
        <v>1190.5</v>
      </c>
      <c r="C108" s="140">
        <f>VLOOKUP($A108,'Data shares'!$C:$FB,3)</f>
        <v>1194.5</v>
      </c>
      <c r="D108" s="140">
        <f>VLOOKUP($A108,'Data shares'!$C:$FB,4)</f>
        <v>1193.5</v>
      </c>
      <c r="E108" s="50">
        <f t="shared" si="3"/>
        <v>8.3787180561374103E-2</v>
      </c>
      <c r="F108" s="49">
        <f>VLOOKUP($A108,'Data shares'!$C:$FB,98)</f>
        <v>20226250</v>
      </c>
      <c r="G108" s="49">
        <f>VLOOKUP($A108,'Data shares'!$C:$FB,99)</f>
        <v>20573125</v>
      </c>
      <c r="H108" s="50">
        <f t="shared" si="4"/>
        <v>-1.6860588753531611</v>
      </c>
      <c r="I108" s="49">
        <f>VLOOKUP($A108,'Data shares'!$C:$FB,66)</f>
        <v>7601875</v>
      </c>
      <c r="J108" s="49">
        <f>VLOOKUP($A108,'Data shares'!$C:$FB,67)</f>
        <v>7369375</v>
      </c>
      <c r="K108" s="50">
        <f t="shared" si="5"/>
        <v>3.0584559730329688</v>
      </c>
      <c r="L108" s="50">
        <f>VLOOKUP($A108,'Data shares'!$C:$FB,118)</f>
        <v>0.92</v>
      </c>
      <c r="M108" s="50">
        <f>VLOOKUP($A108,'Data shares'!$C:$FB,119)</f>
        <v>0.9</v>
      </c>
      <c r="N108" s="50">
        <f>VLOOKUP($A108,'Data shares'!$C:$FB,121)*100</f>
        <v>2.2200000000000002</v>
      </c>
      <c r="O108" s="50">
        <f>VLOOKUP($A108,'Data shares'!$C:$FB,124)</f>
        <v>0.92</v>
      </c>
      <c r="P108" s="50">
        <f>VLOOKUP($A108,'Data shares'!$C:$FB,125)</f>
        <v>0.64</v>
      </c>
      <c r="Q108" s="50">
        <f>VLOOKUP($A108,'Data shares'!$C:$FB,127)*100</f>
        <v>43.75</v>
      </c>
    </row>
    <row r="109" spans="1:17" x14ac:dyDescent="0.25">
      <c r="A109" s="97" t="str">
        <f>'Snapshot (Value)'!A113</f>
        <v>JIOFIN</v>
      </c>
      <c r="B109" s="140">
        <f>VLOOKUP($A109,'Data shares'!$C:$FB,7)</f>
        <v>270.3</v>
      </c>
      <c r="C109" s="140">
        <f>VLOOKUP($A109,'Data shares'!$C:$FB,3)</f>
        <v>270.85000000000002</v>
      </c>
      <c r="D109" s="140">
        <f>VLOOKUP($A109,'Data shares'!$C:$FB,4)</f>
        <v>270.85000000000002</v>
      </c>
      <c r="E109" s="50">
        <f t="shared" si="3"/>
        <v>0</v>
      </c>
      <c r="F109" s="49">
        <f>VLOOKUP($A109,'Data shares'!$C:$FB,98)</f>
        <v>299907000</v>
      </c>
      <c r="G109" s="49">
        <f>VLOOKUP($A109,'Data shares'!$C:$FB,99)</f>
        <v>304489500</v>
      </c>
      <c r="H109" s="50">
        <f t="shared" si="4"/>
        <v>-1.5049780041676315</v>
      </c>
      <c r="I109" s="49">
        <f>VLOOKUP($A109,'Data shares'!$C:$FB,66)</f>
        <v>78339600</v>
      </c>
      <c r="J109" s="49">
        <f>VLOOKUP($A109,'Data shares'!$C:$FB,67)</f>
        <v>108038900</v>
      </c>
      <c r="K109" s="50">
        <f t="shared" si="5"/>
        <v>-37.91096712263019</v>
      </c>
      <c r="L109" s="50">
        <f>VLOOKUP($A109,'Data shares'!$C:$FB,118)</f>
        <v>0.7</v>
      </c>
      <c r="M109" s="50">
        <f>VLOOKUP($A109,'Data shares'!$C:$FB,119)</f>
        <v>0.66</v>
      </c>
      <c r="N109" s="50">
        <f>VLOOKUP($A109,'Data shares'!$C:$FB,121)*100</f>
        <v>6.0600000000000005</v>
      </c>
      <c r="O109" s="50">
        <f>VLOOKUP($A109,'Data shares'!$C:$FB,124)</f>
        <v>0.34</v>
      </c>
      <c r="P109" s="50">
        <f>VLOOKUP($A109,'Data shares'!$C:$FB,125)</f>
        <v>0.38</v>
      </c>
      <c r="Q109" s="50">
        <f>VLOOKUP($A109,'Data shares'!$C:$FB,127)*100</f>
        <v>-10.530000000000001</v>
      </c>
    </row>
    <row r="110" spans="1:17" x14ac:dyDescent="0.25">
      <c r="A110" s="97" t="str">
        <f>'Snapshot (Value)'!A114</f>
        <v>JSWENERGY</v>
      </c>
      <c r="B110" s="140">
        <f>VLOOKUP($A110,'Data shares'!$C:$FB,7)</f>
        <v>482.35</v>
      </c>
      <c r="C110" s="140">
        <f>VLOOKUP($A110,'Data shares'!$C:$FB,3)</f>
        <v>482.9</v>
      </c>
      <c r="D110" s="140">
        <f>VLOOKUP($A110,'Data shares'!$C:$FB,4)</f>
        <v>484.1</v>
      </c>
      <c r="E110" s="50">
        <f t="shared" si="3"/>
        <v>-0.24788266887007757</v>
      </c>
      <c r="F110" s="49">
        <f>VLOOKUP($A110,'Data shares'!$C:$FB,98)</f>
        <v>48586000</v>
      </c>
      <c r="G110" s="49">
        <f>VLOOKUP($A110,'Data shares'!$C:$FB,99)</f>
        <v>47752000</v>
      </c>
      <c r="H110" s="50">
        <f t="shared" si="4"/>
        <v>1.7465237058133691</v>
      </c>
      <c r="I110" s="49">
        <f>VLOOKUP($A110,'Data shares'!$C:$FB,66)</f>
        <v>9381000</v>
      </c>
      <c r="J110" s="49">
        <f>VLOOKUP($A110,'Data shares'!$C:$FB,67)</f>
        <v>13675000</v>
      </c>
      <c r="K110" s="50">
        <f t="shared" si="5"/>
        <v>-45.773371708773055</v>
      </c>
      <c r="L110" s="50">
        <f>VLOOKUP($A110,'Data shares'!$C:$FB,118)</f>
        <v>0.92</v>
      </c>
      <c r="M110" s="50">
        <f>VLOOKUP($A110,'Data shares'!$C:$FB,119)</f>
        <v>0.98</v>
      </c>
      <c r="N110" s="50">
        <f>VLOOKUP($A110,'Data shares'!$C:$FB,121)*100</f>
        <v>-6.12</v>
      </c>
      <c r="O110" s="50">
        <f>VLOOKUP($A110,'Data shares'!$C:$FB,124)</f>
        <v>0.52</v>
      </c>
      <c r="P110" s="50">
        <f>VLOOKUP($A110,'Data shares'!$C:$FB,125)</f>
        <v>0.5</v>
      </c>
      <c r="Q110" s="50">
        <f>VLOOKUP($A110,'Data shares'!$C:$FB,127)*100</f>
        <v>4</v>
      </c>
    </row>
    <row r="111" spans="1:17" x14ac:dyDescent="0.25">
      <c r="A111" s="97" t="str">
        <f>'Snapshot (Value)'!A115</f>
        <v>JSWSTEEL</v>
      </c>
      <c r="B111" s="140">
        <f>VLOOKUP($A111,'Data shares'!$C:$FB,7)</f>
        <v>1249.2</v>
      </c>
      <c r="C111" s="140">
        <f>VLOOKUP($A111,'Data shares'!$C:$FB,3)</f>
        <v>1250.5</v>
      </c>
      <c r="D111" s="140">
        <f>VLOOKUP($A111,'Data shares'!$C:$FB,4)</f>
        <v>1248.2</v>
      </c>
      <c r="E111" s="50">
        <f t="shared" si="3"/>
        <v>0.18426534209260972</v>
      </c>
      <c r="F111" s="49">
        <f>VLOOKUP($A111,'Data shares'!$C:$FB,98)</f>
        <v>65612700</v>
      </c>
      <c r="G111" s="49">
        <f>VLOOKUP($A111,'Data shares'!$C:$FB,99)</f>
        <v>65943450</v>
      </c>
      <c r="H111" s="50">
        <f t="shared" si="4"/>
        <v>-0.50156611460273914</v>
      </c>
      <c r="I111" s="49">
        <f>VLOOKUP($A111,'Data shares'!$C:$FB,66)</f>
        <v>9447300</v>
      </c>
      <c r="J111" s="49">
        <f>VLOOKUP($A111,'Data shares'!$C:$FB,67)</f>
        <v>20181150</v>
      </c>
      <c r="K111" s="50">
        <f t="shared" si="5"/>
        <v>-113.61817662189198</v>
      </c>
      <c r="L111" s="50">
        <f>VLOOKUP($A111,'Data shares'!$C:$FB,118)</f>
        <v>0.72</v>
      </c>
      <c r="M111" s="50">
        <f>VLOOKUP($A111,'Data shares'!$C:$FB,119)</f>
        <v>0.71</v>
      </c>
      <c r="N111" s="50">
        <f>VLOOKUP($A111,'Data shares'!$C:$FB,121)*100</f>
        <v>1.41</v>
      </c>
      <c r="O111" s="50">
        <f>VLOOKUP($A111,'Data shares'!$C:$FB,124)</f>
        <v>0.59</v>
      </c>
      <c r="P111" s="50">
        <f>VLOOKUP($A111,'Data shares'!$C:$FB,125)</f>
        <v>0.38</v>
      </c>
      <c r="Q111" s="50">
        <f>VLOOKUP($A111,'Data shares'!$C:$FB,127)*100</f>
        <v>55.26</v>
      </c>
    </row>
    <row r="112" spans="1:17" x14ac:dyDescent="0.25">
      <c r="A112" s="97" t="str">
        <f>'Snapshot (Value)'!A116</f>
        <v>JUBLFOOD</v>
      </c>
      <c r="B112" s="140">
        <f>VLOOKUP($A112,'Data shares'!$C:$FB,7)</f>
        <v>547</v>
      </c>
      <c r="C112" s="140">
        <f>VLOOKUP($A112,'Data shares'!$C:$FB,3)</f>
        <v>545</v>
      </c>
      <c r="D112" s="140">
        <f>VLOOKUP($A112,'Data shares'!$C:$FB,4)</f>
        <v>556.20000000000005</v>
      </c>
      <c r="E112" s="50">
        <f t="shared" si="3"/>
        <v>-2.0136641495864875</v>
      </c>
      <c r="F112" s="49">
        <f>VLOOKUP($A112,'Data shares'!$C:$FB,98)</f>
        <v>52853750</v>
      </c>
      <c r="G112" s="49">
        <f>VLOOKUP($A112,'Data shares'!$C:$FB,99)</f>
        <v>38361250</v>
      </c>
      <c r="H112" s="50">
        <f t="shared" si="4"/>
        <v>37.779008765355663</v>
      </c>
      <c r="I112" s="49">
        <f>VLOOKUP($A112,'Data shares'!$C:$FB,66)</f>
        <v>124232500</v>
      </c>
      <c r="J112" s="49">
        <f>VLOOKUP($A112,'Data shares'!$C:$FB,67)</f>
        <v>30991250</v>
      </c>
      <c r="K112" s="50">
        <f t="shared" si="5"/>
        <v>75.053830519389052</v>
      </c>
      <c r="L112" s="50">
        <f>VLOOKUP($A112,'Data shares'!$C:$FB,118)</f>
        <v>0.49</v>
      </c>
      <c r="M112" s="50">
        <f>VLOOKUP($A112,'Data shares'!$C:$FB,119)</f>
        <v>0.77</v>
      </c>
      <c r="N112" s="50">
        <f>VLOOKUP($A112,'Data shares'!$C:$FB,121)*100</f>
        <v>-36.36</v>
      </c>
      <c r="O112" s="50">
        <f>VLOOKUP($A112,'Data shares'!$C:$FB,124)</f>
        <v>0.4</v>
      </c>
      <c r="P112" s="50">
        <f>VLOOKUP($A112,'Data shares'!$C:$FB,125)</f>
        <v>0.4</v>
      </c>
      <c r="Q112" s="50">
        <f>VLOOKUP($A112,'Data shares'!$C:$FB,127)*100</f>
        <v>0</v>
      </c>
    </row>
    <row r="113" spans="1:17" x14ac:dyDescent="0.25">
      <c r="A113" s="97" t="str">
        <f>'Snapshot (Value)'!A117</f>
        <v>KALYANKJIL</v>
      </c>
      <c r="B113" s="140">
        <f>VLOOKUP($A113,'Data shares'!$C:$FB,7)</f>
        <v>426.95</v>
      </c>
      <c r="C113" s="140">
        <f>VLOOKUP($A113,'Data shares'!$C:$FB,3)</f>
        <v>427.45</v>
      </c>
      <c r="D113" s="140">
        <f>VLOOKUP($A113,'Data shares'!$C:$FB,4)</f>
        <v>434.8</v>
      </c>
      <c r="E113" s="50">
        <f t="shared" si="3"/>
        <v>-1.6904323827046972</v>
      </c>
      <c r="F113" s="49">
        <f>VLOOKUP($A113,'Data shares'!$C:$FB,98)</f>
        <v>73902800</v>
      </c>
      <c r="G113" s="49">
        <f>VLOOKUP($A113,'Data shares'!$C:$FB,99)</f>
        <v>77096450</v>
      </c>
      <c r="H113" s="50">
        <f t="shared" si="4"/>
        <v>-4.1424086323040816</v>
      </c>
      <c r="I113" s="49">
        <f>VLOOKUP($A113,'Data shares'!$C:$FB,66)</f>
        <v>61601725</v>
      </c>
      <c r="J113" s="49">
        <f>VLOOKUP($A113,'Data shares'!$C:$FB,67)</f>
        <v>137554900</v>
      </c>
      <c r="K113" s="50">
        <f t="shared" si="5"/>
        <v>-123.29715604554904</v>
      </c>
      <c r="L113" s="50">
        <f>VLOOKUP($A113,'Data shares'!$C:$FB,118)</f>
        <v>0.8</v>
      </c>
      <c r="M113" s="50">
        <f>VLOOKUP($A113,'Data shares'!$C:$FB,119)</f>
        <v>0.78</v>
      </c>
      <c r="N113" s="50">
        <f>VLOOKUP($A113,'Data shares'!$C:$FB,121)*100</f>
        <v>2.56</v>
      </c>
      <c r="O113" s="50">
        <f>VLOOKUP($A113,'Data shares'!$C:$FB,124)</f>
        <v>0.72</v>
      </c>
      <c r="P113" s="50">
        <f>VLOOKUP($A113,'Data shares'!$C:$FB,125)</f>
        <v>0.56999999999999995</v>
      </c>
      <c r="Q113" s="50">
        <f>VLOOKUP($A113,'Data shares'!$C:$FB,127)*100</f>
        <v>26.32</v>
      </c>
    </row>
    <row r="114" spans="1:17" x14ac:dyDescent="0.25">
      <c r="A114" s="97" t="str">
        <f>'Snapshot (Value)'!A118</f>
        <v>KAYNES</v>
      </c>
      <c r="B114" s="140">
        <f>VLOOKUP($A114,'Data shares'!$C:$FB,7)</f>
        <v>4154.7</v>
      </c>
      <c r="C114" s="140">
        <f>VLOOKUP($A114,'Data shares'!$C:$FB,3)</f>
        <v>4169.1000000000004</v>
      </c>
      <c r="D114" s="140">
        <f>VLOOKUP($A114,'Data shares'!$C:$FB,4)</f>
        <v>3961.4</v>
      </c>
      <c r="E114" s="50">
        <f t="shared" si="3"/>
        <v>5.2430958751956451</v>
      </c>
      <c r="F114" s="49">
        <f>VLOOKUP($A114,'Data shares'!$C:$FB,98)</f>
        <v>8717200</v>
      </c>
      <c r="G114" s="49">
        <f>VLOOKUP($A114,'Data shares'!$C:$FB,99)</f>
        <v>8122500</v>
      </c>
      <c r="H114" s="50">
        <f t="shared" si="4"/>
        <v>7.3216374269005851</v>
      </c>
      <c r="I114" s="49">
        <f>VLOOKUP($A114,'Data shares'!$C:$FB,66)</f>
        <v>21797700</v>
      </c>
      <c r="J114" s="49">
        <f>VLOOKUP($A114,'Data shares'!$C:$FB,67)</f>
        <v>14258300</v>
      </c>
      <c r="K114" s="50">
        <f t="shared" si="5"/>
        <v>34.588052867963128</v>
      </c>
      <c r="L114" s="50">
        <f>VLOOKUP($A114,'Data shares'!$C:$FB,118)</f>
        <v>0.89</v>
      </c>
      <c r="M114" s="50">
        <f>VLOOKUP($A114,'Data shares'!$C:$FB,119)</f>
        <v>0.97</v>
      </c>
      <c r="N114" s="50">
        <f>VLOOKUP($A114,'Data shares'!$C:$FB,121)*100</f>
        <v>-8.25</v>
      </c>
      <c r="O114" s="50">
        <f>VLOOKUP($A114,'Data shares'!$C:$FB,124)</f>
        <v>0.36</v>
      </c>
      <c r="P114" s="50">
        <f>VLOOKUP($A114,'Data shares'!$C:$FB,125)</f>
        <v>0.56999999999999995</v>
      </c>
      <c r="Q114" s="50">
        <f>VLOOKUP($A114,'Data shares'!$C:$FB,127)*100</f>
        <v>-36.840000000000003</v>
      </c>
    </row>
    <row r="115" spans="1:17" x14ac:dyDescent="0.25">
      <c r="A115" s="97" t="str">
        <f>'Snapshot (Value)'!A119</f>
        <v>KEI</v>
      </c>
      <c r="B115" s="140">
        <f>VLOOKUP($A115,'Data shares'!$C:$FB,7)</f>
        <v>4605.8999999999996</v>
      </c>
      <c r="C115" s="140">
        <f>VLOOKUP($A115,'Data shares'!$C:$FB,3)</f>
        <v>4619.5</v>
      </c>
      <c r="D115" s="140">
        <f>VLOOKUP($A115,'Data shares'!$C:$FB,4)</f>
        <v>4606.6000000000004</v>
      </c>
      <c r="E115" s="50">
        <f t="shared" si="3"/>
        <v>0.28003299613597094</v>
      </c>
      <c r="F115" s="49">
        <f>VLOOKUP($A115,'Data shares'!$C:$FB,98)</f>
        <v>2997925</v>
      </c>
      <c r="G115" s="49">
        <f>VLOOKUP($A115,'Data shares'!$C:$FB,99)</f>
        <v>2972550</v>
      </c>
      <c r="H115" s="50">
        <f t="shared" si="4"/>
        <v>0.85364417755798894</v>
      </c>
      <c r="I115" s="49">
        <f>VLOOKUP($A115,'Data shares'!$C:$FB,66)</f>
        <v>1535975</v>
      </c>
      <c r="J115" s="49">
        <f>VLOOKUP($A115,'Data shares'!$C:$FB,67)</f>
        <v>1998150</v>
      </c>
      <c r="K115" s="50">
        <f t="shared" si="5"/>
        <v>-30.090007975390225</v>
      </c>
      <c r="L115" s="50">
        <f>VLOOKUP($A115,'Data shares'!$C:$FB,118)</f>
        <v>0.95</v>
      </c>
      <c r="M115" s="50">
        <f>VLOOKUP($A115,'Data shares'!$C:$FB,119)</f>
        <v>0.89</v>
      </c>
      <c r="N115" s="50">
        <f>VLOOKUP($A115,'Data shares'!$C:$FB,121)*100</f>
        <v>6.74</v>
      </c>
      <c r="O115" s="50">
        <f>VLOOKUP($A115,'Data shares'!$C:$FB,124)</f>
        <v>0.41</v>
      </c>
      <c r="P115" s="50">
        <f>VLOOKUP($A115,'Data shares'!$C:$FB,125)</f>
        <v>0.24</v>
      </c>
      <c r="Q115" s="50">
        <f>VLOOKUP($A115,'Data shares'!$C:$FB,127)*100</f>
        <v>70.83</v>
      </c>
    </row>
    <row r="116" spans="1:17" x14ac:dyDescent="0.25">
      <c r="A116" s="97" t="str">
        <f>'Snapshot (Value)'!A120</f>
        <v>KFINTECH</v>
      </c>
      <c r="B116" s="140">
        <f>VLOOKUP($A116,'Data shares'!$C:$FB,7)</f>
        <v>1022.5</v>
      </c>
      <c r="C116" s="140">
        <f>VLOOKUP($A116,'Data shares'!$C:$FB,3)</f>
        <v>1019.4</v>
      </c>
      <c r="D116" s="140">
        <f>VLOOKUP($A116,'Data shares'!$C:$FB,4)</f>
        <v>1026.0999999999999</v>
      </c>
      <c r="E116" s="50">
        <f t="shared" si="3"/>
        <v>-0.65295780138387416</v>
      </c>
      <c r="F116" s="49">
        <f>VLOOKUP($A116,'Data shares'!$C:$FB,98)</f>
        <v>8923500</v>
      </c>
      <c r="G116" s="49">
        <f>VLOOKUP($A116,'Data shares'!$C:$FB,99)</f>
        <v>8398000</v>
      </c>
      <c r="H116" s="50">
        <f t="shared" si="4"/>
        <v>6.257442248154323</v>
      </c>
      <c r="I116" s="49">
        <f>VLOOKUP($A116,'Data shares'!$C:$FB,66)</f>
        <v>2678500</v>
      </c>
      <c r="J116" s="49">
        <f>VLOOKUP($A116,'Data shares'!$C:$FB,67)</f>
        <v>15942500</v>
      </c>
      <c r="K116" s="50">
        <f t="shared" si="5"/>
        <v>-495.20253873436627</v>
      </c>
      <c r="L116" s="50">
        <f>VLOOKUP($A116,'Data shares'!$C:$FB,118)</f>
        <v>0.76</v>
      </c>
      <c r="M116" s="50">
        <f>VLOOKUP($A116,'Data shares'!$C:$FB,119)</f>
        <v>0.76</v>
      </c>
      <c r="N116" s="50">
        <f>VLOOKUP($A116,'Data shares'!$C:$FB,121)*100</f>
        <v>0</v>
      </c>
      <c r="O116" s="50">
        <f>VLOOKUP($A116,'Data shares'!$C:$FB,124)</f>
        <v>0.39</v>
      </c>
      <c r="P116" s="50">
        <f>VLOOKUP($A116,'Data shares'!$C:$FB,125)</f>
        <v>0.35</v>
      </c>
      <c r="Q116" s="50">
        <f>VLOOKUP($A116,'Data shares'!$C:$FB,127)*100</f>
        <v>11.43</v>
      </c>
    </row>
    <row r="117" spans="1:17" x14ac:dyDescent="0.25">
      <c r="A117" s="97" t="str">
        <f>'Snapshot (Value)'!A121</f>
        <v>KOTAKBANK</v>
      </c>
      <c r="B117" s="140">
        <f>VLOOKUP($A117,'Data shares'!$C:$FB,7)</f>
        <v>429.55</v>
      </c>
      <c r="C117" s="140">
        <f>VLOOKUP($A117,'Data shares'!$C:$FB,3)</f>
        <v>429.9</v>
      </c>
      <c r="D117" s="140">
        <f>VLOOKUP($A117,'Data shares'!$C:$FB,4)</f>
        <v>429.8</v>
      </c>
      <c r="E117" s="50">
        <f t="shared" si="3"/>
        <v>2.3266635644477871E-2</v>
      </c>
      <c r="F117" s="49">
        <f>VLOOKUP($A117,'Data shares'!$C:$FB,98)</f>
        <v>274856000</v>
      </c>
      <c r="G117" s="49">
        <f>VLOOKUP($A117,'Data shares'!$C:$FB,99)</f>
        <v>279042000</v>
      </c>
      <c r="H117" s="50">
        <f t="shared" si="4"/>
        <v>-1.5001325965266878</v>
      </c>
      <c r="I117" s="49">
        <f>VLOOKUP($A117,'Data shares'!$C:$FB,66)</f>
        <v>52644000</v>
      </c>
      <c r="J117" s="49">
        <f>VLOOKUP($A117,'Data shares'!$C:$FB,67)</f>
        <v>78022000</v>
      </c>
      <c r="K117" s="50">
        <f t="shared" si="5"/>
        <v>-48.206823189727224</v>
      </c>
      <c r="L117" s="50">
        <f>VLOOKUP($A117,'Data shares'!$C:$FB,118)</f>
        <v>0.97</v>
      </c>
      <c r="M117" s="50">
        <f>VLOOKUP($A117,'Data shares'!$C:$FB,119)</f>
        <v>0.98</v>
      </c>
      <c r="N117" s="50">
        <f>VLOOKUP($A117,'Data shares'!$C:$FB,121)*100</f>
        <v>-1.02</v>
      </c>
      <c r="O117" s="50">
        <f>VLOOKUP($A117,'Data shares'!$C:$FB,124)</f>
        <v>0.74</v>
      </c>
      <c r="P117" s="50">
        <f>VLOOKUP($A117,'Data shares'!$C:$FB,125)</f>
        <v>0.71</v>
      </c>
      <c r="Q117" s="50">
        <f>VLOOKUP($A117,'Data shares'!$C:$FB,127)*100</f>
        <v>4.2299999999999995</v>
      </c>
    </row>
    <row r="118" spans="1:17" x14ac:dyDescent="0.25">
      <c r="A118" s="97" t="str">
        <f>'Snapshot (Value)'!A122</f>
        <v>KPITTECH</v>
      </c>
      <c r="B118" s="140">
        <f>VLOOKUP($A118,'Data shares'!$C:$FB,7)</f>
        <v>959.4</v>
      </c>
      <c r="C118" s="140">
        <f>VLOOKUP($A118,'Data shares'!$C:$FB,3)</f>
        <v>962</v>
      </c>
      <c r="D118" s="140">
        <f>VLOOKUP($A118,'Data shares'!$C:$FB,4)</f>
        <v>977</v>
      </c>
      <c r="E118" s="50">
        <f t="shared" si="3"/>
        <v>-1.5353121801432956</v>
      </c>
      <c r="F118" s="49">
        <f>VLOOKUP($A118,'Data shares'!$C:$FB,98)</f>
        <v>12962500</v>
      </c>
      <c r="G118" s="49">
        <f>VLOOKUP($A118,'Data shares'!$C:$FB,99)</f>
        <v>12589775</v>
      </c>
      <c r="H118" s="50">
        <f t="shared" si="4"/>
        <v>2.9605374202477805</v>
      </c>
      <c r="I118" s="49">
        <f>VLOOKUP($A118,'Data shares'!$C:$FB,66)</f>
        <v>3879825</v>
      </c>
      <c r="J118" s="49">
        <f>VLOOKUP($A118,'Data shares'!$C:$FB,67)</f>
        <v>8967075</v>
      </c>
      <c r="K118" s="50">
        <f t="shared" si="5"/>
        <v>-131.1206046664476</v>
      </c>
      <c r="L118" s="50">
        <f>VLOOKUP($A118,'Data shares'!$C:$FB,118)</f>
        <v>0.41</v>
      </c>
      <c r="M118" s="50">
        <f>VLOOKUP($A118,'Data shares'!$C:$FB,119)</f>
        <v>0.39</v>
      </c>
      <c r="N118" s="50">
        <f>VLOOKUP($A118,'Data shares'!$C:$FB,121)*100</f>
        <v>5.13</v>
      </c>
      <c r="O118" s="50">
        <f>VLOOKUP($A118,'Data shares'!$C:$FB,124)</f>
        <v>0.26</v>
      </c>
      <c r="P118" s="50">
        <f>VLOOKUP($A118,'Data shares'!$C:$FB,125)</f>
        <v>0.17</v>
      </c>
      <c r="Q118" s="50">
        <f>VLOOKUP($A118,'Data shares'!$C:$FB,127)*100</f>
        <v>52.94</v>
      </c>
    </row>
    <row r="119" spans="1:17" x14ac:dyDescent="0.25">
      <c r="A119" s="97" t="str">
        <f>'Snapshot (Value)'!A123</f>
        <v>LAURUSLABS</v>
      </c>
      <c r="B119" s="140">
        <f>VLOOKUP($A119,'Data shares'!$C:$FB,7)</f>
        <v>1013.65</v>
      </c>
      <c r="C119" s="140">
        <f>VLOOKUP($A119,'Data shares'!$C:$FB,3)</f>
        <v>1015.6</v>
      </c>
      <c r="D119" s="140">
        <f>VLOOKUP($A119,'Data shares'!$C:$FB,4)</f>
        <v>969.65</v>
      </c>
      <c r="E119" s="50">
        <f t="shared" si="3"/>
        <v>4.7388232867529574</v>
      </c>
      <c r="F119" s="49">
        <f>VLOOKUP($A119,'Data shares'!$C:$FB,98)</f>
        <v>38451450</v>
      </c>
      <c r="G119" s="49">
        <f>VLOOKUP($A119,'Data shares'!$C:$FB,99)</f>
        <v>37594650</v>
      </c>
      <c r="H119" s="50">
        <f t="shared" si="4"/>
        <v>2.2790476836464761</v>
      </c>
      <c r="I119" s="49">
        <f>VLOOKUP($A119,'Data shares'!$C:$FB,66)</f>
        <v>41859100</v>
      </c>
      <c r="J119" s="49">
        <f>VLOOKUP($A119,'Data shares'!$C:$FB,67)</f>
        <v>10427800</v>
      </c>
      <c r="K119" s="50">
        <f t="shared" si="5"/>
        <v>75.088332047272871</v>
      </c>
      <c r="L119" s="50">
        <f>VLOOKUP($A119,'Data shares'!$C:$FB,118)</f>
        <v>0.51</v>
      </c>
      <c r="M119" s="50">
        <f>VLOOKUP($A119,'Data shares'!$C:$FB,119)</f>
        <v>0.49</v>
      </c>
      <c r="N119" s="50">
        <f>VLOOKUP($A119,'Data shares'!$C:$FB,121)*100</f>
        <v>4.08</v>
      </c>
      <c r="O119" s="50">
        <f>VLOOKUP($A119,'Data shares'!$C:$FB,124)</f>
        <v>0.28999999999999998</v>
      </c>
      <c r="P119" s="50">
        <f>VLOOKUP($A119,'Data shares'!$C:$FB,125)</f>
        <v>0.54</v>
      </c>
      <c r="Q119" s="50">
        <f>VLOOKUP($A119,'Data shares'!$C:$FB,127)*100</f>
        <v>-46.300000000000004</v>
      </c>
    </row>
    <row r="120" spans="1:17" x14ac:dyDescent="0.25">
      <c r="A120" s="97" t="str">
        <f>'Snapshot (Value)'!A124</f>
        <v>LICHSGFIN</v>
      </c>
      <c r="B120" s="140">
        <f>VLOOKUP($A120,'Data shares'!$C:$FB,7)</f>
        <v>525.54999999999995</v>
      </c>
      <c r="C120" s="140">
        <f>VLOOKUP($A120,'Data shares'!$C:$FB,3)</f>
        <v>526</v>
      </c>
      <c r="D120" s="140">
        <f>VLOOKUP($A120,'Data shares'!$C:$FB,4)</f>
        <v>523.95000000000005</v>
      </c>
      <c r="E120" s="50">
        <f t="shared" si="3"/>
        <v>0.39125870789196565</v>
      </c>
      <c r="F120" s="49">
        <f>VLOOKUP($A120,'Data shares'!$C:$FB,98)</f>
        <v>52803000</v>
      </c>
      <c r="G120" s="49">
        <f>VLOOKUP($A120,'Data shares'!$C:$FB,99)</f>
        <v>52376000</v>
      </c>
      <c r="H120" s="50">
        <f t="shared" si="4"/>
        <v>0.81525889720482669</v>
      </c>
      <c r="I120" s="49">
        <f>VLOOKUP($A120,'Data shares'!$C:$FB,66)</f>
        <v>12422000</v>
      </c>
      <c r="J120" s="49">
        <f>VLOOKUP($A120,'Data shares'!$C:$FB,67)</f>
        <v>7311000</v>
      </c>
      <c r="K120" s="50">
        <f t="shared" si="5"/>
        <v>41.144743197552728</v>
      </c>
      <c r="L120" s="50">
        <f>VLOOKUP($A120,'Data shares'!$C:$FB,118)</f>
        <v>0.78</v>
      </c>
      <c r="M120" s="50">
        <f>VLOOKUP($A120,'Data shares'!$C:$FB,119)</f>
        <v>0.79</v>
      </c>
      <c r="N120" s="50">
        <f>VLOOKUP($A120,'Data shares'!$C:$FB,121)*100</f>
        <v>-1.27</v>
      </c>
      <c r="O120" s="50">
        <f>VLOOKUP($A120,'Data shares'!$C:$FB,124)</f>
        <v>0.39</v>
      </c>
      <c r="P120" s="50">
        <f>VLOOKUP($A120,'Data shares'!$C:$FB,125)</f>
        <v>0.36</v>
      </c>
      <c r="Q120" s="50">
        <f>VLOOKUP($A120,'Data shares'!$C:$FB,127)*100</f>
        <v>8.33</v>
      </c>
    </row>
    <row r="121" spans="1:17" x14ac:dyDescent="0.25">
      <c r="A121" s="97" t="str">
        <f>'Snapshot (Value)'!A125</f>
        <v>LICI</v>
      </c>
      <c r="B121" s="140">
        <f>VLOOKUP($A121,'Data shares'!$C:$FB,7)</f>
        <v>875.3</v>
      </c>
      <c r="C121" s="140">
        <f>VLOOKUP($A121,'Data shares'!$C:$FB,3)</f>
        <v>875.55</v>
      </c>
      <c r="D121" s="140">
        <f>VLOOKUP($A121,'Data shares'!$C:$FB,4)</f>
        <v>892.45</v>
      </c>
      <c r="E121" s="50">
        <f t="shared" si="3"/>
        <v>-1.8936635105608259</v>
      </c>
      <c r="F121" s="49">
        <f>VLOOKUP($A121,'Data shares'!$C:$FB,98)</f>
        <v>30218300</v>
      </c>
      <c r="G121" s="49">
        <f>VLOOKUP($A121,'Data shares'!$C:$FB,99)</f>
        <v>29610700</v>
      </c>
      <c r="H121" s="50">
        <f t="shared" si="4"/>
        <v>2.0519609465497268</v>
      </c>
      <c r="I121" s="49">
        <f>VLOOKUP($A121,'Data shares'!$C:$FB,66)</f>
        <v>31278100</v>
      </c>
      <c r="J121" s="49">
        <f>VLOOKUP($A121,'Data shares'!$C:$FB,67)</f>
        <v>16597000</v>
      </c>
      <c r="K121" s="50">
        <f t="shared" si="5"/>
        <v>46.937313967280616</v>
      </c>
      <c r="L121" s="50">
        <f>VLOOKUP($A121,'Data shares'!$C:$FB,118)</f>
        <v>0.47</v>
      </c>
      <c r="M121" s="50">
        <f>VLOOKUP($A121,'Data shares'!$C:$FB,119)</f>
        <v>0.54</v>
      </c>
      <c r="N121" s="50">
        <f>VLOOKUP($A121,'Data shares'!$C:$FB,121)*100</f>
        <v>-12.959999999999999</v>
      </c>
      <c r="O121" s="50">
        <f>VLOOKUP($A121,'Data shares'!$C:$FB,124)</f>
        <v>0.61</v>
      </c>
      <c r="P121" s="50">
        <f>VLOOKUP($A121,'Data shares'!$C:$FB,125)</f>
        <v>0.55000000000000004</v>
      </c>
      <c r="Q121" s="50">
        <f>VLOOKUP($A121,'Data shares'!$C:$FB,127)*100</f>
        <v>10.91</v>
      </c>
    </row>
    <row r="122" spans="1:17" x14ac:dyDescent="0.25">
      <c r="A122" s="97" t="str">
        <f>'Snapshot (Value)'!A126</f>
        <v>LODHA</v>
      </c>
      <c r="B122" s="140">
        <f>VLOOKUP($A122,'Data shares'!$C:$FB,7)</f>
        <v>1094.9000000000001</v>
      </c>
      <c r="C122" s="140">
        <f>VLOOKUP($A122,'Data shares'!$C:$FB,3)</f>
        <v>1095.5</v>
      </c>
      <c r="D122" s="140">
        <f>VLOOKUP($A122,'Data shares'!$C:$FB,4)</f>
        <v>1095.4000000000001</v>
      </c>
      <c r="E122" s="50">
        <f t="shared" si="3"/>
        <v>9.1290852656480785E-3</v>
      </c>
      <c r="F122" s="49">
        <f>VLOOKUP($A122,'Data shares'!$C:$FB,98)</f>
        <v>14924250</v>
      </c>
      <c r="G122" s="49">
        <f>VLOOKUP($A122,'Data shares'!$C:$FB,99)</f>
        <v>14955300</v>
      </c>
      <c r="H122" s="50">
        <f t="shared" si="4"/>
        <v>-0.20761870373713665</v>
      </c>
      <c r="I122" s="49">
        <f>VLOOKUP($A122,'Data shares'!$C:$FB,66)</f>
        <v>3957300</v>
      </c>
      <c r="J122" s="49">
        <f>VLOOKUP($A122,'Data shares'!$C:$FB,67)</f>
        <v>7909650</v>
      </c>
      <c r="K122" s="50">
        <f t="shared" si="5"/>
        <v>-99.874914714578125</v>
      </c>
      <c r="L122" s="50">
        <f>VLOOKUP($A122,'Data shares'!$C:$FB,118)</f>
        <v>1.04</v>
      </c>
      <c r="M122" s="50">
        <f>VLOOKUP($A122,'Data shares'!$C:$FB,119)</f>
        <v>1.0900000000000001</v>
      </c>
      <c r="N122" s="50">
        <f>VLOOKUP($A122,'Data shares'!$C:$FB,121)*100</f>
        <v>-4.5900000000000007</v>
      </c>
      <c r="O122" s="50">
        <f>VLOOKUP($A122,'Data shares'!$C:$FB,124)</f>
        <v>0.78</v>
      </c>
      <c r="P122" s="50">
        <f>VLOOKUP($A122,'Data shares'!$C:$FB,125)</f>
        <v>0.57999999999999996</v>
      </c>
      <c r="Q122" s="50">
        <f>VLOOKUP($A122,'Data shares'!$C:$FB,127)*100</f>
        <v>34.479999999999997</v>
      </c>
    </row>
    <row r="123" spans="1:17" x14ac:dyDescent="0.25">
      <c r="A123" s="97" t="str">
        <f>'Snapshot (Value)'!A127</f>
        <v>LT</v>
      </c>
      <c r="B123" s="140">
        <f>VLOOKUP($A123,'Data shares'!$C:$FB,7)</f>
        <v>4170.3999999999996</v>
      </c>
      <c r="C123" s="140">
        <f>VLOOKUP($A123,'Data shares'!$C:$FB,3)</f>
        <v>4170.8999999999996</v>
      </c>
      <c r="D123" s="140">
        <f>VLOOKUP($A123,'Data shares'!$C:$FB,4)</f>
        <v>4169.8999999999996</v>
      </c>
      <c r="E123" s="50">
        <f t="shared" si="3"/>
        <v>2.3981390441017773E-2</v>
      </c>
      <c r="F123" s="49">
        <f>VLOOKUP($A123,'Data shares'!$C:$FB,98)</f>
        <v>30440375</v>
      </c>
      <c r="G123" s="49">
        <f>VLOOKUP($A123,'Data shares'!$C:$FB,99)</f>
        <v>29974175</v>
      </c>
      <c r="H123" s="50">
        <f t="shared" si="4"/>
        <v>1.5553388875590404</v>
      </c>
      <c r="I123" s="49">
        <f>VLOOKUP($A123,'Data shares'!$C:$FB,66)</f>
        <v>15338925</v>
      </c>
      <c r="J123" s="49">
        <f>VLOOKUP($A123,'Data shares'!$C:$FB,67)</f>
        <v>16003225</v>
      </c>
      <c r="K123" s="50">
        <f t="shared" si="5"/>
        <v>-4.3308119701999974</v>
      </c>
      <c r="L123" s="50">
        <f>VLOOKUP($A123,'Data shares'!$C:$FB,118)</f>
        <v>0.83</v>
      </c>
      <c r="M123" s="50">
        <f>VLOOKUP($A123,'Data shares'!$C:$FB,119)</f>
        <v>0.85</v>
      </c>
      <c r="N123" s="50">
        <f>VLOOKUP($A123,'Data shares'!$C:$FB,121)*100</f>
        <v>-2.35</v>
      </c>
      <c r="O123" s="50">
        <f>VLOOKUP($A123,'Data shares'!$C:$FB,124)</f>
        <v>1.29</v>
      </c>
      <c r="P123" s="50">
        <f>VLOOKUP($A123,'Data shares'!$C:$FB,125)</f>
        <v>0.66</v>
      </c>
      <c r="Q123" s="50">
        <f>VLOOKUP($A123,'Data shares'!$C:$FB,127)*100</f>
        <v>95.45</v>
      </c>
    </row>
    <row r="124" spans="1:17" x14ac:dyDescent="0.25">
      <c r="A124" s="97" t="str">
        <f>'Snapshot (Value)'!A128</f>
        <v>LTF</v>
      </c>
      <c r="B124" s="140">
        <f>VLOOKUP($A124,'Data shares'!$C:$FB,7)</f>
        <v>288.3</v>
      </c>
      <c r="C124" s="140">
        <f>VLOOKUP($A124,'Data shares'!$C:$FB,3)</f>
        <v>288.05</v>
      </c>
      <c r="D124" s="140">
        <f>VLOOKUP($A124,'Data shares'!$C:$FB,4)</f>
        <v>293.95</v>
      </c>
      <c r="E124" s="50">
        <f t="shared" si="3"/>
        <v>-2.0071440721211014</v>
      </c>
      <c r="F124" s="49">
        <f>VLOOKUP($A124,'Data shares'!$C:$FB,98)</f>
        <v>112214250</v>
      </c>
      <c r="G124" s="49">
        <f>VLOOKUP($A124,'Data shares'!$C:$FB,99)</f>
        <v>99227250</v>
      </c>
      <c r="H124" s="50">
        <f t="shared" si="4"/>
        <v>13.088138590961657</v>
      </c>
      <c r="I124" s="49">
        <f>VLOOKUP($A124,'Data shares'!$C:$FB,66)</f>
        <v>76304250</v>
      </c>
      <c r="J124" s="49">
        <f>VLOOKUP($A124,'Data shares'!$C:$FB,67)</f>
        <v>50919750</v>
      </c>
      <c r="K124" s="50">
        <f t="shared" si="5"/>
        <v>33.267478548049425</v>
      </c>
      <c r="L124" s="50">
        <f>VLOOKUP($A124,'Data shares'!$C:$FB,118)</f>
        <v>0.6</v>
      </c>
      <c r="M124" s="50">
        <f>VLOOKUP($A124,'Data shares'!$C:$FB,119)</f>
        <v>0.67</v>
      </c>
      <c r="N124" s="50">
        <f>VLOOKUP($A124,'Data shares'!$C:$FB,121)*100</f>
        <v>-10.45</v>
      </c>
      <c r="O124" s="50">
        <f>VLOOKUP($A124,'Data shares'!$C:$FB,124)</f>
        <v>0.43</v>
      </c>
      <c r="P124" s="50">
        <f>VLOOKUP($A124,'Data shares'!$C:$FB,125)</f>
        <v>0.42</v>
      </c>
      <c r="Q124" s="50">
        <f>VLOOKUP($A124,'Data shares'!$C:$FB,127)*100</f>
        <v>2.3800000000000003</v>
      </c>
    </row>
    <row r="125" spans="1:17" x14ac:dyDescent="0.25">
      <c r="A125" s="97" t="str">
        <f>'Snapshot (Value)'!A129</f>
        <v>LTIM</v>
      </c>
      <c r="B125" s="140">
        <f>VLOOKUP($A125,'Data shares'!$C:$FB,7)</f>
        <v>5515.5</v>
      </c>
      <c r="C125" s="140">
        <f>VLOOKUP($A125,'Data shares'!$C:$FB,3)</f>
        <v>5532</v>
      </c>
      <c r="D125" s="140">
        <f>VLOOKUP($A125,'Data shares'!$C:$FB,4)</f>
        <v>5659.5</v>
      </c>
      <c r="E125" s="50">
        <f t="shared" si="3"/>
        <v>-2.2528491916247018</v>
      </c>
      <c r="F125" s="49">
        <f>VLOOKUP($A125,'Data shares'!$C:$FB,98)</f>
        <v>4591650</v>
      </c>
      <c r="G125" s="49">
        <f>VLOOKUP($A125,'Data shares'!$C:$FB,99)</f>
        <v>4204200</v>
      </c>
      <c r="H125" s="50">
        <f t="shared" si="4"/>
        <v>9.2157842157842165</v>
      </c>
      <c r="I125" s="49">
        <f>VLOOKUP($A125,'Data shares'!$C:$FB,66)</f>
        <v>3277950</v>
      </c>
      <c r="J125" s="49">
        <f>VLOOKUP($A125,'Data shares'!$C:$FB,67)</f>
        <v>2556900</v>
      </c>
      <c r="K125" s="50">
        <f t="shared" si="5"/>
        <v>21.996979819704386</v>
      </c>
      <c r="L125" s="50">
        <f>VLOOKUP($A125,'Data shares'!$C:$FB,118)</f>
        <v>0.7</v>
      </c>
      <c r="M125" s="50">
        <f>VLOOKUP($A125,'Data shares'!$C:$FB,119)</f>
        <v>0.73</v>
      </c>
      <c r="N125" s="50">
        <f>VLOOKUP($A125,'Data shares'!$C:$FB,121)*100</f>
        <v>-4.1099999999999994</v>
      </c>
      <c r="O125" s="50">
        <f>VLOOKUP($A125,'Data shares'!$C:$FB,124)</f>
        <v>0.66</v>
      </c>
      <c r="P125" s="50">
        <f>VLOOKUP($A125,'Data shares'!$C:$FB,125)</f>
        <v>0.57999999999999996</v>
      </c>
      <c r="Q125" s="50">
        <f>VLOOKUP($A125,'Data shares'!$C:$FB,127)*100</f>
        <v>13.79</v>
      </c>
    </row>
    <row r="126" spans="1:17" x14ac:dyDescent="0.25">
      <c r="A126" s="97" t="str">
        <f>'Snapshot (Value)'!A130</f>
        <v>LUPIN</v>
      </c>
      <c r="B126" s="140">
        <f>VLOOKUP($A126,'Data shares'!$C:$FB,7)</f>
        <v>2209.1</v>
      </c>
      <c r="C126" s="140">
        <f>VLOOKUP($A126,'Data shares'!$C:$FB,3)</f>
        <v>2214.4</v>
      </c>
      <c r="D126" s="140">
        <f>VLOOKUP($A126,'Data shares'!$C:$FB,4)</f>
        <v>2211.6999999999998</v>
      </c>
      <c r="E126" s="50">
        <f t="shared" si="3"/>
        <v>0.12207803951712588</v>
      </c>
      <c r="F126" s="49">
        <f>VLOOKUP($A126,'Data shares'!$C:$FB,98)</f>
        <v>14693525</v>
      </c>
      <c r="G126" s="49">
        <f>VLOOKUP($A126,'Data shares'!$C:$FB,99)</f>
        <v>13391325</v>
      </c>
      <c r="H126" s="50">
        <f t="shared" si="4"/>
        <v>9.7242057824748489</v>
      </c>
      <c r="I126" s="49">
        <f>VLOOKUP($A126,'Data shares'!$C:$FB,66)</f>
        <v>11468200</v>
      </c>
      <c r="J126" s="49">
        <f>VLOOKUP($A126,'Data shares'!$C:$FB,67)</f>
        <v>11919550</v>
      </c>
      <c r="K126" s="50">
        <f t="shared" si="5"/>
        <v>-3.9356655796027278</v>
      </c>
      <c r="L126" s="50">
        <f>VLOOKUP($A126,'Data shares'!$C:$FB,118)</f>
        <v>0.54</v>
      </c>
      <c r="M126" s="50">
        <f>VLOOKUP($A126,'Data shares'!$C:$FB,119)</f>
        <v>0.55000000000000004</v>
      </c>
      <c r="N126" s="50">
        <f>VLOOKUP($A126,'Data shares'!$C:$FB,121)*100</f>
        <v>-1.82</v>
      </c>
      <c r="O126" s="50">
        <f>VLOOKUP($A126,'Data shares'!$C:$FB,124)</f>
        <v>0.33</v>
      </c>
      <c r="P126" s="50">
        <f>VLOOKUP($A126,'Data shares'!$C:$FB,125)</f>
        <v>0.39</v>
      </c>
      <c r="Q126" s="50">
        <f>VLOOKUP($A126,'Data shares'!$C:$FB,127)*100</f>
        <v>-15.379999999999999</v>
      </c>
    </row>
    <row r="127" spans="1:17" x14ac:dyDescent="0.25">
      <c r="A127" s="97" t="str">
        <f>'Snapshot (Value)'!A131</f>
        <v>M&amp;M</v>
      </c>
      <c r="B127" s="140">
        <f>VLOOKUP($A127,'Data shares'!$C:$FB,7)</f>
        <v>3674.9</v>
      </c>
      <c r="C127" s="140">
        <f>VLOOKUP($A127,'Data shares'!$C:$FB,3)</f>
        <v>3680.7</v>
      </c>
      <c r="D127" s="140">
        <f>VLOOKUP($A127,'Data shares'!$C:$FB,4)</f>
        <v>3680.6</v>
      </c>
      <c r="E127" s="50">
        <f t="shared" si="3"/>
        <v>2.7169483236404134E-3</v>
      </c>
      <c r="F127" s="49">
        <f>VLOOKUP($A127,'Data shares'!$C:$FB,98)</f>
        <v>33439600</v>
      </c>
      <c r="G127" s="49">
        <f>VLOOKUP($A127,'Data shares'!$C:$FB,99)</f>
        <v>28180800</v>
      </c>
      <c r="H127" s="50">
        <f t="shared" si="4"/>
        <v>18.66093226593993</v>
      </c>
      <c r="I127" s="49">
        <f>VLOOKUP($A127,'Data shares'!$C:$FB,66)</f>
        <v>101391000</v>
      </c>
      <c r="J127" s="49">
        <f>VLOOKUP($A127,'Data shares'!$C:$FB,67)</f>
        <v>21190800</v>
      </c>
      <c r="K127" s="50">
        <f t="shared" si="5"/>
        <v>79.099920111252473</v>
      </c>
      <c r="L127" s="50">
        <f>VLOOKUP($A127,'Data shares'!$C:$FB,118)</f>
        <v>0.47</v>
      </c>
      <c r="M127" s="50">
        <f>VLOOKUP($A127,'Data shares'!$C:$FB,119)</f>
        <v>0.66</v>
      </c>
      <c r="N127" s="50">
        <f>VLOOKUP($A127,'Data shares'!$C:$FB,121)*100</f>
        <v>-28.79</v>
      </c>
      <c r="O127" s="50">
        <f>VLOOKUP($A127,'Data shares'!$C:$FB,124)</f>
        <v>0.4</v>
      </c>
      <c r="P127" s="50">
        <f>VLOOKUP($A127,'Data shares'!$C:$FB,125)</f>
        <v>0.35</v>
      </c>
      <c r="Q127" s="50">
        <f>VLOOKUP($A127,'Data shares'!$C:$FB,127)*100</f>
        <v>14.29</v>
      </c>
    </row>
    <row r="128" spans="1:17" x14ac:dyDescent="0.25">
      <c r="A128" s="97" t="str">
        <f>'Snapshot (Value)'!A132</f>
        <v>MANAPPURAM</v>
      </c>
      <c r="B128" s="140">
        <f>VLOOKUP($A128,'Data shares'!$C:$FB,7)</f>
        <v>302.55</v>
      </c>
      <c r="C128" s="140">
        <f>VLOOKUP($A128,'Data shares'!$C:$FB,3)</f>
        <v>302.95</v>
      </c>
      <c r="D128" s="140">
        <f>VLOOKUP($A128,'Data shares'!$C:$FB,4)</f>
        <v>309.2</v>
      </c>
      <c r="E128" s="50">
        <f t="shared" si="3"/>
        <v>-2.0213454075032344</v>
      </c>
      <c r="F128" s="49">
        <f>VLOOKUP($A128,'Data shares'!$C:$FB,98)</f>
        <v>92697000</v>
      </c>
      <c r="G128" s="49">
        <f>VLOOKUP($A128,'Data shares'!$C:$FB,99)</f>
        <v>90420000</v>
      </c>
      <c r="H128" s="50">
        <f t="shared" si="4"/>
        <v>2.5182481751824817</v>
      </c>
      <c r="I128" s="49">
        <f>VLOOKUP($A128,'Data shares'!$C:$FB,66)</f>
        <v>85254000</v>
      </c>
      <c r="J128" s="49">
        <f>VLOOKUP($A128,'Data shares'!$C:$FB,67)</f>
        <v>66567000</v>
      </c>
      <c r="K128" s="50">
        <f t="shared" si="5"/>
        <v>21.919206136955452</v>
      </c>
      <c r="L128" s="50">
        <f>VLOOKUP($A128,'Data shares'!$C:$FB,118)</f>
        <v>0.96</v>
      </c>
      <c r="M128" s="50">
        <f>VLOOKUP($A128,'Data shares'!$C:$FB,119)</f>
        <v>0.79</v>
      </c>
      <c r="N128" s="50">
        <f>VLOOKUP($A128,'Data shares'!$C:$FB,121)*100</f>
        <v>21.52</v>
      </c>
      <c r="O128" s="50">
        <f>VLOOKUP($A128,'Data shares'!$C:$FB,124)</f>
        <v>0.78</v>
      </c>
      <c r="P128" s="50">
        <f>VLOOKUP($A128,'Data shares'!$C:$FB,125)</f>
        <v>0.53</v>
      </c>
      <c r="Q128" s="50">
        <f>VLOOKUP($A128,'Data shares'!$C:$FB,127)*100</f>
        <v>47.17</v>
      </c>
    </row>
    <row r="129" spans="1:17" x14ac:dyDescent="0.25">
      <c r="A129" s="97" t="str">
        <f>'Snapshot (Value)'!A133</f>
        <v>MANKIND</v>
      </c>
      <c r="B129" s="140">
        <f>VLOOKUP($A129,'Data shares'!$C:$FB,7)</f>
        <v>2087</v>
      </c>
      <c r="C129" s="140">
        <f>VLOOKUP($A129,'Data shares'!$C:$FB,3)</f>
        <v>2085.8000000000002</v>
      </c>
      <c r="D129" s="140">
        <f>VLOOKUP($A129,'Data shares'!$C:$FB,4)</f>
        <v>2074.5</v>
      </c>
      <c r="E129" s="50">
        <f t="shared" si="3"/>
        <v>0.5447095685707487</v>
      </c>
      <c r="F129" s="49">
        <f>VLOOKUP($A129,'Data shares'!$C:$FB,98)</f>
        <v>5134500</v>
      </c>
      <c r="G129" s="49">
        <f>VLOOKUP($A129,'Data shares'!$C:$FB,99)</f>
        <v>5154075</v>
      </c>
      <c r="H129" s="50">
        <f t="shared" si="4"/>
        <v>-0.379796568734448</v>
      </c>
      <c r="I129" s="49">
        <f>VLOOKUP($A129,'Data shares'!$C:$FB,66)</f>
        <v>1362150</v>
      </c>
      <c r="J129" s="49">
        <f>VLOOKUP($A129,'Data shares'!$C:$FB,67)</f>
        <v>1155150</v>
      </c>
      <c r="K129" s="50">
        <f t="shared" si="5"/>
        <v>15.196564255037991</v>
      </c>
      <c r="L129" s="50">
        <f>VLOOKUP($A129,'Data shares'!$C:$FB,118)</f>
        <v>0.38</v>
      </c>
      <c r="M129" s="50">
        <f>VLOOKUP($A129,'Data shares'!$C:$FB,119)</f>
        <v>0.37</v>
      </c>
      <c r="N129" s="50">
        <f>VLOOKUP($A129,'Data shares'!$C:$FB,121)*100</f>
        <v>2.7</v>
      </c>
      <c r="O129" s="50">
        <f>VLOOKUP($A129,'Data shares'!$C:$FB,124)</f>
        <v>0.2</v>
      </c>
      <c r="P129" s="50">
        <f>VLOOKUP($A129,'Data shares'!$C:$FB,125)</f>
        <v>0.24</v>
      </c>
      <c r="Q129" s="50">
        <f>VLOOKUP($A129,'Data shares'!$C:$FB,127)*100</f>
        <v>-16.669999999999998</v>
      </c>
    </row>
    <row r="130" spans="1:17" x14ac:dyDescent="0.25">
      <c r="A130" s="97" t="str">
        <f>'Snapshot (Value)'!A134</f>
        <v>MARICO</v>
      </c>
      <c r="B130" s="140">
        <f>VLOOKUP($A130,'Data shares'!$C:$FB,7)</f>
        <v>770.4</v>
      </c>
      <c r="C130" s="140">
        <f>VLOOKUP($A130,'Data shares'!$C:$FB,3)</f>
        <v>770.9</v>
      </c>
      <c r="D130" s="140">
        <f>VLOOKUP($A130,'Data shares'!$C:$FB,4)</f>
        <v>765.25</v>
      </c>
      <c r="E130" s="50">
        <f t="shared" si="3"/>
        <v>0.73832081019274454</v>
      </c>
      <c r="F130" s="49">
        <f>VLOOKUP($A130,'Data shares'!$C:$FB,98)</f>
        <v>38026800</v>
      </c>
      <c r="G130" s="49">
        <f>VLOOKUP($A130,'Data shares'!$C:$FB,99)</f>
        <v>37881600</v>
      </c>
      <c r="H130" s="50">
        <f t="shared" si="4"/>
        <v>0.38329954384186515</v>
      </c>
      <c r="I130" s="49">
        <f>VLOOKUP($A130,'Data shares'!$C:$FB,66)</f>
        <v>16827600</v>
      </c>
      <c r="J130" s="49">
        <f>VLOOKUP($A130,'Data shares'!$C:$FB,67)</f>
        <v>14114400</v>
      </c>
      <c r="K130" s="50">
        <f t="shared" si="5"/>
        <v>16.123511374171002</v>
      </c>
      <c r="L130" s="50">
        <f>VLOOKUP($A130,'Data shares'!$C:$FB,118)</f>
        <v>0.84</v>
      </c>
      <c r="M130" s="50">
        <f>VLOOKUP($A130,'Data shares'!$C:$FB,119)</f>
        <v>0.77</v>
      </c>
      <c r="N130" s="50">
        <f>VLOOKUP($A130,'Data shares'!$C:$FB,121)*100</f>
        <v>9.09</v>
      </c>
      <c r="O130" s="50">
        <f>VLOOKUP($A130,'Data shares'!$C:$FB,124)</f>
        <v>0.44</v>
      </c>
      <c r="P130" s="50">
        <f>VLOOKUP($A130,'Data shares'!$C:$FB,125)</f>
        <v>0.43</v>
      </c>
      <c r="Q130" s="50">
        <f>VLOOKUP($A130,'Data shares'!$C:$FB,127)*100</f>
        <v>2.33</v>
      </c>
    </row>
    <row r="131" spans="1:17" x14ac:dyDescent="0.25">
      <c r="A131" s="97" t="str">
        <f>'Snapshot (Value)'!A135</f>
        <v>MARUTI</v>
      </c>
      <c r="B131" s="140">
        <f>VLOOKUP($A131,'Data shares'!$C:$FB,7)</f>
        <v>15412</v>
      </c>
      <c r="C131" s="140">
        <f>VLOOKUP($A131,'Data shares'!$C:$FB,3)</f>
        <v>15418</v>
      </c>
      <c r="D131" s="140">
        <f>VLOOKUP($A131,'Data shares'!$C:$FB,4)</f>
        <v>15197</v>
      </c>
      <c r="E131" s="50">
        <f t="shared" si="3"/>
        <v>1.4542343883661248</v>
      </c>
      <c r="F131" s="49">
        <f>VLOOKUP($A131,'Data shares'!$C:$FB,98)</f>
        <v>7710050</v>
      </c>
      <c r="G131" s="49">
        <f>VLOOKUP($A131,'Data shares'!$C:$FB,99)</f>
        <v>7661300</v>
      </c>
      <c r="H131" s="50">
        <f t="shared" si="4"/>
        <v>0.63631498570738643</v>
      </c>
      <c r="I131" s="49">
        <f>VLOOKUP($A131,'Data shares'!$C:$FB,66)</f>
        <v>11361850</v>
      </c>
      <c r="J131" s="49">
        <f>VLOOKUP($A131,'Data shares'!$C:$FB,67)</f>
        <v>12636000</v>
      </c>
      <c r="K131" s="50">
        <f t="shared" si="5"/>
        <v>-11.214282885269565</v>
      </c>
      <c r="L131" s="50">
        <f>VLOOKUP($A131,'Data shares'!$C:$FB,118)</f>
        <v>0.57999999999999996</v>
      </c>
      <c r="M131" s="50">
        <f>VLOOKUP($A131,'Data shares'!$C:$FB,119)</f>
        <v>0.49</v>
      </c>
      <c r="N131" s="50">
        <f>VLOOKUP($A131,'Data shares'!$C:$FB,121)*100</f>
        <v>18.37</v>
      </c>
      <c r="O131" s="50">
        <f>VLOOKUP($A131,'Data shares'!$C:$FB,124)</f>
        <v>0.43</v>
      </c>
      <c r="P131" s="50">
        <f>VLOOKUP($A131,'Data shares'!$C:$FB,125)</f>
        <v>0.42</v>
      </c>
      <c r="Q131" s="50">
        <f>VLOOKUP($A131,'Data shares'!$C:$FB,127)*100</f>
        <v>2.3800000000000003</v>
      </c>
    </row>
    <row r="132" spans="1:17" x14ac:dyDescent="0.25">
      <c r="A132" s="97" t="str">
        <f>'Snapshot (Value)'!A136</f>
        <v>MAXHEALTH</v>
      </c>
      <c r="B132" s="140">
        <f>VLOOKUP($A132,'Data shares'!$C:$FB,7)</f>
        <v>1055.1500000000001</v>
      </c>
      <c r="C132" s="140">
        <f>VLOOKUP($A132,'Data shares'!$C:$FB,3)</f>
        <v>1055.7</v>
      </c>
      <c r="D132" s="140">
        <f>VLOOKUP($A132,'Data shares'!$C:$FB,4)</f>
        <v>1025.0999999999999</v>
      </c>
      <c r="E132" s="50">
        <f t="shared" si="3"/>
        <v>2.9850746268656851</v>
      </c>
      <c r="F132" s="49">
        <f>VLOOKUP($A132,'Data shares'!$C:$FB,98)</f>
        <v>23437575</v>
      </c>
      <c r="G132" s="49">
        <f>VLOOKUP($A132,'Data shares'!$C:$FB,99)</f>
        <v>22098825</v>
      </c>
      <c r="H132" s="50">
        <f t="shared" si="4"/>
        <v>6.0580143966930367</v>
      </c>
      <c r="I132" s="49">
        <f>VLOOKUP($A132,'Data shares'!$C:$FB,66)</f>
        <v>34741350</v>
      </c>
      <c r="J132" s="49">
        <f>VLOOKUP($A132,'Data shares'!$C:$FB,67)</f>
        <v>8402625</v>
      </c>
      <c r="K132" s="50">
        <f t="shared" si="5"/>
        <v>75.813763713845319</v>
      </c>
      <c r="L132" s="50">
        <f>VLOOKUP($A132,'Data shares'!$C:$FB,118)</f>
        <v>0.79</v>
      </c>
      <c r="M132" s="50">
        <f>VLOOKUP($A132,'Data shares'!$C:$FB,119)</f>
        <v>0.95</v>
      </c>
      <c r="N132" s="50">
        <f>VLOOKUP($A132,'Data shares'!$C:$FB,121)*100</f>
        <v>-16.84</v>
      </c>
      <c r="O132" s="50">
        <f>VLOOKUP($A132,'Data shares'!$C:$FB,124)</f>
        <v>0.27</v>
      </c>
      <c r="P132" s="50">
        <f>VLOOKUP($A132,'Data shares'!$C:$FB,125)</f>
        <v>0.47</v>
      </c>
      <c r="Q132" s="50">
        <f>VLOOKUP($A132,'Data shares'!$C:$FB,127)*100</f>
        <v>-42.55</v>
      </c>
    </row>
    <row r="133" spans="1:17" x14ac:dyDescent="0.25">
      <c r="A133" s="97" t="str">
        <f>'Snapshot (Value)'!A137</f>
        <v>MAZDOCK</v>
      </c>
      <c r="B133" s="140">
        <f>VLOOKUP($A133,'Data shares'!$C:$FB,7)</f>
        <v>2430.6</v>
      </c>
      <c r="C133" s="140">
        <f>VLOOKUP($A133,'Data shares'!$C:$FB,3)</f>
        <v>2431.9</v>
      </c>
      <c r="D133" s="140">
        <f>VLOOKUP($A133,'Data shares'!$C:$FB,4)</f>
        <v>2433.1</v>
      </c>
      <c r="E133" s="50">
        <f t="shared" si="3"/>
        <v>-4.9319797788821597E-2</v>
      </c>
      <c r="F133" s="49">
        <f>VLOOKUP($A133,'Data shares'!$C:$FB,98)</f>
        <v>11001400</v>
      </c>
      <c r="G133" s="49">
        <f>VLOOKUP($A133,'Data shares'!$C:$FB,99)</f>
        <v>10919600</v>
      </c>
      <c r="H133" s="50">
        <f t="shared" si="4"/>
        <v>0.74911168907285985</v>
      </c>
      <c r="I133" s="49">
        <f>VLOOKUP($A133,'Data shares'!$C:$FB,66)</f>
        <v>3742200</v>
      </c>
      <c r="J133" s="49">
        <f>VLOOKUP($A133,'Data shares'!$C:$FB,67)</f>
        <v>4413200</v>
      </c>
      <c r="K133" s="50">
        <f t="shared" si="5"/>
        <v>-17.930629041740154</v>
      </c>
      <c r="L133" s="50">
        <f>VLOOKUP($A133,'Data shares'!$C:$FB,118)</f>
        <v>0.42</v>
      </c>
      <c r="M133" s="50">
        <f>VLOOKUP($A133,'Data shares'!$C:$FB,119)</f>
        <v>0.42</v>
      </c>
      <c r="N133" s="50">
        <f>VLOOKUP($A133,'Data shares'!$C:$FB,121)*100</f>
        <v>0</v>
      </c>
      <c r="O133" s="50">
        <f>VLOOKUP($A133,'Data shares'!$C:$FB,124)</f>
        <v>0.27</v>
      </c>
      <c r="P133" s="50">
        <f>VLOOKUP($A133,'Data shares'!$C:$FB,125)</f>
        <v>0.24</v>
      </c>
      <c r="Q133" s="50">
        <f>VLOOKUP($A133,'Data shares'!$C:$FB,127)*100</f>
        <v>12.5</v>
      </c>
    </row>
    <row r="134" spans="1:17" x14ac:dyDescent="0.25">
      <c r="A134" s="97" t="str">
        <f>'Snapshot (Value)'!A138</f>
        <v>MCX</v>
      </c>
      <c r="B134" s="140">
        <f>VLOOKUP($A134,'Data shares'!$C:$FB,7)</f>
        <v>2372.8000000000002</v>
      </c>
      <c r="C134" s="140">
        <f>VLOOKUP($A134,'Data shares'!$C:$FB,3)</f>
        <v>2372</v>
      </c>
      <c r="D134" s="140">
        <f>VLOOKUP($A134,'Data shares'!$C:$FB,4)</f>
        <v>2472.1999999999998</v>
      </c>
      <c r="E134" s="50">
        <f t="shared" si="3"/>
        <v>-4.0530701399563069</v>
      </c>
      <c r="F134" s="49">
        <f>VLOOKUP($A134,'Data shares'!$C:$FB,98)</f>
        <v>43411250</v>
      </c>
      <c r="G134" s="49">
        <f>VLOOKUP($A134,'Data shares'!$C:$FB,99)</f>
        <v>40465000</v>
      </c>
      <c r="H134" s="50">
        <f t="shared" si="4"/>
        <v>7.2809835660447302</v>
      </c>
      <c r="I134" s="49">
        <f>VLOOKUP($A134,'Data shares'!$C:$FB,66)</f>
        <v>54276875</v>
      </c>
      <c r="J134" s="49">
        <f>VLOOKUP($A134,'Data shares'!$C:$FB,67)</f>
        <v>33227500</v>
      </c>
      <c r="K134" s="50">
        <f t="shared" si="5"/>
        <v>38.781479221123178</v>
      </c>
      <c r="L134" s="50">
        <f>VLOOKUP($A134,'Data shares'!$C:$FB,118)</f>
        <v>0.67</v>
      </c>
      <c r="M134" s="50">
        <f>VLOOKUP($A134,'Data shares'!$C:$FB,119)</f>
        <v>0.74</v>
      </c>
      <c r="N134" s="50">
        <f>VLOOKUP($A134,'Data shares'!$C:$FB,121)*100</f>
        <v>-9.4600000000000009</v>
      </c>
      <c r="O134" s="50">
        <f>VLOOKUP($A134,'Data shares'!$C:$FB,124)</f>
        <v>0.54</v>
      </c>
      <c r="P134" s="50">
        <f>VLOOKUP($A134,'Data shares'!$C:$FB,125)</f>
        <v>0.47</v>
      </c>
      <c r="Q134" s="50">
        <f>VLOOKUP($A134,'Data shares'!$C:$FB,127)*100</f>
        <v>14.89</v>
      </c>
    </row>
    <row r="135" spans="1:17" x14ac:dyDescent="0.25">
      <c r="A135" s="97" t="str">
        <f>'Snapshot (Value)'!A139</f>
        <v>MFSL</v>
      </c>
      <c r="B135" s="140">
        <f>VLOOKUP($A135,'Data shares'!$C:$FB,7)</f>
        <v>1734.1</v>
      </c>
      <c r="C135" s="140">
        <f>VLOOKUP($A135,'Data shares'!$C:$FB,3)</f>
        <v>1738.4</v>
      </c>
      <c r="D135" s="140">
        <f>VLOOKUP($A135,'Data shares'!$C:$FB,4)</f>
        <v>1752.6</v>
      </c>
      <c r="E135" s="50">
        <f t="shared" si="3"/>
        <v>-0.81022480885540449</v>
      </c>
      <c r="F135" s="49">
        <f>VLOOKUP($A135,'Data shares'!$C:$FB,98)</f>
        <v>13657600</v>
      </c>
      <c r="G135" s="49">
        <f>VLOOKUP($A135,'Data shares'!$C:$FB,99)</f>
        <v>12515600</v>
      </c>
      <c r="H135" s="50">
        <f t="shared" si="4"/>
        <v>9.1246124836204423</v>
      </c>
      <c r="I135" s="49">
        <f>VLOOKUP($A135,'Data shares'!$C:$FB,66)</f>
        <v>10097600</v>
      </c>
      <c r="J135" s="49">
        <f>VLOOKUP($A135,'Data shares'!$C:$FB,67)</f>
        <v>4605200</v>
      </c>
      <c r="K135" s="50">
        <f t="shared" si="5"/>
        <v>54.393123118364763</v>
      </c>
      <c r="L135" s="50">
        <f>VLOOKUP($A135,'Data shares'!$C:$FB,118)</f>
        <v>0.57999999999999996</v>
      </c>
      <c r="M135" s="50">
        <f>VLOOKUP($A135,'Data shares'!$C:$FB,119)</f>
        <v>0.62</v>
      </c>
      <c r="N135" s="50">
        <f>VLOOKUP($A135,'Data shares'!$C:$FB,121)*100</f>
        <v>-6.45</v>
      </c>
      <c r="O135" s="50">
        <f>VLOOKUP($A135,'Data shares'!$C:$FB,124)</f>
        <v>0.52</v>
      </c>
      <c r="P135" s="50">
        <f>VLOOKUP($A135,'Data shares'!$C:$FB,125)</f>
        <v>0.42</v>
      </c>
      <c r="Q135" s="50">
        <f>VLOOKUP($A135,'Data shares'!$C:$FB,127)*100</f>
        <v>23.810000000000002</v>
      </c>
    </row>
    <row r="136" spans="1:17" x14ac:dyDescent="0.25">
      <c r="A136" s="97" t="str">
        <f>'Snapshot (Value)'!A140</f>
        <v>MIDCPNIFTY</v>
      </c>
      <c r="B136" s="140">
        <f>VLOOKUP($A136,'Data shares'!$C:$FB,7)</f>
        <v>13952.8</v>
      </c>
      <c r="C136" s="140">
        <f>VLOOKUP($A136,'Data shares'!$C:$FB,3)</f>
        <v>13950.2</v>
      </c>
      <c r="D136" s="140">
        <f>VLOOKUP($A136,'Data shares'!$C:$FB,4)</f>
        <v>13944.6</v>
      </c>
      <c r="E136" s="50">
        <f t="shared" ref="E136:E172" si="6">(C136-D136)/D136*100</f>
        <v>4.0158914561911875E-2</v>
      </c>
      <c r="F136" s="49">
        <f>VLOOKUP($A136,'Data shares'!$C:$FB,98)</f>
        <v>17191800</v>
      </c>
      <c r="G136" s="49">
        <f>VLOOKUP($A136,'Data shares'!$C:$FB,99)</f>
        <v>16706640</v>
      </c>
      <c r="H136" s="50">
        <f t="shared" ref="H136:H172" si="7">(F136-G136)/G136*100</f>
        <v>2.9039950582522875</v>
      </c>
      <c r="I136" s="49">
        <f>VLOOKUP($A136,'Data shares'!$C:$FB,66)</f>
        <v>25361400</v>
      </c>
      <c r="J136" s="49">
        <f>VLOOKUP($A136,'Data shares'!$C:$FB,67)</f>
        <v>27109440</v>
      </c>
      <c r="K136" s="50">
        <f t="shared" ref="K136:K172" si="8">(I136-J136)/I136*100</f>
        <v>-6.8925217062149562</v>
      </c>
      <c r="L136" s="50">
        <f>VLOOKUP($A136,'Data shares'!$C:$FB,118)</f>
        <v>1.18</v>
      </c>
      <c r="M136" s="50">
        <f>VLOOKUP($A136,'Data shares'!$C:$FB,119)</f>
        <v>1.22</v>
      </c>
      <c r="N136" s="50">
        <f>VLOOKUP($A136,'Data shares'!$C:$FB,121)*100</f>
        <v>-3.2800000000000002</v>
      </c>
      <c r="O136" s="50">
        <f>VLOOKUP($A136,'Data shares'!$C:$FB,124)</f>
        <v>0.98</v>
      </c>
      <c r="P136" s="50">
        <f>VLOOKUP($A136,'Data shares'!$C:$FB,125)</f>
        <v>0.92</v>
      </c>
      <c r="Q136" s="50">
        <f>VLOOKUP($A136,'Data shares'!$C:$FB,127)*100</f>
        <v>6.52</v>
      </c>
    </row>
    <row r="137" spans="1:17" x14ac:dyDescent="0.25">
      <c r="A137" s="97" t="str">
        <f>'Snapshot (Value)'!A141</f>
        <v>MOTHERSON</v>
      </c>
      <c r="B137" s="140">
        <f>VLOOKUP($A137,'Data shares'!$C:$FB,7)</f>
        <v>130.16999999999999</v>
      </c>
      <c r="C137" s="140">
        <f>VLOOKUP($A137,'Data shares'!$C:$FB,3)</f>
        <v>130.34</v>
      </c>
      <c r="D137" s="140">
        <f>VLOOKUP($A137,'Data shares'!$C:$FB,4)</f>
        <v>129.93</v>
      </c>
      <c r="E137" s="50">
        <f t="shared" si="6"/>
        <v>0.31555452936196149</v>
      </c>
      <c r="F137" s="49">
        <f>VLOOKUP($A137,'Data shares'!$C:$FB,98)</f>
        <v>304191300</v>
      </c>
      <c r="G137" s="49">
        <f>VLOOKUP($A137,'Data shares'!$C:$FB,99)</f>
        <v>288674850</v>
      </c>
      <c r="H137" s="50">
        <f t="shared" si="7"/>
        <v>5.3750612497070662</v>
      </c>
      <c r="I137" s="49">
        <f>VLOOKUP($A137,'Data shares'!$C:$FB,66)</f>
        <v>593124450</v>
      </c>
      <c r="J137" s="49">
        <f>VLOOKUP($A137,'Data shares'!$C:$FB,67)</f>
        <v>657355050</v>
      </c>
      <c r="K137" s="50">
        <f t="shared" si="8"/>
        <v>-10.829194446460603</v>
      </c>
      <c r="L137" s="50">
        <f>VLOOKUP($A137,'Data shares'!$C:$FB,118)</f>
        <v>0.86</v>
      </c>
      <c r="M137" s="50">
        <f>VLOOKUP($A137,'Data shares'!$C:$FB,119)</f>
        <v>0.83</v>
      </c>
      <c r="N137" s="50">
        <f>VLOOKUP($A137,'Data shares'!$C:$FB,121)*100</f>
        <v>3.61</v>
      </c>
      <c r="O137" s="50">
        <f>VLOOKUP($A137,'Data shares'!$C:$FB,124)</f>
        <v>0.54</v>
      </c>
      <c r="P137" s="50">
        <f>VLOOKUP($A137,'Data shares'!$C:$FB,125)</f>
        <v>0.33</v>
      </c>
      <c r="Q137" s="50">
        <f>VLOOKUP($A137,'Data shares'!$C:$FB,127)*100</f>
        <v>63.639999999999993</v>
      </c>
    </row>
    <row r="138" spans="1:17" x14ac:dyDescent="0.25">
      <c r="A138" s="97" t="str">
        <f>'Snapshot (Value)'!A142</f>
        <v>MPHASIS</v>
      </c>
      <c r="B138" s="140">
        <f>VLOOKUP($A138,'Data shares'!$C:$FB,7)</f>
        <v>2588.1999999999998</v>
      </c>
      <c r="C138" s="140">
        <f>VLOOKUP($A138,'Data shares'!$C:$FB,3)</f>
        <v>2593.8000000000002</v>
      </c>
      <c r="D138" s="140">
        <f>VLOOKUP($A138,'Data shares'!$C:$FB,4)</f>
        <v>2622.2</v>
      </c>
      <c r="E138" s="50">
        <f t="shared" si="6"/>
        <v>-1.0830600259324095</v>
      </c>
      <c r="F138" s="49">
        <f>VLOOKUP($A138,'Data shares'!$C:$FB,98)</f>
        <v>7586975</v>
      </c>
      <c r="G138" s="49">
        <f>VLOOKUP($A138,'Data shares'!$C:$FB,99)</f>
        <v>7328200</v>
      </c>
      <c r="H138" s="50">
        <f t="shared" si="7"/>
        <v>3.5312218552987091</v>
      </c>
      <c r="I138" s="49">
        <f>VLOOKUP($A138,'Data shares'!$C:$FB,66)</f>
        <v>3919850</v>
      </c>
      <c r="J138" s="49">
        <f>VLOOKUP($A138,'Data shares'!$C:$FB,67)</f>
        <v>2554200</v>
      </c>
      <c r="K138" s="50">
        <f t="shared" si="8"/>
        <v>34.839343342219728</v>
      </c>
      <c r="L138" s="50">
        <f>VLOOKUP($A138,'Data shares'!$C:$FB,118)</f>
        <v>0.54</v>
      </c>
      <c r="M138" s="50">
        <f>VLOOKUP($A138,'Data shares'!$C:$FB,119)</f>
        <v>0.52</v>
      </c>
      <c r="N138" s="50">
        <f>VLOOKUP($A138,'Data shares'!$C:$FB,121)*100</f>
        <v>3.85</v>
      </c>
      <c r="O138" s="50">
        <f>VLOOKUP($A138,'Data shares'!$C:$FB,124)</f>
        <v>0.73</v>
      </c>
      <c r="P138" s="50">
        <f>VLOOKUP($A138,'Data shares'!$C:$FB,125)</f>
        <v>0.33</v>
      </c>
      <c r="Q138" s="50">
        <f>VLOOKUP($A138,'Data shares'!$C:$FB,127)*100</f>
        <v>121.21</v>
      </c>
    </row>
    <row r="139" spans="1:17" x14ac:dyDescent="0.25">
      <c r="A139" s="97" t="str">
        <f>'Snapshot (Value)'!A143</f>
        <v>MUTHOOTFIN</v>
      </c>
      <c r="B139" s="140">
        <f>VLOOKUP($A139,'Data shares'!$C:$FB,7)</f>
        <v>3933.2</v>
      </c>
      <c r="C139" s="140">
        <f>VLOOKUP($A139,'Data shares'!$C:$FB,3)</f>
        <v>3936</v>
      </c>
      <c r="D139" s="140">
        <f>VLOOKUP($A139,'Data shares'!$C:$FB,4)</f>
        <v>3889.1</v>
      </c>
      <c r="E139" s="50">
        <f t="shared" si="6"/>
        <v>1.2059345349823891</v>
      </c>
      <c r="F139" s="49">
        <f>VLOOKUP($A139,'Data shares'!$C:$FB,98)</f>
        <v>10980200</v>
      </c>
      <c r="G139" s="49">
        <f>VLOOKUP($A139,'Data shares'!$C:$FB,99)</f>
        <v>9765250</v>
      </c>
      <c r="H139" s="50">
        <f t="shared" si="7"/>
        <v>12.441565756125035</v>
      </c>
      <c r="I139" s="49">
        <f>VLOOKUP($A139,'Data shares'!$C:$FB,66)</f>
        <v>10541300</v>
      </c>
      <c r="J139" s="49">
        <f>VLOOKUP($A139,'Data shares'!$C:$FB,67)</f>
        <v>11313500</v>
      </c>
      <c r="K139" s="50">
        <f t="shared" si="8"/>
        <v>-7.325472190337055</v>
      </c>
      <c r="L139" s="50">
        <f>VLOOKUP($A139,'Data shares'!$C:$FB,118)</f>
        <v>0.47</v>
      </c>
      <c r="M139" s="50">
        <f>VLOOKUP($A139,'Data shares'!$C:$FB,119)</f>
        <v>0.54</v>
      </c>
      <c r="N139" s="50">
        <f>VLOOKUP($A139,'Data shares'!$C:$FB,121)*100</f>
        <v>-12.959999999999999</v>
      </c>
      <c r="O139" s="50">
        <f>VLOOKUP($A139,'Data shares'!$C:$FB,124)</f>
        <v>0.22</v>
      </c>
      <c r="P139" s="50">
        <f>VLOOKUP($A139,'Data shares'!$C:$FB,125)</f>
        <v>0.27</v>
      </c>
      <c r="Q139" s="50">
        <f>VLOOKUP($A139,'Data shares'!$C:$FB,127)*100</f>
        <v>-18.52</v>
      </c>
    </row>
    <row r="140" spans="1:17" x14ac:dyDescent="0.25">
      <c r="A140" s="97" t="str">
        <f>'Snapshot (Value)'!A144</f>
        <v>NATIONALUM</v>
      </c>
      <c r="B140" s="140">
        <f>VLOOKUP($A140,'Data shares'!$C:$FB,7)</f>
        <v>367.7</v>
      </c>
      <c r="C140" s="140">
        <f>VLOOKUP($A140,'Data shares'!$C:$FB,3)</f>
        <v>369.15</v>
      </c>
      <c r="D140" s="140">
        <f>VLOOKUP($A140,'Data shares'!$C:$FB,4)</f>
        <v>369.55</v>
      </c>
      <c r="E140" s="50">
        <f t="shared" si="6"/>
        <v>-0.10823975104858183</v>
      </c>
      <c r="F140" s="49">
        <f>VLOOKUP($A140,'Data shares'!$C:$FB,98)</f>
        <v>150360000</v>
      </c>
      <c r="G140" s="49">
        <f>VLOOKUP($A140,'Data shares'!$C:$FB,99)</f>
        <v>152088750</v>
      </c>
      <c r="H140" s="50">
        <f t="shared" si="7"/>
        <v>-1.1366718445644401</v>
      </c>
      <c r="I140" s="49">
        <f>VLOOKUP($A140,'Data shares'!$C:$FB,66)</f>
        <v>85638750</v>
      </c>
      <c r="J140" s="49">
        <f>VLOOKUP($A140,'Data shares'!$C:$FB,67)</f>
        <v>72078750</v>
      </c>
      <c r="K140" s="50">
        <f t="shared" si="8"/>
        <v>15.833953671673163</v>
      </c>
      <c r="L140" s="50">
        <f>VLOOKUP($A140,'Data shares'!$C:$FB,118)</f>
        <v>0.67</v>
      </c>
      <c r="M140" s="50">
        <f>VLOOKUP($A140,'Data shares'!$C:$FB,119)</f>
        <v>0.67</v>
      </c>
      <c r="N140" s="50">
        <f>VLOOKUP($A140,'Data shares'!$C:$FB,121)*100</f>
        <v>0</v>
      </c>
      <c r="O140" s="50">
        <f>VLOOKUP($A140,'Data shares'!$C:$FB,124)</f>
        <v>0.61</v>
      </c>
      <c r="P140" s="50">
        <f>VLOOKUP($A140,'Data shares'!$C:$FB,125)</f>
        <v>0.57999999999999996</v>
      </c>
      <c r="Q140" s="50">
        <f>VLOOKUP($A140,'Data shares'!$C:$FB,127)*100</f>
        <v>5.17</v>
      </c>
    </row>
    <row r="141" spans="1:17" x14ac:dyDescent="0.25">
      <c r="A141" s="97" t="str">
        <f>'Snapshot (Value)'!A145</f>
        <v>NAUKRI</v>
      </c>
      <c r="B141" s="140">
        <f>VLOOKUP($A141,'Data shares'!$C:$FB,7)</f>
        <v>1171.7</v>
      </c>
      <c r="C141" s="140">
        <f>VLOOKUP($A141,'Data shares'!$C:$FB,3)</f>
        <v>1172.4000000000001</v>
      </c>
      <c r="D141" s="140">
        <f>VLOOKUP($A141,'Data shares'!$C:$FB,4)</f>
        <v>1194.3</v>
      </c>
      <c r="E141" s="50">
        <f t="shared" si="6"/>
        <v>-1.8337101230846407</v>
      </c>
      <c r="F141" s="49">
        <f>VLOOKUP($A141,'Data shares'!$C:$FB,98)</f>
        <v>17344500</v>
      </c>
      <c r="G141" s="49">
        <f>VLOOKUP($A141,'Data shares'!$C:$FB,99)</f>
        <v>16665375</v>
      </c>
      <c r="H141" s="50">
        <f t="shared" si="7"/>
        <v>4.0750658176008638</v>
      </c>
      <c r="I141" s="49">
        <f>VLOOKUP($A141,'Data shares'!$C:$FB,66)</f>
        <v>13886625</v>
      </c>
      <c r="J141" s="49">
        <f>VLOOKUP($A141,'Data shares'!$C:$FB,67)</f>
        <v>9424125</v>
      </c>
      <c r="K141" s="50">
        <f t="shared" si="8"/>
        <v>32.135238043801138</v>
      </c>
      <c r="L141" s="50">
        <f>VLOOKUP($A141,'Data shares'!$C:$FB,118)</f>
        <v>0.64</v>
      </c>
      <c r="M141" s="50">
        <f>VLOOKUP($A141,'Data shares'!$C:$FB,119)</f>
        <v>0.64</v>
      </c>
      <c r="N141" s="50">
        <f>VLOOKUP($A141,'Data shares'!$C:$FB,121)*100</f>
        <v>0</v>
      </c>
      <c r="O141" s="50">
        <f>VLOOKUP($A141,'Data shares'!$C:$FB,124)</f>
        <v>0.66</v>
      </c>
      <c r="P141" s="50">
        <f>VLOOKUP($A141,'Data shares'!$C:$FB,125)</f>
        <v>0.32</v>
      </c>
      <c r="Q141" s="50">
        <f>VLOOKUP($A141,'Data shares'!$C:$FB,127)*100</f>
        <v>106.25</v>
      </c>
    </row>
    <row r="142" spans="1:17" x14ac:dyDescent="0.25">
      <c r="A142" s="97" t="str">
        <f>'Snapshot (Value)'!A146</f>
        <v>NBCC</v>
      </c>
      <c r="B142" s="140">
        <f>VLOOKUP($A142,'Data shares'!$C:$FB,7)</f>
        <v>101.68</v>
      </c>
      <c r="C142" s="140">
        <f>VLOOKUP($A142,'Data shares'!$C:$FB,3)</f>
        <v>102</v>
      </c>
      <c r="D142" s="140">
        <f>VLOOKUP($A142,'Data shares'!$C:$FB,4)</f>
        <v>101.35</v>
      </c>
      <c r="E142" s="50">
        <f t="shared" si="6"/>
        <v>0.64134188455846641</v>
      </c>
      <c r="F142" s="49">
        <f>VLOOKUP($A142,'Data shares'!$C:$FB,98)</f>
        <v>157163500</v>
      </c>
      <c r="G142" s="49">
        <f>VLOOKUP($A142,'Data shares'!$C:$FB,99)</f>
        <v>152451000</v>
      </c>
      <c r="H142" s="50">
        <f t="shared" si="7"/>
        <v>3.0911571586936128</v>
      </c>
      <c r="I142" s="49">
        <f>VLOOKUP($A142,'Data shares'!$C:$FB,66)</f>
        <v>45825000</v>
      </c>
      <c r="J142" s="49">
        <f>VLOOKUP($A142,'Data shares'!$C:$FB,67)</f>
        <v>35360000</v>
      </c>
      <c r="K142" s="50">
        <f t="shared" si="8"/>
        <v>22.836879432624112</v>
      </c>
      <c r="L142" s="50">
        <f>VLOOKUP($A142,'Data shares'!$C:$FB,118)</f>
        <v>0.57999999999999996</v>
      </c>
      <c r="M142" s="50">
        <f>VLOOKUP($A142,'Data shares'!$C:$FB,119)</f>
        <v>0.59</v>
      </c>
      <c r="N142" s="50">
        <f>VLOOKUP($A142,'Data shares'!$C:$FB,121)*100</f>
        <v>-1.69</v>
      </c>
      <c r="O142" s="50">
        <f>VLOOKUP($A142,'Data shares'!$C:$FB,124)</f>
        <v>0.34</v>
      </c>
      <c r="P142" s="50">
        <f>VLOOKUP($A142,'Data shares'!$C:$FB,125)</f>
        <v>0.32</v>
      </c>
      <c r="Q142" s="50">
        <f>VLOOKUP($A142,'Data shares'!$C:$FB,127)*100</f>
        <v>6.25</v>
      </c>
    </row>
    <row r="143" spans="1:17" x14ac:dyDescent="0.25">
      <c r="A143" s="97" t="str">
        <f>'Snapshot (Value)'!A147</f>
        <v>NESTLEIND</v>
      </c>
      <c r="B143" s="140">
        <f>VLOOKUP($A143,'Data shares'!$C:$FB,7)</f>
        <v>1305.3</v>
      </c>
      <c r="C143" s="140">
        <f>VLOOKUP($A143,'Data shares'!$C:$FB,3)</f>
        <v>1305.9000000000001</v>
      </c>
      <c r="D143" s="140">
        <f>VLOOKUP($A143,'Data shares'!$C:$FB,4)</f>
        <v>1309.4000000000001</v>
      </c>
      <c r="E143" s="50">
        <f t="shared" si="6"/>
        <v>-0.26729799908354968</v>
      </c>
      <c r="F143" s="49">
        <f>VLOOKUP($A143,'Data shares'!$C:$FB,98)</f>
        <v>24767000</v>
      </c>
      <c r="G143" s="49">
        <f>VLOOKUP($A143,'Data shares'!$C:$FB,99)</f>
        <v>24883000</v>
      </c>
      <c r="H143" s="50">
        <f t="shared" si="7"/>
        <v>-0.46618173049873407</v>
      </c>
      <c r="I143" s="49">
        <f>VLOOKUP($A143,'Data shares'!$C:$FB,66)</f>
        <v>9836000</v>
      </c>
      <c r="J143" s="49">
        <f>VLOOKUP($A143,'Data shares'!$C:$FB,67)</f>
        <v>6410500</v>
      </c>
      <c r="K143" s="50">
        <f t="shared" si="8"/>
        <v>34.826148840992275</v>
      </c>
      <c r="L143" s="50">
        <f>VLOOKUP($A143,'Data shares'!$C:$FB,118)</f>
        <v>0.47</v>
      </c>
      <c r="M143" s="50">
        <f>VLOOKUP($A143,'Data shares'!$C:$FB,119)</f>
        <v>0.47</v>
      </c>
      <c r="N143" s="50">
        <f>VLOOKUP($A143,'Data shares'!$C:$FB,121)*100</f>
        <v>0</v>
      </c>
      <c r="O143" s="50">
        <f>VLOOKUP($A143,'Data shares'!$C:$FB,124)</f>
        <v>0.36</v>
      </c>
      <c r="P143" s="50">
        <f>VLOOKUP($A143,'Data shares'!$C:$FB,125)</f>
        <v>0.25</v>
      </c>
      <c r="Q143" s="50">
        <f>VLOOKUP($A143,'Data shares'!$C:$FB,127)*100</f>
        <v>44</v>
      </c>
    </row>
    <row r="144" spans="1:17" x14ac:dyDescent="0.25">
      <c r="A144" s="97" t="str">
        <f>'Snapshot (Value)'!A148</f>
        <v>NHPC</v>
      </c>
      <c r="B144" s="140">
        <f>VLOOKUP($A144,'Data shares'!$C:$FB,7)</f>
        <v>77.58</v>
      </c>
      <c r="C144" s="140">
        <f>VLOOKUP($A144,'Data shares'!$C:$FB,3)</f>
        <v>77.84</v>
      </c>
      <c r="D144" s="140">
        <f>VLOOKUP($A144,'Data shares'!$C:$FB,4)</f>
        <v>77.2</v>
      </c>
      <c r="E144" s="50">
        <f t="shared" si="6"/>
        <v>0.82901554404145139</v>
      </c>
      <c r="F144" s="49">
        <f>VLOOKUP($A144,'Data shares'!$C:$FB,98)</f>
        <v>170585600</v>
      </c>
      <c r="G144" s="49">
        <f>VLOOKUP($A144,'Data shares'!$C:$FB,99)</f>
        <v>172723200</v>
      </c>
      <c r="H144" s="50">
        <f t="shared" si="7"/>
        <v>-1.2375870757373648</v>
      </c>
      <c r="I144" s="49">
        <f>VLOOKUP($A144,'Data shares'!$C:$FB,66)</f>
        <v>60832000</v>
      </c>
      <c r="J144" s="49">
        <f>VLOOKUP($A144,'Data shares'!$C:$FB,67)</f>
        <v>54771200</v>
      </c>
      <c r="K144" s="50">
        <f t="shared" si="8"/>
        <v>9.9631772751183583</v>
      </c>
      <c r="L144" s="50">
        <f>VLOOKUP($A144,'Data shares'!$C:$FB,118)</f>
        <v>0.47</v>
      </c>
      <c r="M144" s="50">
        <f>VLOOKUP($A144,'Data shares'!$C:$FB,119)</f>
        <v>0.55000000000000004</v>
      </c>
      <c r="N144" s="50">
        <f>VLOOKUP($A144,'Data shares'!$C:$FB,121)*100</f>
        <v>-14.549999999999999</v>
      </c>
      <c r="O144" s="50">
        <f>VLOOKUP($A144,'Data shares'!$C:$FB,124)</f>
        <v>0.49</v>
      </c>
      <c r="P144" s="50">
        <f>VLOOKUP($A144,'Data shares'!$C:$FB,125)</f>
        <v>0.49</v>
      </c>
      <c r="Q144" s="50">
        <f>VLOOKUP($A144,'Data shares'!$C:$FB,127)*100</f>
        <v>0</v>
      </c>
    </row>
    <row r="145" spans="1:17" x14ac:dyDescent="0.25">
      <c r="A145" s="97" t="str">
        <f>'Snapshot (Value)'!A149</f>
        <v>NIFTY</v>
      </c>
      <c r="B145" s="140">
        <f>VLOOKUP($A145,'Data shares'!$C:$FB,7)</f>
        <v>25953.85</v>
      </c>
      <c r="C145" s="140">
        <f>VLOOKUP($A145,'Data shares'!$C:$FB,3)</f>
        <v>25994.2</v>
      </c>
      <c r="D145" s="140">
        <f>VLOOKUP($A145,'Data shares'!$C:$FB,4)</f>
        <v>25985.599999999999</v>
      </c>
      <c r="E145" s="50">
        <f t="shared" si="6"/>
        <v>3.3095252755380604E-2</v>
      </c>
      <c r="F145" s="49">
        <f>VLOOKUP($A145,'Data shares'!$C:$FB,98)</f>
        <v>417519510</v>
      </c>
      <c r="G145" s="49">
        <f>VLOOKUP($A145,'Data shares'!$C:$FB,99)</f>
        <v>667617640</v>
      </c>
      <c r="H145" s="50">
        <f t="shared" si="7"/>
        <v>-37.46128247899501</v>
      </c>
      <c r="I145" s="49">
        <f>VLOOKUP($A145,'Data shares'!$C:$FB,66)</f>
        <v>3318049280</v>
      </c>
      <c r="J145" s="49">
        <f>VLOOKUP($A145,'Data shares'!$C:$FB,67)</f>
        <v>22717567665</v>
      </c>
      <c r="K145" s="50">
        <f t="shared" si="8"/>
        <v>-584.66637315886999</v>
      </c>
      <c r="L145" s="50">
        <f>VLOOKUP($A145,'Data shares'!$C:$FB,118)</f>
        <v>1.06</v>
      </c>
      <c r="M145" s="50">
        <f>VLOOKUP($A145,'Data shares'!$C:$FB,119)</f>
        <v>1.17</v>
      </c>
      <c r="N145" s="50">
        <f>VLOOKUP($A145,'Data shares'!$C:$FB,121)*100</f>
        <v>-9.4</v>
      </c>
      <c r="O145" s="50">
        <f>VLOOKUP($A145,'Data shares'!$C:$FB,124)</f>
        <v>1.07</v>
      </c>
      <c r="P145" s="50">
        <f>VLOOKUP($A145,'Data shares'!$C:$FB,125)</f>
        <v>1.05</v>
      </c>
      <c r="Q145" s="50">
        <f>VLOOKUP($A145,'Data shares'!$C:$FB,127)*100</f>
        <v>1.9</v>
      </c>
    </row>
    <row r="146" spans="1:17" x14ac:dyDescent="0.25">
      <c r="A146" s="97" t="str">
        <f>'Snapshot (Value)'!A150</f>
        <v>NIFTYNXT50</v>
      </c>
      <c r="B146" s="140">
        <f>VLOOKUP($A146,'Data shares'!$C:$FB,7)</f>
        <v>70216.55</v>
      </c>
      <c r="C146" s="140">
        <f>VLOOKUP($A146,'Data shares'!$C:$FB,3)</f>
        <v>70184.2</v>
      </c>
      <c r="D146" s="140">
        <f>VLOOKUP($A146,'Data shares'!$C:$FB,4)</f>
        <v>69872.2</v>
      </c>
      <c r="E146" s="50">
        <f t="shared" si="6"/>
        <v>0.44652952103984134</v>
      </c>
      <c r="F146" s="49">
        <f>VLOOKUP($A146,'Data shares'!$C:$FB,98)</f>
        <v>44600</v>
      </c>
      <c r="G146" s="49">
        <f>VLOOKUP($A146,'Data shares'!$C:$FB,99)</f>
        <v>40275</v>
      </c>
      <c r="H146" s="50">
        <f t="shared" si="7"/>
        <v>10.738671632526382</v>
      </c>
      <c r="I146" s="49">
        <f>VLOOKUP($A146,'Data shares'!$C:$FB,66)</f>
        <v>27375</v>
      </c>
      <c r="J146" s="49">
        <f>VLOOKUP($A146,'Data shares'!$C:$FB,67)</f>
        <v>15750</v>
      </c>
      <c r="K146" s="50">
        <f t="shared" si="8"/>
        <v>42.465753424657535</v>
      </c>
      <c r="L146" s="50">
        <f>VLOOKUP($A146,'Data shares'!$C:$FB,118)</f>
        <v>0.89</v>
      </c>
      <c r="M146" s="50">
        <f>VLOOKUP($A146,'Data shares'!$C:$FB,119)</f>
        <v>0.72</v>
      </c>
      <c r="N146" s="50">
        <f>VLOOKUP($A146,'Data shares'!$C:$FB,121)*100</f>
        <v>23.61</v>
      </c>
      <c r="O146" s="50">
        <f>VLOOKUP($A146,'Data shares'!$C:$FB,124)</f>
        <v>0.91</v>
      </c>
      <c r="P146" s="50">
        <f>VLOOKUP($A146,'Data shares'!$C:$FB,125)</f>
        <v>1.1000000000000001</v>
      </c>
      <c r="Q146" s="50">
        <f>VLOOKUP($A146,'Data shares'!$C:$FB,127)*100</f>
        <v>-17.27</v>
      </c>
    </row>
    <row r="147" spans="1:17" x14ac:dyDescent="0.25">
      <c r="A147" s="97" t="str">
        <f>'Snapshot (Value)'!A151</f>
        <v>NMDC</v>
      </c>
      <c r="B147" s="140">
        <f>VLOOKUP($A147,'Data shares'!$C:$FB,7)</f>
        <v>85.46</v>
      </c>
      <c r="C147" s="140">
        <f>VLOOKUP($A147,'Data shares'!$C:$FB,3)</f>
        <v>85.69</v>
      </c>
      <c r="D147" s="140">
        <f>VLOOKUP($A147,'Data shares'!$C:$FB,4)</f>
        <v>85.35</v>
      </c>
      <c r="E147" s="50">
        <f t="shared" si="6"/>
        <v>0.39835969537200167</v>
      </c>
      <c r="F147" s="49">
        <f>VLOOKUP($A147,'Data shares'!$C:$FB,98)</f>
        <v>524886750</v>
      </c>
      <c r="G147" s="49">
        <f>VLOOKUP($A147,'Data shares'!$C:$FB,99)</f>
        <v>529976250</v>
      </c>
      <c r="H147" s="50">
        <f t="shared" si="7"/>
        <v>-0.96032605234668533</v>
      </c>
      <c r="I147" s="49">
        <f>VLOOKUP($A147,'Data shares'!$C:$FB,66)</f>
        <v>230323500</v>
      </c>
      <c r="J147" s="49">
        <f>VLOOKUP($A147,'Data shares'!$C:$FB,67)</f>
        <v>224727750</v>
      </c>
      <c r="K147" s="50">
        <f t="shared" si="8"/>
        <v>2.4295176132700309</v>
      </c>
      <c r="L147" s="50">
        <f>VLOOKUP($A147,'Data shares'!$C:$FB,118)</f>
        <v>0.5</v>
      </c>
      <c r="M147" s="50">
        <f>VLOOKUP($A147,'Data shares'!$C:$FB,119)</f>
        <v>0.48</v>
      </c>
      <c r="N147" s="50">
        <f>VLOOKUP($A147,'Data shares'!$C:$FB,121)*100</f>
        <v>4.17</v>
      </c>
      <c r="O147" s="50">
        <f>VLOOKUP($A147,'Data shares'!$C:$FB,124)</f>
        <v>0.36</v>
      </c>
      <c r="P147" s="50">
        <f>VLOOKUP($A147,'Data shares'!$C:$FB,125)</f>
        <v>0.32</v>
      </c>
      <c r="Q147" s="50">
        <f>VLOOKUP($A147,'Data shares'!$C:$FB,127)*100</f>
        <v>12.5</v>
      </c>
    </row>
    <row r="148" spans="1:17" x14ac:dyDescent="0.25">
      <c r="A148" s="97" t="str">
        <f>'Snapshot (Value)'!A152</f>
        <v>NTPC</v>
      </c>
      <c r="B148" s="140">
        <f>VLOOKUP($A148,'Data shares'!$C:$FB,7)</f>
        <v>368.45</v>
      </c>
      <c r="C148" s="140">
        <f>VLOOKUP($A148,'Data shares'!$C:$FB,3)</f>
        <v>368.4</v>
      </c>
      <c r="D148" s="140">
        <f>VLOOKUP($A148,'Data shares'!$C:$FB,4)</f>
        <v>367.15</v>
      </c>
      <c r="E148" s="50">
        <f t="shared" si="6"/>
        <v>0.34046030232874847</v>
      </c>
      <c r="F148" s="49">
        <f>VLOOKUP($A148,'Data shares'!$C:$FB,98)</f>
        <v>220537500</v>
      </c>
      <c r="G148" s="49">
        <f>VLOOKUP($A148,'Data shares'!$C:$FB,99)</f>
        <v>215449500</v>
      </c>
      <c r="H148" s="50">
        <f t="shared" si="7"/>
        <v>2.3615742900308425</v>
      </c>
      <c r="I148" s="49">
        <f>VLOOKUP($A148,'Data shares'!$C:$FB,66)</f>
        <v>95293500</v>
      </c>
      <c r="J148" s="49">
        <f>VLOOKUP($A148,'Data shares'!$C:$FB,67)</f>
        <v>119232000</v>
      </c>
      <c r="K148" s="50">
        <f t="shared" si="8"/>
        <v>-25.120810968219239</v>
      </c>
      <c r="L148" s="50">
        <f>VLOOKUP($A148,'Data shares'!$C:$FB,118)</f>
        <v>0.45</v>
      </c>
      <c r="M148" s="50">
        <f>VLOOKUP($A148,'Data shares'!$C:$FB,119)</f>
        <v>0.45</v>
      </c>
      <c r="N148" s="50">
        <f>VLOOKUP($A148,'Data shares'!$C:$FB,121)*100</f>
        <v>0</v>
      </c>
      <c r="O148" s="50">
        <f>VLOOKUP($A148,'Data shares'!$C:$FB,124)</f>
        <v>0.44</v>
      </c>
      <c r="P148" s="50">
        <f>VLOOKUP($A148,'Data shares'!$C:$FB,125)</f>
        <v>0.51</v>
      </c>
      <c r="Q148" s="50">
        <f>VLOOKUP($A148,'Data shares'!$C:$FB,127)*100</f>
        <v>-13.73</v>
      </c>
    </row>
    <row r="149" spans="1:17" x14ac:dyDescent="0.25">
      <c r="A149" s="97" t="str">
        <f>'Snapshot (Value)'!A153</f>
        <v>NUVAMA</v>
      </c>
      <c r="B149" s="140">
        <f>VLOOKUP($A149,'Data shares'!$C:$FB,7)</f>
        <v>1324.2</v>
      </c>
      <c r="C149" s="140">
        <f>VLOOKUP($A149,'Data shares'!$C:$FB,3)</f>
        <v>1323.5</v>
      </c>
      <c r="D149" s="140">
        <f>VLOOKUP($A149,'Data shares'!$C:$FB,4)</f>
        <v>1387.3</v>
      </c>
      <c r="E149" s="50">
        <f t="shared" si="6"/>
        <v>-4.5988610970950736</v>
      </c>
      <c r="F149" s="49">
        <f>VLOOKUP($A149,'Data shares'!$C:$FB,98)</f>
        <v>4845000</v>
      </c>
      <c r="G149" s="49">
        <f>VLOOKUP($A149,'Data shares'!$C:$FB,99)</f>
        <v>4719000</v>
      </c>
      <c r="H149" s="50">
        <f t="shared" si="7"/>
        <v>2.6700572155117608</v>
      </c>
      <c r="I149" s="49">
        <f>VLOOKUP($A149,'Data shares'!$C:$FB,66)</f>
        <v>6585000</v>
      </c>
      <c r="J149" s="49">
        <f>VLOOKUP($A149,'Data shares'!$C:$FB,67)</f>
        <v>3417000</v>
      </c>
      <c r="K149" s="50">
        <f t="shared" si="8"/>
        <v>48.109339407744869</v>
      </c>
      <c r="L149" s="50">
        <f>VLOOKUP($A149,'Data shares'!$C:$FB,118)</f>
        <v>0.76</v>
      </c>
      <c r="M149" s="50">
        <f>VLOOKUP($A149,'Data shares'!$C:$FB,119)</f>
        <v>0.65</v>
      </c>
      <c r="N149" s="50">
        <f>VLOOKUP($A149,'Data shares'!$C:$FB,121)*100</f>
        <v>16.919999999999998</v>
      </c>
      <c r="O149" s="50">
        <f>VLOOKUP($A149,'Data shares'!$C:$FB,124)</f>
        <v>0.71</v>
      </c>
      <c r="P149" s="50">
        <f>VLOOKUP($A149,'Data shares'!$C:$FB,125)</f>
        <v>0.28999999999999998</v>
      </c>
      <c r="Q149" s="50">
        <f>VLOOKUP($A149,'Data shares'!$C:$FB,127)*100</f>
        <v>144.82999999999998</v>
      </c>
    </row>
    <row r="150" spans="1:17" x14ac:dyDescent="0.25">
      <c r="A150" s="97" t="str">
        <f>'Snapshot (Value)'!A154</f>
        <v>NYKAA</v>
      </c>
      <c r="B150" s="140">
        <f>VLOOKUP($A150,'Data shares'!$C:$FB,7)</f>
        <v>277.54000000000002</v>
      </c>
      <c r="C150" s="140">
        <f>VLOOKUP($A150,'Data shares'!$C:$FB,3)</f>
        <v>278.36</v>
      </c>
      <c r="D150" s="140">
        <f>VLOOKUP($A150,'Data shares'!$C:$FB,4)</f>
        <v>281.73</v>
      </c>
      <c r="E150" s="50">
        <f t="shared" si="6"/>
        <v>-1.1961807404252314</v>
      </c>
      <c r="F150" s="49">
        <f>VLOOKUP($A150,'Data shares'!$C:$FB,98)</f>
        <v>83540625</v>
      </c>
      <c r="G150" s="49">
        <f>VLOOKUP($A150,'Data shares'!$C:$FB,99)</f>
        <v>84453125</v>
      </c>
      <c r="H150" s="50">
        <f t="shared" si="7"/>
        <v>-1.080481036077706</v>
      </c>
      <c r="I150" s="49">
        <f>VLOOKUP($A150,'Data shares'!$C:$FB,66)</f>
        <v>48696875</v>
      </c>
      <c r="J150" s="49">
        <f>VLOOKUP($A150,'Data shares'!$C:$FB,67)</f>
        <v>60081250</v>
      </c>
      <c r="K150" s="50">
        <f t="shared" si="8"/>
        <v>-23.378040171982288</v>
      </c>
      <c r="L150" s="50">
        <f>VLOOKUP($A150,'Data shares'!$C:$FB,118)</f>
        <v>1.23</v>
      </c>
      <c r="M150" s="50">
        <f>VLOOKUP($A150,'Data shares'!$C:$FB,119)</f>
        <v>1.21</v>
      </c>
      <c r="N150" s="50">
        <f>VLOOKUP($A150,'Data shares'!$C:$FB,121)*100</f>
        <v>1.6500000000000001</v>
      </c>
      <c r="O150" s="50">
        <f>VLOOKUP($A150,'Data shares'!$C:$FB,124)</f>
        <v>0.65</v>
      </c>
      <c r="P150" s="50">
        <f>VLOOKUP($A150,'Data shares'!$C:$FB,125)</f>
        <v>0.46</v>
      </c>
      <c r="Q150" s="50">
        <f>VLOOKUP($A150,'Data shares'!$C:$FB,127)*100</f>
        <v>41.3</v>
      </c>
    </row>
    <row r="151" spans="1:17" x14ac:dyDescent="0.25">
      <c r="A151" s="97" t="str">
        <f>'Snapshot (Value)'!A155</f>
        <v>OBEROIRLTY</v>
      </c>
      <c r="B151" s="140">
        <f>VLOOKUP($A151,'Data shares'!$C:$FB,7)</f>
        <v>1577.3</v>
      </c>
      <c r="C151" s="140">
        <f>VLOOKUP($A151,'Data shares'!$C:$FB,3)</f>
        <v>1578.9</v>
      </c>
      <c r="D151" s="140">
        <f>VLOOKUP($A151,'Data shares'!$C:$FB,4)</f>
        <v>1571.5</v>
      </c>
      <c r="E151" s="50">
        <f t="shared" si="6"/>
        <v>0.47088768692332744</v>
      </c>
      <c r="F151" s="49">
        <f>VLOOKUP($A151,'Data shares'!$C:$FB,98)</f>
        <v>9608900</v>
      </c>
      <c r="G151" s="49">
        <f>VLOOKUP($A151,'Data shares'!$C:$FB,99)</f>
        <v>9569700</v>
      </c>
      <c r="H151" s="50">
        <f t="shared" si="7"/>
        <v>0.40962621607782901</v>
      </c>
      <c r="I151" s="49">
        <f>VLOOKUP($A151,'Data shares'!$C:$FB,66)</f>
        <v>2339400</v>
      </c>
      <c r="J151" s="49">
        <f>VLOOKUP($A151,'Data shares'!$C:$FB,67)</f>
        <v>2948400</v>
      </c>
      <c r="K151" s="50">
        <f t="shared" si="8"/>
        <v>-26.032315978456015</v>
      </c>
      <c r="L151" s="50">
        <f>VLOOKUP($A151,'Data shares'!$C:$FB,118)</f>
        <v>0.85</v>
      </c>
      <c r="M151" s="50">
        <f>VLOOKUP($A151,'Data shares'!$C:$FB,119)</f>
        <v>0.93</v>
      </c>
      <c r="N151" s="50">
        <f>VLOOKUP($A151,'Data shares'!$C:$FB,121)*100</f>
        <v>-8.6</v>
      </c>
      <c r="O151" s="50">
        <f>VLOOKUP($A151,'Data shares'!$C:$FB,124)</f>
        <v>0.39</v>
      </c>
      <c r="P151" s="50">
        <f>VLOOKUP($A151,'Data shares'!$C:$FB,125)</f>
        <v>0.53</v>
      </c>
      <c r="Q151" s="50">
        <f>VLOOKUP($A151,'Data shares'!$C:$FB,127)*100</f>
        <v>-26.419999999999998</v>
      </c>
    </row>
    <row r="152" spans="1:17" x14ac:dyDescent="0.25">
      <c r="A152" s="97" t="str">
        <f>'Snapshot (Value)'!A156</f>
        <v>OFSS</v>
      </c>
      <c r="B152" s="140">
        <f>VLOOKUP($A152,'Data shares'!$C:$FB,7)</f>
        <v>7217.5</v>
      </c>
      <c r="C152" s="140">
        <f>VLOOKUP($A152,'Data shares'!$C:$FB,3)</f>
        <v>7210.5</v>
      </c>
      <c r="D152" s="140">
        <f>VLOOKUP($A152,'Data shares'!$C:$FB,4)</f>
        <v>7366</v>
      </c>
      <c r="E152" s="50">
        <f t="shared" si="6"/>
        <v>-2.1110507738256854</v>
      </c>
      <c r="F152" s="49">
        <f>VLOOKUP($A152,'Data shares'!$C:$FB,98)</f>
        <v>2407650</v>
      </c>
      <c r="G152" s="49">
        <f>VLOOKUP($A152,'Data shares'!$C:$FB,99)</f>
        <v>2318700</v>
      </c>
      <c r="H152" s="50">
        <f t="shared" si="7"/>
        <v>3.8362013197050073</v>
      </c>
      <c r="I152" s="49">
        <f>VLOOKUP($A152,'Data shares'!$C:$FB,66)</f>
        <v>984600</v>
      </c>
      <c r="J152" s="49">
        <f>VLOOKUP($A152,'Data shares'!$C:$FB,67)</f>
        <v>933375</v>
      </c>
      <c r="K152" s="50">
        <f t="shared" si="8"/>
        <v>5.202620353443022</v>
      </c>
      <c r="L152" s="50">
        <f>VLOOKUP($A152,'Data shares'!$C:$FB,118)</f>
        <v>0.57999999999999996</v>
      </c>
      <c r="M152" s="50">
        <f>VLOOKUP($A152,'Data shares'!$C:$FB,119)</f>
        <v>0.61</v>
      </c>
      <c r="N152" s="50">
        <f>VLOOKUP($A152,'Data shares'!$C:$FB,121)*100</f>
        <v>-4.92</v>
      </c>
      <c r="O152" s="50">
        <f>VLOOKUP($A152,'Data shares'!$C:$FB,124)</f>
        <v>0.48</v>
      </c>
      <c r="P152" s="50">
        <f>VLOOKUP($A152,'Data shares'!$C:$FB,125)</f>
        <v>0.3</v>
      </c>
      <c r="Q152" s="50">
        <f>VLOOKUP($A152,'Data shares'!$C:$FB,127)*100</f>
        <v>60</v>
      </c>
    </row>
    <row r="153" spans="1:17" x14ac:dyDescent="0.25">
      <c r="A153" s="97" t="str">
        <f>'Snapshot (Value)'!A157</f>
        <v>OIL</v>
      </c>
      <c r="B153" s="140">
        <f>VLOOKUP($A153,'Data shares'!$C:$FB,7)</f>
        <v>479.25</v>
      </c>
      <c r="C153" s="140">
        <f>VLOOKUP($A153,'Data shares'!$C:$FB,3)</f>
        <v>473.8</v>
      </c>
      <c r="D153" s="140">
        <f>VLOOKUP($A153,'Data shares'!$C:$FB,4)</f>
        <v>483.8</v>
      </c>
      <c r="E153" s="50">
        <f t="shared" si="6"/>
        <v>-2.066969822240595</v>
      </c>
      <c r="F153" s="49">
        <f>VLOOKUP($A153,'Data shares'!$C:$FB,98)</f>
        <v>42364000</v>
      </c>
      <c r="G153" s="49">
        <f>VLOOKUP($A153,'Data shares'!$C:$FB,99)</f>
        <v>41091400</v>
      </c>
      <c r="H153" s="50">
        <f t="shared" si="7"/>
        <v>3.0969983986916971</v>
      </c>
      <c r="I153" s="49">
        <f>VLOOKUP($A153,'Data shares'!$C:$FB,66)</f>
        <v>58389800</v>
      </c>
      <c r="J153" s="49">
        <f>VLOOKUP($A153,'Data shares'!$C:$FB,67)</f>
        <v>30325400</v>
      </c>
      <c r="K153" s="50">
        <f t="shared" si="8"/>
        <v>48.063874169803626</v>
      </c>
      <c r="L153" s="50">
        <f>VLOOKUP($A153,'Data shares'!$C:$FB,118)</f>
        <v>0.5</v>
      </c>
      <c r="M153" s="50">
        <f>VLOOKUP($A153,'Data shares'!$C:$FB,119)</f>
        <v>0.52</v>
      </c>
      <c r="N153" s="50">
        <f>VLOOKUP($A153,'Data shares'!$C:$FB,121)*100</f>
        <v>-3.85</v>
      </c>
      <c r="O153" s="50">
        <f>VLOOKUP($A153,'Data shares'!$C:$FB,124)</f>
        <v>0.42</v>
      </c>
      <c r="P153" s="50">
        <f>VLOOKUP($A153,'Data shares'!$C:$FB,125)</f>
        <v>0.37</v>
      </c>
      <c r="Q153" s="50">
        <f>VLOOKUP($A153,'Data shares'!$C:$FB,127)*100</f>
        <v>13.51</v>
      </c>
    </row>
    <row r="154" spans="1:17" x14ac:dyDescent="0.25">
      <c r="A154" s="97" t="str">
        <f>'Snapshot (Value)'!A158</f>
        <v>ONGC</v>
      </c>
      <c r="B154" s="140">
        <f>VLOOKUP($A154,'Data shares'!$C:$FB,7)</f>
        <v>274.60000000000002</v>
      </c>
      <c r="C154" s="140">
        <f>VLOOKUP($A154,'Data shares'!$C:$FB,3)</f>
        <v>272</v>
      </c>
      <c r="D154" s="140">
        <f>VLOOKUP($A154,'Data shares'!$C:$FB,4)</f>
        <v>269.85000000000002</v>
      </c>
      <c r="E154" s="50">
        <f t="shared" si="6"/>
        <v>0.79673892903464028</v>
      </c>
      <c r="F154" s="49">
        <f>VLOOKUP($A154,'Data shares'!$C:$FB,98)</f>
        <v>232605000</v>
      </c>
      <c r="G154" s="49">
        <f>VLOOKUP($A154,'Data shares'!$C:$FB,99)</f>
        <v>222223500</v>
      </c>
      <c r="H154" s="50">
        <f t="shared" si="7"/>
        <v>4.6716481380232064</v>
      </c>
      <c r="I154" s="49">
        <f>VLOOKUP($A154,'Data shares'!$C:$FB,66)</f>
        <v>163008000</v>
      </c>
      <c r="J154" s="49">
        <f>VLOOKUP($A154,'Data shares'!$C:$FB,67)</f>
        <v>89068500</v>
      </c>
      <c r="K154" s="50">
        <f t="shared" si="8"/>
        <v>45.359430212014132</v>
      </c>
      <c r="L154" s="50">
        <f>VLOOKUP($A154,'Data shares'!$C:$FB,118)</f>
        <v>0.43</v>
      </c>
      <c r="M154" s="50">
        <f>VLOOKUP($A154,'Data shares'!$C:$FB,119)</f>
        <v>0.42</v>
      </c>
      <c r="N154" s="50">
        <f>VLOOKUP($A154,'Data shares'!$C:$FB,121)*100</f>
        <v>2.3800000000000003</v>
      </c>
      <c r="O154" s="50">
        <f>VLOOKUP($A154,'Data shares'!$C:$FB,124)</f>
        <v>0.33</v>
      </c>
      <c r="P154" s="50">
        <f>VLOOKUP($A154,'Data shares'!$C:$FB,125)</f>
        <v>0.33</v>
      </c>
      <c r="Q154" s="50">
        <f>VLOOKUP($A154,'Data shares'!$C:$FB,127)*100</f>
        <v>0</v>
      </c>
    </row>
    <row r="155" spans="1:17" x14ac:dyDescent="0.25">
      <c r="A155" s="97" t="str">
        <f>'Snapshot (Value)'!A159</f>
        <v>PAGEIND</v>
      </c>
      <c r="B155" s="140">
        <f>VLOOKUP($A155,'Data shares'!$C:$FB,7)</f>
        <v>34360</v>
      </c>
      <c r="C155" s="140">
        <f>VLOOKUP($A155,'Data shares'!$C:$FB,3)</f>
        <v>34485</v>
      </c>
      <c r="D155" s="140">
        <f>VLOOKUP($A155,'Data shares'!$C:$FB,4)</f>
        <v>34595</v>
      </c>
      <c r="E155" s="50">
        <f t="shared" si="6"/>
        <v>-0.31796502384737679</v>
      </c>
      <c r="F155" s="49">
        <f>VLOOKUP($A155,'Data shares'!$C:$FB,98)</f>
        <v>501225</v>
      </c>
      <c r="G155" s="49">
        <f>VLOOKUP($A155,'Data shares'!$C:$FB,99)</f>
        <v>490410</v>
      </c>
      <c r="H155" s="50">
        <f t="shared" si="7"/>
        <v>2.2052976081238147</v>
      </c>
      <c r="I155" s="49">
        <f>VLOOKUP($A155,'Data shares'!$C:$FB,66)</f>
        <v>362370</v>
      </c>
      <c r="J155" s="49">
        <f>VLOOKUP($A155,'Data shares'!$C:$FB,67)</f>
        <v>298950</v>
      </c>
      <c r="K155" s="50">
        <f t="shared" si="8"/>
        <v>17.501448795430086</v>
      </c>
      <c r="L155" s="50">
        <f>VLOOKUP($A155,'Data shares'!$C:$FB,118)</f>
        <v>0.46</v>
      </c>
      <c r="M155" s="50">
        <f>VLOOKUP($A155,'Data shares'!$C:$FB,119)</f>
        <v>0.48</v>
      </c>
      <c r="N155" s="50">
        <f>VLOOKUP($A155,'Data shares'!$C:$FB,121)*100</f>
        <v>-4.17</v>
      </c>
      <c r="O155" s="50">
        <f>VLOOKUP($A155,'Data shares'!$C:$FB,124)</f>
        <v>0.35</v>
      </c>
      <c r="P155" s="50">
        <f>VLOOKUP($A155,'Data shares'!$C:$FB,125)</f>
        <v>0.34</v>
      </c>
      <c r="Q155" s="50">
        <f>VLOOKUP($A155,'Data shares'!$C:$FB,127)*100</f>
        <v>2.94</v>
      </c>
    </row>
    <row r="156" spans="1:17" x14ac:dyDescent="0.25">
      <c r="A156" s="97" t="str">
        <f>'Snapshot (Value)'!A160</f>
        <v>PATANJALI</v>
      </c>
      <c r="B156" s="140">
        <f>VLOOKUP($A156,'Data shares'!$C:$FB,7)</f>
        <v>521.75</v>
      </c>
      <c r="C156" s="140">
        <f>VLOOKUP($A156,'Data shares'!$C:$FB,3)</f>
        <v>521.95000000000005</v>
      </c>
      <c r="D156" s="140">
        <f>VLOOKUP($A156,'Data shares'!$C:$FB,4)</f>
        <v>521.45000000000005</v>
      </c>
      <c r="E156" s="50">
        <f t="shared" si="6"/>
        <v>9.5886470419023873E-2</v>
      </c>
      <c r="F156" s="49">
        <f>VLOOKUP($A156,'Data shares'!$C:$FB,98)</f>
        <v>48375000</v>
      </c>
      <c r="G156" s="49">
        <f>VLOOKUP($A156,'Data shares'!$C:$FB,99)</f>
        <v>45678600</v>
      </c>
      <c r="H156" s="50">
        <f t="shared" si="7"/>
        <v>5.9029830161169565</v>
      </c>
      <c r="I156" s="49">
        <f>VLOOKUP($A156,'Data shares'!$C:$FB,66)</f>
        <v>15056100</v>
      </c>
      <c r="J156" s="49">
        <f>VLOOKUP($A156,'Data shares'!$C:$FB,67)</f>
        <v>16194600</v>
      </c>
      <c r="K156" s="50">
        <f t="shared" si="8"/>
        <v>-7.561719170303066</v>
      </c>
      <c r="L156" s="50">
        <f>VLOOKUP($A156,'Data shares'!$C:$FB,118)</f>
        <v>1.04</v>
      </c>
      <c r="M156" s="50">
        <f>VLOOKUP($A156,'Data shares'!$C:$FB,119)</f>
        <v>1.17</v>
      </c>
      <c r="N156" s="50">
        <f>VLOOKUP($A156,'Data shares'!$C:$FB,121)*100</f>
        <v>-11.110000000000001</v>
      </c>
      <c r="O156" s="50">
        <f>VLOOKUP($A156,'Data shares'!$C:$FB,124)</f>
        <v>0.53</v>
      </c>
      <c r="P156" s="50">
        <f>VLOOKUP($A156,'Data shares'!$C:$FB,125)</f>
        <v>0.8</v>
      </c>
      <c r="Q156" s="50">
        <f>VLOOKUP($A156,'Data shares'!$C:$FB,127)*100</f>
        <v>-33.75</v>
      </c>
    </row>
    <row r="157" spans="1:17" x14ac:dyDescent="0.25">
      <c r="A157" s="97" t="str">
        <f>'Snapshot (Value)'!A161</f>
        <v>PAYTM</v>
      </c>
      <c r="B157" s="140">
        <f>VLOOKUP($A157,'Data shares'!$C:$FB,7)</f>
        <v>1160</v>
      </c>
      <c r="C157" s="140">
        <f>VLOOKUP($A157,'Data shares'!$C:$FB,3)</f>
        <v>1163.2</v>
      </c>
      <c r="D157" s="140">
        <f>VLOOKUP($A157,'Data shares'!$C:$FB,4)</f>
        <v>1164.3</v>
      </c>
      <c r="E157" s="50">
        <f t="shared" si="6"/>
        <v>-9.4477368375840337E-2</v>
      </c>
      <c r="F157" s="49">
        <f>VLOOKUP($A157,'Data shares'!$C:$FB,98)</f>
        <v>36513175</v>
      </c>
      <c r="G157" s="49">
        <f>VLOOKUP($A157,'Data shares'!$C:$FB,99)</f>
        <v>35428575</v>
      </c>
      <c r="H157" s="50">
        <f t="shared" si="7"/>
        <v>3.0613706591360224</v>
      </c>
      <c r="I157" s="49">
        <f>VLOOKUP($A157,'Data shares'!$C:$FB,66)</f>
        <v>18101800</v>
      </c>
      <c r="J157" s="49">
        <f>VLOOKUP($A157,'Data shares'!$C:$FB,67)</f>
        <v>32793925</v>
      </c>
      <c r="K157" s="50">
        <f t="shared" si="8"/>
        <v>-81.16388977891701</v>
      </c>
      <c r="L157" s="50">
        <f>VLOOKUP($A157,'Data shares'!$C:$FB,118)</f>
        <v>0.48</v>
      </c>
      <c r="M157" s="50">
        <f>VLOOKUP($A157,'Data shares'!$C:$FB,119)</f>
        <v>0.49</v>
      </c>
      <c r="N157" s="50">
        <f>VLOOKUP($A157,'Data shares'!$C:$FB,121)*100</f>
        <v>-2.04</v>
      </c>
      <c r="O157" s="50">
        <f>VLOOKUP($A157,'Data shares'!$C:$FB,124)</f>
        <v>0.35</v>
      </c>
      <c r="P157" s="50">
        <f>VLOOKUP($A157,'Data shares'!$C:$FB,125)</f>
        <v>0.52</v>
      </c>
      <c r="Q157" s="50">
        <f>VLOOKUP($A157,'Data shares'!$C:$FB,127)*100</f>
        <v>-32.690000000000005</v>
      </c>
    </row>
    <row r="158" spans="1:17" x14ac:dyDescent="0.25">
      <c r="A158" s="97" t="str">
        <f>'Snapshot (Value)'!A162</f>
        <v>PERSISTENT</v>
      </c>
      <c r="B158" s="140">
        <f>VLOOKUP($A158,'Data shares'!$C:$FB,7)</f>
        <v>5724</v>
      </c>
      <c r="C158" s="140">
        <f>VLOOKUP($A158,'Data shares'!$C:$FB,3)</f>
        <v>5714</v>
      </c>
      <c r="D158" s="140">
        <f>VLOOKUP($A158,'Data shares'!$C:$FB,4)</f>
        <v>5870</v>
      </c>
      <c r="E158" s="50">
        <f t="shared" si="6"/>
        <v>-2.6575809199318567</v>
      </c>
      <c r="F158" s="49">
        <f>VLOOKUP($A158,'Data shares'!$C:$FB,98)</f>
        <v>5089000</v>
      </c>
      <c r="G158" s="49">
        <f>VLOOKUP($A158,'Data shares'!$C:$FB,99)</f>
        <v>4502100</v>
      </c>
      <c r="H158" s="50">
        <f t="shared" si="7"/>
        <v>13.036138690833166</v>
      </c>
      <c r="I158" s="49">
        <f>VLOOKUP($A158,'Data shares'!$C:$FB,66)</f>
        <v>6864200</v>
      </c>
      <c r="J158" s="49">
        <f>VLOOKUP($A158,'Data shares'!$C:$FB,67)</f>
        <v>3124900</v>
      </c>
      <c r="K158" s="50">
        <f t="shared" si="8"/>
        <v>54.475394073599261</v>
      </c>
      <c r="L158" s="50">
        <f>VLOOKUP($A158,'Data shares'!$C:$FB,118)</f>
        <v>0.51</v>
      </c>
      <c r="M158" s="50">
        <f>VLOOKUP($A158,'Data shares'!$C:$FB,119)</f>
        <v>0.55000000000000004</v>
      </c>
      <c r="N158" s="50">
        <f>VLOOKUP($A158,'Data shares'!$C:$FB,121)*100</f>
        <v>-7.2700000000000005</v>
      </c>
      <c r="O158" s="50">
        <f>VLOOKUP($A158,'Data shares'!$C:$FB,124)</f>
        <v>0.8</v>
      </c>
      <c r="P158" s="50">
        <f>VLOOKUP($A158,'Data shares'!$C:$FB,125)</f>
        <v>0.41</v>
      </c>
      <c r="Q158" s="50">
        <f>VLOOKUP($A158,'Data shares'!$C:$FB,127)*100</f>
        <v>95.12</v>
      </c>
    </row>
    <row r="159" spans="1:17" x14ac:dyDescent="0.25">
      <c r="A159" s="97" t="str">
        <f>'Snapshot (Value)'!A163</f>
        <v>PETRONET</v>
      </c>
      <c r="B159" s="140">
        <f>VLOOKUP($A159,'Data shares'!$C:$FB,7)</f>
        <v>303.89999999999998</v>
      </c>
      <c r="C159" s="140">
        <f>VLOOKUP($A159,'Data shares'!$C:$FB,3)</f>
        <v>304.05</v>
      </c>
      <c r="D159" s="140">
        <f>VLOOKUP($A159,'Data shares'!$C:$FB,4)</f>
        <v>304.5</v>
      </c>
      <c r="E159" s="50">
        <f t="shared" si="6"/>
        <v>-0.14778325123152336</v>
      </c>
      <c r="F159" s="49">
        <f>VLOOKUP($A159,'Data shares'!$C:$FB,98)</f>
        <v>72333000</v>
      </c>
      <c r="G159" s="49">
        <f>VLOOKUP($A159,'Data shares'!$C:$FB,99)</f>
        <v>71054300</v>
      </c>
      <c r="H159" s="50">
        <f t="shared" si="7"/>
        <v>1.7996095943524884</v>
      </c>
      <c r="I159" s="49">
        <f>VLOOKUP($A159,'Data shares'!$C:$FB,66)</f>
        <v>16748500</v>
      </c>
      <c r="J159" s="49">
        <f>VLOOKUP($A159,'Data shares'!$C:$FB,67)</f>
        <v>30439900</v>
      </c>
      <c r="K159" s="50">
        <f t="shared" si="8"/>
        <v>-81.747022121384006</v>
      </c>
      <c r="L159" s="50">
        <f>VLOOKUP($A159,'Data shares'!$C:$FB,118)</f>
        <v>0.75</v>
      </c>
      <c r="M159" s="50">
        <f>VLOOKUP($A159,'Data shares'!$C:$FB,119)</f>
        <v>0.8</v>
      </c>
      <c r="N159" s="50">
        <f>VLOOKUP($A159,'Data shares'!$C:$FB,121)*100</f>
        <v>-6.25</v>
      </c>
      <c r="O159" s="50">
        <f>VLOOKUP($A159,'Data shares'!$C:$FB,124)</f>
        <v>0.46</v>
      </c>
      <c r="P159" s="50">
        <f>VLOOKUP($A159,'Data shares'!$C:$FB,125)</f>
        <v>0.23</v>
      </c>
      <c r="Q159" s="50">
        <f>VLOOKUP($A159,'Data shares'!$C:$FB,127)*100</f>
        <v>100</v>
      </c>
    </row>
    <row r="160" spans="1:17" x14ac:dyDescent="0.25">
      <c r="A160" s="97" t="str">
        <f>'Snapshot (Value)'!A164</f>
        <v>PFC</v>
      </c>
      <c r="B160" s="140">
        <f>VLOOKUP($A160,'Data shares'!$C:$FB,7)</f>
        <v>415.85</v>
      </c>
      <c r="C160" s="140">
        <f>VLOOKUP($A160,'Data shares'!$C:$FB,3)</f>
        <v>413.45</v>
      </c>
      <c r="D160" s="140">
        <f>VLOOKUP($A160,'Data shares'!$C:$FB,4)</f>
        <v>410.65</v>
      </c>
      <c r="E160" s="50">
        <f t="shared" si="6"/>
        <v>0.68184585413369336</v>
      </c>
      <c r="F160" s="49">
        <f>VLOOKUP($A160,'Data shares'!$C:$FB,98)</f>
        <v>124868900</v>
      </c>
      <c r="G160" s="49">
        <f>VLOOKUP($A160,'Data shares'!$C:$FB,99)</f>
        <v>124469800</v>
      </c>
      <c r="H160" s="50">
        <f t="shared" si="7"/>
        <v>0.32064002673740943</v>
      </c>
      <c r="I160" s="49">
        <f>VLOOKUP($A160,'Data shares'!$C:$FB,66)</f>
        <v>49197200</v>
      </c>
      <c r="J160" s="49">
        <f>VLOOKUP($A160,'Data shares'!$C:$FB,67)</f>
        <v>76567400</v>
      </c>
      <c r="K160" s="50">
        <f t="shared" si="8"/>
        <v>-55.633653947785646</v>
      </c>
      <c r="L160" s="50">
        <f>VLOOKUP($A160,'Data shares'!$C:$FB,118)</f>
        <v>0.69</v>
      </c>
      <c r="M160" s="50">
        <f>VLOOKUP($A160,'Data shares'!$C:$FB,119)</f>
        <v>0.71</v>
      </c>
      <c r="N160" s="50">
        <f>VLOOKUP($A160,'Data shares'!$C:$FB,121)*100</f>
        <v>-2.82</v>
      </c>
      <c r="O160" s="50">
        <f>VLOOKUP($A160,'Data shares'!$C:$FB,124)</f>
        <v>0.5</v>
      </c>
      <c r="P160" s="50">
        <f>VLOOKUP($A160,'Data shares'!$C:$FB,125)</f>
        <v>0.51</v>
      </c>
      <c r="Q160" s="50">
        <f>VLOOKUP($A160,'Data shares'!$C:$FB,127)*100</f>
        <v>-1.96</v>
      </c>
    </row>
    <row r="161" spans="1:17" x14ac:dyDescent="0.25">
      <c r="A161" s="97" t="str">
        <f>'Snapshot (Value)'!A165</f>
        <v>PGEL</v>
      </c>
      <c r="B161" s="140">
        <f>VLOOKUP($A161,'Data shares'!$C:$FB,7)</f>
        <v>617.75</v>
      </c>
      <c r="C161" s="140">
        <f>VLOOKUP($A161,'Data shares'!$C:$FB,3)</f>
        <v>618.15</v>
      </c>
      <c r="D161" s="140">
        <f>VLOOKUP($A161,'Data shares'!$C:$FB,4)</f>
        <v>604.25</v>
      </c>
      <c r="E161" s="50">
        <f t="shared" si="6"/>
        <v>2.3003723624327641</v>
      </c>
      <c r="F161" s="49">
        <f>VLOOKUP($A161,'Data shares'!$C:$FB,98)</f>
        <v>23552400</v>
      </c>
      <c r="G161" s="49">
        <f>VLOOKUP($A161,'Data shares'!$C:$FB,99)</f>
        <v>24896650</v>
      </c>
      <c r="H161" s="50">
        <f t="shared" si="7"/>
        <v>-5.3993207921547679</v>
      </c>
      <c r="I161" s="49">
        <f>VLOOKUP($A161,'Data shares'!$C:$FB,66)</f>
        <v>33888400</v>
      </c>
      <c r="J161" s="49">
        <f>VLOOKUP($A161,'Data shares'!$C:$FB,67)</f>
        <v>46133900</v>
      </c>
      <c r="K161" s="50">
        <f t="shared" si="8"/>
        <v>-36.134783583763173</v>
      </c>
      <c r="L161" s="50">
        <f>VLOOKUP($A161,'Data shares'!$C:$FB,118)</f>
        <v>0.84</v>
      </c>
      <c r="M161" s="50">
        <f>VLOOKUP($A161,'Data shares'!$C:$FB,119)</f>
        <v>0.74</v>
      </c>
      <c r="N161" s="50">
        <f>VLOOKUP($A161,'Data shares'!$C:$FB,121)*100</f>
        <v>13.51</v>
      </c>
      <c r="O161" s="50">
        <f>VLOOKUP($A161,'Data shares'!$C:$FB,124)</f>
        <v>0.41</v>
      </c>
      <c r="P161" s="50">
        <f>VLOOKUP($A161,'Data shares'!$C:$FB,125)</f>
        <v>0.32</v>
      </c>
      <c r="Q161" s="50">
        <f>VLOOKUP($A161,'Data shares'!$C:$FB,127)*100</f>
        <v>28.12</v>
      </c>
    </row>
    <row r="162" spans="1:17" x14ac:dyDescent="0.25">
      <c r="A162" s="97" t="str">
        <f>'Snapshot (Value)'!A166</f>
        <v>PHOENIXLTD</v>
      </c>
      <c r="B162" s="140">
        <f>VLOOKUP($A162,'Data shares'!$C:$FB,7)</f>
        <v>1784</v>
      </c>
      <c r="C162" s="140">
        <f>VLOOKUP($A162,'Data shares'!$C:$FB,3)</f>
        <v>1787.6</v>
      </c>
      <c r="D162" s="140">
        <f>VLOOKUP($A162,'Data shares'!$C:$FB,4)</f>
        <v>1764.6</v>
      </c>
      <c r="E162" s="50">
        <f t="shared" si="6"/>
        <v>1.303411538025615</v>
      </c>
      <c r="F162" s="49">
        <f>VLOOKUP($A162,'Data shares'!$C:$FB,98)</f>
        <v>7151900</v>
      </c>
      <c r="G162" s="49">
        <f>VLOOKUP($A162,'Data shares'!$C:$FB,99)</f>
        <v>6700400</v>
      </c>
      <c r="H162" s="50">
        <f t="shared" si="7"/>
        <v>6.7384036773923945</v>
      </c>
      <c r="I162" s="49">
        <f>VLOOKUP($A162,'Data shares'!$C:$FB,66)</f>
        <v>6427750</v>
      </c>
      <c r="J162" s="49">
        <f>VLOOKUP($A162,'Data shares'!$C:$FB,67)</f>
        <v>2354450</v>
      </c>
      <c r="K162" s="50">
        <f t="shared" si="8"/>
        <v>63.370541791451132</v>
      </c>
      <c r="L162" s="50">
        <f>VLOOKUP($A162,'Data shares'!$C:$FB,118)</f>
        <v>0.72</v>
      </c>
      <c r="M162" s="50">
        <f>VLOOKUP($A162,'Data shares'!$C:$FB,119)</f>
        <v>0.56999999999999995</v>
      </c>
      <c r="N162" s="50">
        <f>VLOOKUP($A162,'Data shares'!$C:$FB,121)*100</f>
        <v>26.32</v>
      </c>
      <c r="O162" s="50">
        <f>VLOOKUP($A162,'Data shares'!$C:$FB,124)</f>
        <v>0.55000000000000004</v>
      </c>
      <c r="P162" s="50">
        <f>VLOOKUP($A162,'Data shares'!$C:$FB,125)</f>
        <v>0.44</v>
      </c>
      <c r="Q162" s="50">
        <f>VLOOKUP($A162,'Data shares'!$C:$FB,127)*100</f>
        <v>25</v>
      </c>
    </row>
    <row r="163" spans="1:17" x14ac:dyDescent="0.25">
      <c r="A163" s="97" t="str">
        <f>'Snapshot (Value)'!A167</f>
        <v>PIDILITIND</v>
      </c>
      <c r="B163" s="140">
        <f>VLOOKUP($A163,'Data shares'!$C:$FB,7)</f>
        <v>1480.1</v>
      </c>
      <c r="C163" s="140">
        <f>VLOOKUP($A163,'Data shares'!$C:$FB,3)</f>
        <v>1480.5</v>
      </c>
      <c r="D163" s="140">
        <f>VLOOKUP($A163,'Data shares'!$C:$FB,4)</f>
        <v>1479.8</v>
      </c>
      <c r="E163" s="50">
        <f t="shared" si="6"/>
        <v>4.7303689687798724E-2</v>
      </c>
      <c r="F163" s="49">
        <f>VLOOKUP($A163,'Data shares'!$C:$FB,98)</f>
        <v>11880500</v>
      </c>
      <c r="G163" s="49">
        <f>VLOOKUP($A163,'Data shares'!$C:$FB,99)</f>
        <v>12092500</v>
      </c>
      <c r="H163" s="50">
        <f t="shared" si="7"/>
        <v>-1.7531527806491629</v>
      </c>
      <c r="I163" s="49">
        <f>VLOOKUP($A163,'Data shares'!$C:$FB,66)</f>
        <v>3408000</v>
      </c>
      <c r="J163" s="49">
        <f>VLOOKUP($A163,'Data shares'!$C:$FB,67)</f>
        <v>2891000</v>
      </c>
      <c r="K163" s="50">
        <f t="shared" si="8"/>
        <v>15.170187793427232</v>
      </c>
      <c r="L163" s="50">
        <f>VLOOKUP($A163,'Data shares'!$C:$FB,118)</f>
        <v>0.76</v>
      </c>
      <c r="M163" s="50">
        <f>VLOOKUP($A163,'Data shares'!$C:$FB,119)</f>
        <v>0.8</v>
      </c>
      <c r="N163" s="50">
        <f>VLOOKUP($A163,'Data shares'!$C:$FB,121)*100</f>
        <v>-5</v>
      </c>
      <c r="O163" s="50">
        <f>VLOOKUP($A163,'Data shares'!$C:$FB,124)</f>
        <v>0.42</v>
      </c>
      <c r="P163" s="50">
        <f>VLOOKUP($A163,'Data shares'!$C:$FB,125)</f>
        <v>0.61</v>
      </c>
      <c r="Q163" s="50">
        <f>VLOOKUP($A163,'Data shares'!$C:$FB,127)*100</f>
        <v>-31.15</v>
      </c>
    </row>
    <row r="164" spans="1:17" x14ac:dyDescent="0.25">
      <c r="A164" s="97" t="str">
        <f>'Snapshot (Value)'!A168</f>
        <v>PIIND</v>
      </c>
      <c r="B164" s="140">
        <f>VLOOKUP($A164,'Data shares'!$C:$FB,7)</f>
        <v>3281.1</v>
      </c>
      <c r="C164" s="140">
        <f>VLOOKUP($A164,'Data shares'!$C:$FB,3)</f>
        <v>3276.4</v>
      </c>
      <c r="D164" s="140">
        <f>VLOOKUP($A164,'Data shares'!$C:$FB,4)</f>
        <v>3158.9</v>
      </c>
      <c r="E164" s="50">
        <f t="shared" si="6"/>
        <v>3.7196492449903444</v>
      </c>
      <c r="F164" s="49">
        <f>VLOOKUP($A164,'Data shares'!$C:$FB,98)</f>
        <v>6719475</v>
      </c>
      <c r="G164" s="49">
        <f>VLOOKUP($A164,'Data shares'!$C:$FB,99)</f>
        <v>5115600</v>
      </c>
      <c r="H164" s="50">
        <f t="shared" si="7"/>
        <v>31.352627257799671</v>
      </c>
      <c r="I164" s="49">
        <f>VLOOKUP($A164,'Data shares'!$C:$FB,66)</f>
        <v>10668350</v>
      </c>
      <c r="J164" s="49">
        <f>VLOOKUP($A164,'Data shares'!$C:$FB,67)</f>
        <v>2872800</v>
      </c>
      <c r="K164" s="50">
        <f t="shared" si="8"/>
        <v>73.071749614513962</v>
      </c>
      <c r="L164" s="50">
        <f>VLOOKUP($A164,'Data shares'!$C:$FB,118)</f>
        <v>1.57</v>
      </c>
      <c r="M164" s="50">
        <f>VLOOKUP($A164,'Data shares'!$C:$FB,119)</f>
        <v>1.07</v>
      </c>
      <c r="N164" s="50">
        <f>VLOOKUP($A164,'Data shares'!$C:$FB,121)*100</f>
        <v>46.73</v>
      </c>
      <c r="O164" s="50">
        <f>VLOOKUP($A164,'Data shares'!$C:$FB,124)</f>
        <v>0.65</v>
      </c>
      <c r="P164" s="50">
        <f>VLOOKUP($A164,'Data shares'!$C:$FB,125)</f>
        <v>0.82</v>
      </c>
      <c r="Q164" s="50">
        <f>VLOOKUP($A164,'Data shares'!$C:$FB,127)*100</f>
        <v>-20.73</v>
      </c>
    </row>
    <row r="165" spans="1:17" x14ac:dyDescent="0.25">
      <c r="A165" s="97" t="str">
        <f>'Snapshot (Value)'!A169</f>
        <v>PNB</v>
      </c>
      <c r="B165" s="140">
        <f>VLOOKUP($A165,'Data shares'!$C:$FB,7)</f>
        <v>122.91</v>
      </c>
      <c r="C165" s="140">
        <f>VLOOKUP($A165,'Data shares'!$C:$FB,3)</f>
        <v>123.27</v>
      </c>
      <c r="D165" s="140">
        <f>VLOOKUP($A165,'Data shares'!$C:$FB,4)</f>
        <v>123.37</v>
      </c>
      <c r="E165" s="50">
        <f t="shared" si="6"/>
        <v>-8.1056983059097448E-2</v>
      </c>
      <c r="F165" s="49">
        <f>VLOOKUP($A165,'Data shares'!$C:$FB,98)</f>
        <v>451032000</v>
      </c>
      <c r="G165" s="49">
        <f>VLOOKUP($A165,'Data shares'!$C:$FB,99)</f>
        <v>447104000</v>
      </c>
      <c r="H165" s="50">
        <f t="shared" si="7"/>
        <v>0.87854279988548534</v>
      </c>
      <c r="I165" s="49">
        <f>VLOOKUP($A165,'Data shares'!$C:$FB,66)</f>
        <v>259120000</v>
      </c>
      <c r="J165" s="49">
        <f>VLOOKUP($A165,'Data shares'!$C:$FB,67)</f>
        <v>113256000</v>
      </c>
      <c r="K165" s="50">
        <f t="shared" si="8"/>
        <v>56.292065452300086</v>
      </c>
      <c r="L165" s="50">
        <f>VLOOKUP($A165,'Data shares'!$C:$FB,118)</f>
        <v>0.59</v>
      </c>
      <c r="M165" s="50">
        <f>VLOOKUP($A165,'Data shares'!$C:$FB,119)</f>
        <v>0.56999999999999995</v>
      </c>
      <c r="N165" s="50">
        <f>VLOOKUP($A165,'Data shares'!$C:$FB,121)*100</f>
        <v>3.51</v>
      </c>
      <c r="O165" s="50">
        <f>VLOOKUP($A165,'Data shares'!$C:$FB,124)</f>
        <v>0.47</v>
      </c>
      <c r="P165" s="50">
        <f>VLOOKUP($A165,'Data shares'!$C:$FB,125)</f>
        <v>0.42</v>
      </c>
      <c r="Q165" s="50">
        <f>VLOOKUP($A165,'Data shares'!$C:$FB,127)*100</f>
        <v>11.899999999999999</v>
      </c>
    </row>
    <row r="166" spans="1:17" x14ac:dyDescent="0.25">
      <c r="A166" s="97" t="str">
        <f>'Snapshot (Value)'!A170</f>
        <v>PNBHOUSING</v>
      </c>
      <c r="B166" s="140">
        <f>VLOOKUP($A166,'Data shares'!$C:$FB,7)</f>
        <v>854.9</v>
      </c>
      <c r="C166" s="140">
        <f>VLOOKUP($A166,'Data shares'!$C:$FB,3)</f>
        <v>855.1</v>
      </c>
      <c r="D166" s="140">
        <f>VLOOKUP($A166,'Data shares'!$C:$FB,4)</f>
        <v>855.5</v>
      </c>
      <c r="E166" s="50">
        <f t="shared" si="6"/>
        <v>-4.6756282875508738E-2</v>
      </c>
      <c r="F166" s="49">
        <f>VLOOKUP($A166,'Data shares'!$C:$FB,98)</f>
        <v>19495450</v>
      </c>
      <c r="G166" s="49">
        <f>VLOOKUP($A166,'Data shares'!$C:$FB,99)</f>
        <v>19643000</v>
      </c>
      <c r="H166" s="50">
        <f t="shared" si="7"/>
        <v>-0.7511581733951026</v>
      </c>
      <c r="I166" s="49">
        <f>VLOOKUP($A166,'Data shares'!$C:$FB,66)</f>
        <v>2949050</v>
      </c>
      <c r="J166" s="49">
        <f>VLOOKUP($A166,'Data shares'!$C:$FB,67)</f>
        <v>6412900</v>
      </c>
      <c r="K166" s="50">
        <f t="shared" si="8"/>
        <v>-117.45646903240026</v>
      </c>
      <c r="L166" s="50">
        <f>VLOOKUP($A166,'Data shares'!$C:$FB,118)</f>
        <v>0.9</v>
      </c>
      <c r="M166" s="50">
        <f>VLOOKUP($A166,'Data shares'!$C:$FB,119)</f>
        <v>0.9</v>
      </c>
      <c r="N166" s="50">
        <f>VLOOKUP($A166,'Data shares'!$C:$FB,121)*100</f>
        <v>0</v>
      </c>
      <c r="O166" s="50">
        <f>VLOOKUP($A166,'Data shares'!$C:$FB,124)</f>
        <v>0.27</v>
      </c>
      <c r="P166" s="50">
        <f>VLOOKUP($A166,'Data shares'!$C:$FB,125)</f>
        <v>0.34</v>
      </c>
      <c r="Q166" s="50">
        <f>VLOOKUP($A166,'Data shares'!$C:$FB,127)*100</f>
        <v>-20.59</v>
      </c>
    </row>
    <row r="167" spans="1:17" x14ac:dyDescent="0.25">
      <c r="A167" s="97" t="str">
        <f>'Snapshot (Value)'!A171</f>
        <v>POLICYBZR</v>
      </c>
      <c r="B167" s="140">
        <f>VLOOKUP($A167,'Data shares'!$C:$FB,7)</f>
        <v>1554.6</v>
      </c>
      <c r="C167" s="140">
        <f>VLOOKUP($A167,'Data shares'!$C:$FB,3)</f>
        <v>1556.1</v>
      </c>
      <c r="D167" s="140">
        <f>VLOOKUP($A167,'Data shares'!$C:$FB,4)</f>
        <v>1513.2</v>
      </c>
      <c r="E167" s="50">
        <f t="shared" si="6"/>
        <v>2.8350515463917434</v>
      </c>
      <c r="F167" s="49">
        <f>VLOOKUP($A167,'Data shares'!$C:$FB,98)</f>
        <v>16199050</v>
      </c>
      <c r="G167" s="49">
        <f>VLOOKUP($A167,'Data shares'!$C:$FB,99)</f>
        <v>16728600</v>
      </c>
      <c r="H167" s="50">
        <f t="shared" si="7"/>
        <v>-3.1655368650096243</v>
      </c>
      <c r="I167" s="49">
        <f>VLOOKUP($A167,'Data shares'!$C:$FB,66)</f>
        <v>9933000</v>
      </c>
      <c r="J167" s="49">
        <f>VLOOKUP($A167,'Data shares'!$C:$FB,67)</f>
        <v>26124700</v>
      </c>
      <c r="K167" s="50">
        <f t="shared" si="8"/>
        <v>-163.00916138125442</v>
      </c>
      <c r="L167" s="50">
        <f>VLOOKUP($A167,'Data shares'!$C:$FB,118)</f>
        <v>0.76</v>
      </c>
      <c r="M167" s="50">
        <f>VLOOKUP($A167,'Data shares'!$C:$FB,119)</f>
        <v>0.7</v>
      </c>
      <c r="N167" s="50">
        <f>VLOOKUP($A167,'Data shares'!$C:$FB,121)*100</f>
        <v>8.57</v>
      </c>
      <c r="O167" s="50">
        <f>VLOOKUP($A167,'Data shares'!$C:$FB,124)</f>
        <v>0.42</v>
      </c>
      <c r="P167" s="50">
        <f>VLOOKUP($A167,'Data shares'!$C:$FB,125)</f>
        <v>0.63</v>
      </c>
      <c r="Q167" s="50">
        <f>VLOOKUP($A167,'Data shares'!$C:$FB,127)*100</f>
        <v>-33.33</v>
      </c>
    </row>
    <row r="168" spans="1:17" x14ac:dyDescent="0.25">
      <c r="A168" s="97" t="str">
        <f>'Snapshot (Value)'!A172</f>
        <v>POLYCAB</v>
      </c>
      <c r="B168" s="140">
        <f>VLOOKUP($A168,'Data shares'!$C:$FB,7)</f>
        <v>7814</v>
      </c>
      <c r="C168" s="140">
        <f>VLOOKUP($A168,'Data shares'!$C:$FB,3)</f>
        <v>7820</v>
      </c>
      <c r="D168" s="140">
        <f>VLOOKUP($A168,'Data shares'!$C:$FB,4)</f>
        <v>7769.5</v>
      </c>
      <c r="E168" s="50">
        <f t="shared" si="6"/>
        <v>0.64997747602805844</v>
      </c>
      <c r="F168" s="49">
        <f>VLOOKUP($A168,'Data shares'!$C:$FB,98)</f>
        <v>4908500</v>
      </c>
      <c r="G168" s="49">
        <f>VLOOKUP($A168,'Data shares'!$C:$FB,99)</f>
        <v>4883875</v>
      </c>
      <c r="H168" s="50">
        <f t="shared" si="7"/>
        <v>0.50421028384223587</v>
      </c>
      <c r="I168" s="49">
        <f>VLOOKUP($A168,'Data shares'!$C:$FB,66)</f>
        <v>1771625</v>
      </c>
      <c r="J168" s="49">
        <f>VLOOKUP($A168,'Data shares'!$C:$FB,67)</f>
        <v>1929250</v>
      </c>
      <c r="K168" s="50">
        <f t="shared" si="8"/>
        <v>-8.897198899315601</v>
      </c>
      <c r="L168" s="50">
        <f>VLOOKUP($A168,'Data shares'!$C:$FB,118)</f>
        <v>0.75</v>
      </c>
      <c r="M168" s="50">
        <f>VLOOKUP($A168,'Data shares'!$C:$FB,119)</f>
        <v>0.71</v>
      </c>
      <c r="N168" s="50">
        <f>VLOOKUP($A168,'Data shares'!$C:$FB,121)*100</f>
        <v>5.63</v>
      </c>
      <c r="O168" s="50">
        <f>VLOOKUP($A168,'Data shares'!$C:$FB,124)</f>
        <v>0.71</v>
      </c>
      <c r="P168" s="50">
        <f>VLOOKUP($A168,'Data shares'!$C:$FB,125)</f>
        <v>0.75</v>
      </c>
      <c r="Q168" s="50">
        <f>VLOOKUP($A168,'Data shares'!$C:$FB,127)*100</f>
        <v>-5.33</v>
      </c>
    </row>
    <row r="169" spans="1:17" x14ac:dyDescent="0.25">
      <c r="A169" s="97" t="str">
        <f>'Snapshot (Value)'!A173</f>
        <v>POWERGRID</v>
      </c>
      <c r="B169" s="140">
        <f>VLOOKUP($A169,'Data shares'!$C:$FB,7)</f>
        <v>294.45</v>
      </c>
      <c r="C169" s="140">
        <f>VLOOKUP($A169,'Data shares'!$C:$FB,3)</f>
        <v>294.55</v>
      </c>
      <c r="D169" s="140">
        <f>VLOOKUP($A169,'Data shares'!$C:$FB,4)</f>
        <v>294.39999999999998</v>
      </c>
      <c r="E169" s="50">
        <f t="shared" si="6"/>
        <v>5.0951086956533331E-2</v>
      </c>
      <c r="F169" s="49">
        <f>VLOOKUP($A169,'Data shares'!$C:$FB,98)</f>
        <v>193389600</v>
      </c>
      <c r="G169" s="49">
        <f>VLOOKUP($A169,'Data shares'!$C:$FB,99)</f>
        <v>194664500</v>
      </c>
      <c r="H169" s="50">
        <f t="shared" si="7"/>
        <v>-0.65492167292957892</v>
      </c>
      <c r="I169" s="49">
        <f>VLOOKUP($A169,'Data shares'!$C:$FB,66)</f>
        <v>82534100</v>
      </c>
      <c r="J169" s="49">
        <f>VLOOKUP($A169,'Data shares'!$C:$FB,67)</f>
        <v>116304700</v>
      </c>
      <c r="K169" s="50">
        <f t="shared" si="8"/>
        <v>-40.917148184810884</v>
      </c>
      <c r="L169" s="50">
        <f>VLOOKUP($A169,'Data shares'!$C:$FB,118)</f>
        <v>0.61</v>
      </c>
      <c r="M169" s="50">
        <f>VLOOKUP($A169,'Data shares'!$C:$FB,119)</f>
        <v>0.61</v>
      </c>
      <c r="N169" s="50">
        <f>VLOOKUP($A169,'Data shares'!$C:$FB,121)*100</f>
        <v>0</v>
      </c>
      <c r="O169" s="50">
        <f>VLOOKUP($A169,'Data shares'!$C:$FB,124)</f>
        <v>0.45</v>
      </c>
      <c r="P169" s="50">
        <f>VLOOKUP($A169,'Data shares'!$C:$FB,125)</f>
        <v>0.42</v>
      </c>
      <c r="Q169" s="50">
        <f>VLOOKUP($A169,'Data shares'!$C:$FB,127)*100</f>
        <v>7.1400000000000006</v>
      </c>
    </row>
    <row r="170" spans="1:17" x14ac:dyDescent="0.25">
      <c r="A170" s="97" t="str">
        <f>'Snapshot (Value)'!A174</f>
        <v>POWERINDIA</v>
      </c>
      <c r="B170" s="140">
        <f>VLOOKUP($A170,'Data shares'!$C:$FB,7)</f>
        <v>22731</v>
      </c>
      <c r="C170" s="140">
        <f>VLOOKUP($A170,'Data shares'!$C:$FB,3)</f>
        <v>22762</v>
      </c>
      <c r="D170" s="140">
        <f>VLOOKUP($A170,'Data shares'!$C:$FB,4)</f>
        <v>22539</v>
      </c>
      <c r="E170" s="50">
        <f t="shared" si="6"/>
        <v>0.98939615777097478</v>
      </c>
      <c r="F170" s="49">
        <f>VLOOKUP($A170,'Data shares'!$C:$FB,98)</f>
        <v>974100</v>
      </c>
      <c r="G170" s="49">
        <f>VLOOKUP($A170,'Data shares'!$C:$FB,99)</f>
        <v>987900</v>
      </c>
      <c r="H170" s="50">
        <f t="shared" si="7"/>
        <v>-1.3969025204980261</v>
      </c>
      <c r="I170" s="49">
        <f>VLOOKUP($A170,'Data shares'!$C:$FB,66)</f>
        <v>603700</v>
      </c>
      <c r="J170" s="49">
        <f>VLOOKUP($A170,'Data shares'!$C:$FB,67)</f>
        <v>740600</v>
      </c>
      <c r="K170" s="50">
        <f t="shared" si="8"/>
        <v>-22.67682623819778</v>
      </c>
      <c r="L170" s="50">
        <f>VLOOKUP($A170,'Data shares'!$C:$FB,118)</f>
        <v>1.23</v>
      </c>
      <c r="M170" s="50">
        <f>VLOOKUP($A170,'Data shares'!$C:$FB,119)</f>
        <v>1.22</v>
      </c>
      <c r="N170" s="50">
        <f>VLOOKUP($A170,'Data shares'!$C:$FB,121)*100</f>
        <v>0.82000000000000006</v>
      </c>
      <c r="O170" s="50">
        <f>VLOOKUP($A170,'Data shares'!$C:$FB,124)</f>
        <v>0.63</v>
      </c>
      <c r="P170" s="50">
        <f>VLOOKUP($A170,'Data shares'!$C:$FB,125)</f>
        <v>1.18</v>
      </c>
      <c r="Q170" s="50">
        <f>VLOOKUP($A170,'Data shares'!$C:$FB,127)*100</f>
        <v>-46.61</v>
      </c>
    </row>
    <row r="171" spans="1:17" x14ac:dyDescent="0.25">
      <c r="A171" s="97" t="str">
        <f>'Snapshot (Value)'!A175</f>
        <v>PPLPHARMA</v>
      </c>
      <c r="B171" s="140">
        <f>VLOOKUP($A171,'Data shares'!$C:$FB,7)</f>
        <v>164.36</v>
      </c>
      <c r="C171" s="140">
        <f>VLOOKUP($A171,'Data shares'!$C:$FB,3)</f>
        <v>163.9</v>
      </c>
      <c r="D171" s="140">
        <f>VLOOKUP($A171,'Data shares'!$C:$FB,4)</f>
        <v>163.21</v>
      </c>
      <c r="E171" s="50">
        <f t="shared" si="6"/>
        <v>0.42276821273206155</v>
      </c>
      <c r="F171" s="49">
        <f>VLOOKUP($A171,'Data shares'!$C:$FB,98)</f>
        <v>42099750</v>
      </c>
      <c r="G171" s="49">
        <f>VLOOKUP($A171,'Data shares'!$C:$FB,99)</f>
        <v>41530125</v>
      </c>
      <c r="H171" s="50">
        <f t="shared" si="7"/>
        <v>1.3715947158839517</v>
      </c>
      <c r="I171" s="49">
        <f>VLOOKUP($A171,'Data shares'!$C:$FB,66)</f>
        <v>9880500</v>
      </c>
      <c r="J171" s="49">
        <f>VLOOKUP($A171,'Data shares'!$C:$FB,67)</f>
        <v>23365125</v>
      </c>
      <c r="K171" s="50">
        <f t="shared" si="8"/>
        <v>-136.47715196599361</v>
      </c>
      <c r="L171" s="50">
        <f>VLOOKUP($A171,'Data shares'!$C:$FB,118)</f>
        <v>0.63</v>
      </c>
      <c r="M171" s="50">
        <f>VLOOKUP($A171,'Data shares'!$C:$FB,119)</f>
        <v>0.65</v>
      </c>
      <c r="N171" s="50">
        <f>VLOOKUP($A171,'Data shares'!$C:$FB,121)*100</f>
        <v>-3.08</v>
      </c>
      <c r="O171" s="50">
        <f>VLOOKUP($A171,'Data shares'!$C:$FB,124)</f>
        <v>0.28000000000000003</v>
      </c>
      <c r="P171" s="50">
        <f>VLOOKUP($A171,'Data shares'!$C:$FB,125)</f>
        <v>0.34</v>
      </c>
      <c r="Q171" s="50">
        <f>VLOOKUP($A171,'Data shares'!$C:$FB,127)*100</f>
        <v>-17.649999999999999</v>
      </c>
    </row>
    <row r="172" spans="1:17" x14ac:dyDescent="0.25">
      <c r="A172" s="97" t="str">
        <f>'Snapshot (Value)'!A176</f>
        <v>PREMIERENE</v>
      </c>
      <c r="B172" s="140">
        <f>VLOOKUP($A172,'Data shares'!$C:$FB,7)</f>
        <v>780.65</v>
      </c>
      <c r="C172" s="140">
        <f>VLOOKUP($A172,'Data shares'!$C:$FB,3)</f>
        <v>780.3</v>
      </c>
      <c r="D172" s="140">
        <f>VLOOKUP($A172,'Data shares'!$C:$FB,4)</f>
        <v>825.4</v>
      </c>
      <c r="E172" s="50">
        <f t="shared" si="6"/>
        <v>-5.464017446086749</v>
      </c>
      <c r="F172" s="49">
        <f>VLOOKUP($A172,'Data shares'!$C:$FB,98)</f>
        <v>11941600</v>
      </c>
      <c r="G172" s="49">
        <f>VLOOKUP($A172,'Data shares'!$C:$FB,99)</f>
        <v>11055525</v>
      </c>
      <c r="H172" s="50">
        <f t="shared" si="7"/>
        <v>8.0147708950954382</v>
      </c>
      <c r="I172" s="49">
        <f>VLOOKUP($A172,'Data shares'!$C:$FB,66)</f>
        <v>21702800</v>
      </c>
      <c r="J172" s="49">
        <f>VLOOKUP($A172,'Data shares'!$C:$FB,67)</f>
        <v>11842125</v>
      </c>
      <c r="K172" s="50">
        <f t="shared" si="8"/>
        <v>45.435036032217042</v>
      </c>
      <c r="L172" s="50">
        <f>VLOOKUP($A172,'Data shares'!$C:$FB,118)</f>
        <v>0.46</v>
      </c>
      <c r="M172" s="50">
        <f>VLOOKUP($A172,'Data shares'!$C:$FB,119)</f>
        <v>0.47</v>
      </c>
      <c r="N172" s="50">
        <f>VLOOKUP($A172,'Data shares'!$C:$FB,121)*100</f>
        <v>-2.13</v>
      </c>
      <c r="O172" s="50">
        <f>VLOOKUP($A172,'Data shares'!$C:$FB,124)</f>
        <v>0.59</v>
      </c>
      <c r="P172" s="50">
        <f>VLOOKUP($A172,'Data shares'!$C:$FB,125)</f>
        <v>0.25</v>
      </c>
      <c r="Q172" s="50">
        <f>VLOOKUP($A172,'Data shares'!$C:$FB,127)*100</f>
        <v>136</v>
      </c>
    </row>
    <row r="173" spans="1:17" x14ac:dyDescent="0.25">
      <c r="A173" s="97" t="str">
        <f>'Snapshot (Value)'!A177</f>
        <v>PRESTIGE</v>
      </c>
      <c r="B173" s="140">
        <f>VLOOKUP($A173,'Data shares'!$C:$FB,7)</f>
        <v>1597.5</v>
      </c>
      <c r="C173" s="140">
        <f>VLOOKUP($A173,'Data shares'!$C:$FB,3)</f>
        <v>1598.1</v>
      </c>
      <c r="D173" s="140">
        <f>VLOOKUP($A173,'Data shares'!$C:$FB,4)</f>
        <v>1591.9</v>
      </c>
      <c r="E173" s="50">
        <f t="shared" ref="E173:E182" si="9">(C173-D173)/D173*100</f>
        <v>0.38947170048368729</v>
      </c>
      <c r="F173" s="49">
        <f>VLOOKUP($A173,'Data shares'!$C:$FB,98)</f>
        <v>7009650</v>
      </c>
      <c r="G173" s="49">
        <f>VLOOKUP($A173,'Data shares'!$C:$FB,99)</f>
        <v>6816600</v>
      </c>
      <c r="H173" s="50">
        <f t="shared" ref="H173:H182" si="10">(F173-G173)/G173*100</f>
        <v>2.8320570372326381</v>
      </c>
      <c r="I173" s="49">
        <f>VLOOKUP($A173,'Data shares'!$C:$FB,66)</f>
        <v>2553300</v>
      </c>
      <c r="J173" s="49">
        <f>VLOOKUP($A173,'Data shares'!$C:$FB,67)</f>
        <v>1956600</v>
      </c>
      <c r="K173" s="50">
        <f t="shared" ref="K173:K182" si="11">(I173-J173)/I173*100</f>
        <v>23.369756785336623</v>
      </c>
      <c r="L173" s="50">
        <f>VLOOKUP($A173,'Data shares'!$C:$FB,118)</f>
        <v>0.76</v>
      </c>
      <c r="M173" s="50">
        <f>VLOOKUP($A173,'Data shares'!$C:$FB,119)</f>
        <v>0.77</v>
      </c>
      <c r="N173" s="50">
        <f>VLOOKUP($A173,'Data shares'!$C:$FB,121)*100</f>
        <v>-1.3</v>
      </c>
      <c r="O173" s="50">
        <f>VLOOKUP($A173,'Data shares'!$C:$FB,124)</f>
        <v>0.26</v>
      </c>
      <c r="P173" s="50">
        <f>VLOOKUP($A173,'Data shares'!$C:$FB,125)</f>
        <v>0.34</v>
      </c>
      <c r="Q173" s="50">
        <f>VLOOKUP($A173,'Data shares'!$C:$FB,127)*100</f>
        <v>-23.53</v>
      </c>
    </row>
    <row r="174" spans="1:17" x14ac:dyDescent="0.25">
      <c r="A174" s="97" t="str">
        <f>'Snapshot (Value)'!A178</f>
        <v>RBLBANK</v>
      </c>
      <c r="B174" s="140">
        <f>VLOOKUP($A174,'Data shares'!$C:$FB,7)</f>
        <v>308.8</v>
      </c>
      <c r="C174" s="140">
        <f>VLOOKUP($A174,'Data shares'!$C:$FB,3)</f>
        <v>308.89999999999998</v>
      </c>
      <c r="D174" s="140">
        <f>VLOOKUP($A174,'Data shares'!$C:$FB,4)</f>
        <v>306.8</v>
      </c>
      <c r="E174" s="50">
        <f t="shared" si="9"/>
        <v>0.68448500651889366</v>
      </c>
      <c r="F174" s="49">
        <f>VLOOKUP($A174,'Data shares'!$C:$FB,98)</f>
        <v>121123075</v>
      </c>
      <c r="G174" s="49">
        <f>VLOOKUP($A174,'Data shares'!$C:$FB,99)</f>
        <v>121618375</v>
      </c>
      <c r="H174" s="50">
        <f t="shared" si="10"/>
        <v>-0.40725753818039417</v>
      </c>
      <c r="I174" s="49">
        <f>VLOOKUP($A174,'Data shares'!$C:$FB,66)</f>
        <v>27235150</v>
      </c>
      <c r="J174" s="49">
        <f>VLOOKUP($A174,'Data shares'!$C:$FB,67)</f>
        <v>23974425</v>
      </c>
      <c r="K174" s="50">
        <f t="shared" si="11"/>
        <v>11.972487759384471</v>
      </c>
      <c r="L174" s="50">
        <f>VLOOKUP($A174,'Data shares'!$C:$FB,118)</f>
        <v>0.68</v>
      </c>
      <c r="M174" s="50">
        <f>VLOOKUP($A174,'Data shares'!$C:$FB,119)</f>
        <v>0.67</v>
      </c>
      <c r="N174" s="50">
        <f>VLOOKUP($A174,'Data shares'!$C:$FB,121)*100</f>
        <v>1.49</v>
      </c>
      <c r="O174" s="50">
        <f>VLOOKUP($A174,'Data shares'!$C:$FB,124)</f>
        <v>0.37</v>
      </c>
      <c r="P174" s="50">
        <f>VLOOKUP($A174,'Data shares'!$C:$FB,125)</f>
        <v>0.35</v>
      </c>
      <c r="Q174" s="50">
        <f>VLOOKUP($A174,'Data shares'!$C:$FB,127)*100</f>
        <v>5.71</v>
      </c>
    </row>
    <row r="175" spans="1:17" x14ac:dyDescent="0.25">
      <c r="A175" s="97" t="str">
        <f>'Snapshot (Value)'!A179</f>
        <v>RECLTD</v>
      </c>
      <c r="B175" s="140">
        <f>VLOOKUP($A175,'Data shares'!$C:$FB,7)</f>
        <v>353.95</v>
      </c>
      <c r="C175" s="140">
        <f>VLOOKUP($A175,'Data shares'!$C:$FB,3)</f>
        <v>355.3</v>
      </c>
      <c r="D175" s="140">
        <f>VLOOKUP($A175,'Data shares'!$C:$FB,4)</f>
        <v>356.3</v>
      </c>
      <c r="E175" s="50">
        <f t="shared" si="9"/>
        <v>-0.28066236317709797</v>
      </c>
      <c r="F175" s="49">
        <f>VLOOKUP($A175,'Data shares'!$C:$FB,98)</f>
        <v>174952400</v>
      </c>
      <c r="G175" s="49">
        <f>VLOOKUP($A175,'Data shares'!$C:$FB,99)</f>
        <v>173121200</v>
      </c>
      <c r="H175" s="50">
        <f t="shared" si="10"/>
        <v>1.0577560691584855</v>
      </c>
      <c r="I175" s="49">
        <f>VLOOKUP($A175,'Data shares'!$C:$FB,66)</f>
        <v>62230000</v>
      </c>
      <c r="J175" s="49">
        <f>VLOOKUP($A175,'Data shares'!$C:$FB,67)</f>
        <v>68712000</v>
      </c>
      <c r="K175" s="50">
        <f t="shared" si="11"/>
        <v>-10.416197975253093</v>
      </c>
      <c r="L175" s="50">
        <f>VLOOKUP($A175,'Data shares'!$C:$FB,118)</f>
        <v>0.59</v>
      </c>
      <c r="M175" s="50">
        <f>VLOOKUP($A175,'Data shares'!$C:$FB,119)</f>
        <v>0.59</v>
      </c>
      <c r="N175" s="50">
        <f>VLOOKUP($A175,'Data shares'!$C:$FB,121)*100</f>
        <v>0</v>
      </c>
      <c r="O175" s="50">
        <f>VLOOKUP($A175,'Data shares'!$C:$FB,124)</f>
        <v>0.32</v>
      </c>
      <c r="P175" s="50">
        <f>VLOOKUP($A175,'Data shares'!$C:$FB,125)</f>
        <v>0.33</v>
      </c>
      <c r="Q175" s="50">
        <f>VLOOKUP($A175,'Data shares'!$C:$FB,127)*100</f>
        <v>-3.0300000000000002</v>
      </c>
    </row>
    <row r="176" spans="1:17" x14ac:dyDescent="0.25">
      <c r="A176" s="97" t="str">
        <f>'Snapshot (Value)'!A180</f>
        <v>RELIANCE</v>
      </c>
      <c r="B176" s="140">
        <f>VLOOKUP($A176,'Data shares'!$C:$FB,7)</f>
        <v>1468.7</v>
      </c>
      <c r="C176" s="140">
        <f>VLOOKUP($A176,'Data shares'!$C:$FB,3)</f>
        <v>1470.2</v>
      </c>
      <c r="D176" s="140">
        <f>VLOOKUP($A176,'Data shares'!$C:$FB,4)</f>
        <v>1460.7</v>
      </c>
      <c r="E176" s="50">
        <f t="shared" si="9"/>
        <v>0.65037310878345989</v>
      </c>
      <c r="F176" s="49">
        <f>VLOOKUP($A176,'Data shares'!$C:$FB,98)</f>
        <v>194997500</v>
      </c>
      <c r="G176" s="49">
        <f>VLOOKUP($A176,'Data shares'!$C:$FB,99)</f>
        <v>195790000</v>
      </c>
      <c r="H176" s="50">
        <f t="shared" si="10"/>
        <v>-0.40477041728382446</v>
      </c>
      <c r="I176" s="49">
        <f>VLOOKUP($A176,'Data shares'!$C:$FB,66)</f>
        <v>69723000</v>
      </c>
      <c r="J176" s="49">
        <f>VLOOKUP($A176,'Data shares'!$C:$FB,67)</f>
        <v>63296000</v>
      </c>
      <c r="K176" s="50">
        <f t="shared" si="11"/>
        <v>9.2179051389068167</v>
      </c>
      <c r="L176" s="50">
        <f>VLOOKUP($A176,'Data shares'!$C:$FB,118)</f>
        <v>0.6</v>
      </c>
      <c r="M176" s="50">
        <f>VLOOKUP($A176,'Data shares'!$C:$FB,119)</f>
        <v>0.56000000000000005</v>
      </c>
      <c r="N176" s="50">
        <f>VLOOKUP($A176,'Data shares'!$C:$FB,121)*100</f>
        <v>7.1400000000000006</v>
      </c>
      <c r="O176" s="50">
        <f>VLOOKUP($A176,'Data shares'!$C:$FB,124)</f>
        <v>0.62</v>
      </c>
      <c r="P176" s="50">
        <f>VLOOKUP($A176,'Data shares'!$C:$FB,125)</f>
        <v>0.72</v>
      </c>
      <c r="Q176" s="50">
        <f>VLOOKUP($A176,'Data shares'!$C:$FB,127)*100</f>
        <v>-13.889999999999999</v>
      </c>
    </row>
    <row r="177" spans="1:17" x14ac:dyDescent="0.25">
      <c r="A177" s="97" t="str">
        <f>'Snapshot (Value)'!A181</f>
        <v>RVNL</v>
      </c>
      <c r="B177" s="140">
        <f>VLOOKUP($A177,'Data shares'!$C:$FB,7)</f>
        <v>316.55</v>
      </c>
      <c r="C177" s="140">
        <f>VLOOKUP($A177,'Data shares'!$C:$FB,3)</f>
        <v>297.64999999999998</v>
      </c>
      <c r="D177" s="140">
        <f>VLOOKUP($A177,'Data shares'!$C:$FB,4)</f>
        <v>298</v>
      </c>
      <c r="E177" s="50">
        <f t="shared" si="9"/>
        <v>-0.11744966442953783</v>
      </c>
      <c r="F177" s="49">
        <f>VLOOKUP($A177,'Data shares'!$C:$FB,98)</f>
        <v>164536825</v>
      </c>
      <c r="G177" s="49">
        <f>VLOOKUP($A177,'Data shares'!$C:$FB,99)</f>
        <v>164523100</v>
      </c>
      <c r="H177" s="50">
        <f t="shared" si="10"/>
        <v>8.3422935745801046E-3</v>
      </c>
      <c r="I177" s="49">
        <f>VLOOKUP($A177,'Data shares'!$C:$FB,66)</f>
        <v>47249075</v>
      </c>
      <c r="J177" s="49">
        <f>VLOOKUP($A177,'Data shares'!$C:$FB,67)</f>
        <v>101540600</v>
      </c>
      <c r="K177" s="50">
        <f t="shared" si="11"/>
        <v>-114.90494787464094</v>
      </c>
      <c r="L177" s="50">
        <f>VLOOKUP($A177,'Data shares'!$C:$FB,118)</f>
        <v>0.35</v>
      </c>
      <c r="M177" s="50">
        <f>VLOOKUP($A177,'Data shares'!$C:$FB,119)</f>
        <v>0.34</v>
      </c>
      <c r="N177" s="50">
        <f>VLOOKUP($A177,'Data shares'!$C:$FB,121)*100</f>
        <v>2.94</v>
      </c>
      <c r="O177" s="50">
        <f>VLOOKUP($A177,'Data shares'!$C:$FB,124)</f>
        <v>0.21</v>
      </c>
      <c r="P177" s="50">
        <f>VLOOKUP($A177,'Data shares'!$C:$FB,125)</f>
        <v>0.24</v>
      </c>
      <c r="Q177" s="50">
        <f>VLOOKUP($A177,'Data shares'!$C:$FB,127)*100</f>
        <v>-12.5</v>
      </c>
    </row>
    <row r="178" spans="1:17" x14ac:dyDescent="0.25">
      <c r="A178" s="97" t="str">
        <f>'Snapshot (Value)'!A182</f>
        <v>SAIL</v>
      </c>
      <c r="B178" s="140">
        <f>VLOOKUP($A178,'Data shares'!$C:$FB,7)</f>
        <v>162.12</v>
      </c>
      <c r="C178" s="140">
        <f>VLOOKUP($A178,'Data shares'!$C:$FB,3)</f>
        <v>162.22999999999999</v>
      </c>
      <c r="D178" s="140">
        <f>VLOOKUP($A178,'Data shares'!$C:$FB,4)</f>
        <v>161.25</v>
      </c>
      <c r="E178" s="50">
        <f t="shared" si="9"/>
        <v>0.60775193798448979</v>
      </c>
      <c r="F178" s="49">
        <f>VLOOKUP($A178,'Data shares'!$C:$FB,98)</f>
        <v>266146900</v>
      </c>
      <c r="G178" s="49">
        <f>VLOOKUP($A178,'Data shares'!$C:$FB,99)</f>
        <v>269968000</v>
      </c>
      <c r="H178" s="50">
        <f t="shared" si="10"/>
        <v>-1.4153899721448469</v>
      </c>
      <c r="I178" s="49">
        <f>VLOOKUP($A178,'Data shares'!$C:$FB,66)</f>
        <v>5851500</v>
      </c>
      <c r="J178" s="49">
        <f>VLOOKUP($A178,'Data shares'!$C:$FB,67)</f>
        <v>15904800</v>
      </c>
      <c r="K178" s="50">
        <f t="shared" si="11"/>
        <v>-171.80722891566265</v>
      </c>
      <c r="L178" s="50">
        <f>VLOOKUP($A178,'Data shares'!$C:$FB,118)</f>
        <v>0.79</v>
      </c>
      <c r="M178" s="50">
        <f>VLOOKUP($A178,'Data shares'!$C:$FB,119)</f>
        <v>0.78</v>
      </c>
      <c r="N178" s="50">
        <f>VLOOKUP($A178,'Data shares'!$C:$FB,121)*100</f>
        <v>1.28</v>
      </c>
      <c r="O178" s="50">
        <f>VLOOKUP($A178,'Data shares'!$C:$FB,124)</f>
        <v>0.36</v>
      </c>
      <c r="P178" s="50">
        <f>VLOOKUP($A178,'Data shares'!$C:$FB,125)</f>
        <v>0.33</v>
      </c>
      <c r="Q178" s="50">
        <f>VLOOKUP($A178,'Data shares'!$C:$FB,127)*100</f>
        <v>9.09</v>
      </c>
    </row>
    <row r="179" spans="1:17" x14ac:dyDescent="0.25">
      <c r="A179" s="97" t="str">
        <f>'Snapshot (Value)'!A183</f>
        <v>SAMMAANCAP</v>
      </c>
      <c r="B179" s="140">
        <f>VLOOKUP($A179,'Data shares'!$C:$FB,7)</f>
        <v>148.35</v>
      </c>
      <c r="C179" s="140">
        <f>VLOOKUP($A179,'Data shares'!$C:$FB,3)</f>
        <v>148.6</v>
      </c>
      <c r="D179" s="140">
        <f>VLOOKUP($A179,'Data shares'!$C:$FB,4)</f>
        <v>147.38</v>
      </c>
      <c r="E179" s="50">
        <f t="shared" si="9"/>
        <v>0.8277921020491239</v>
      </c>
      <c r="F179" s="49">
        <f>VLOOKUP($A179,'Data shares'!$C:$FB,98)</f>
        <v>162647500</v>
      </c>
      <c r="G179" s="49">
        <f>VLOOKUP($A179,'Data shares'!$C:$FB,99)</f>
        <v>163120500</v>
      </c>
      <c r="H179" s="50">
        <f t="shared" si="10"/>
        <v>-0.2899696849874786</v>
      </c>
      <c r="I179" s="49">
        <f>VLOOKUP($A179,'Data shares'!$C:$FB,66)</f>
        <v>774000</v>
      </c>
      <c r="J179" s="49">
        <f>VLOOKUP($A179,'Data shares'!$C:$FB,67)</f>
        <v>571900</v>
      </c>
      <c r="K179" s="50">
        <f t="shared" si="11"/>
        <v>26.111111111111114</v>
      </c>
      <c r="L179" s="50">
        <f>VLOOKUP($A179,'Data shares'!$C:$FB,118)</f>
        <v>0.54</v>
      </c>
      <c r="M179" s="50">
        <f>VLOOKUP($A179,'Data shares'!$C:$FB,119)</f>
        <v>0.54</v>
      </c>
      <c r="N179" s="50">
        <f>VLOOKUP($A179,'Data shares'!$C:$FB,121)*100</f>
        <v>0</v>
      </c>
      <c r="O179" s="50">
        <f>VLOOKUP($A179,'Data shares'!$C:$FB,124)</f>
        <v>0.48</v>
      </c>
      <c r="P179" s="50">
        <f>VLOOKUP($A179,'Data shares'!$C:$FB,125)</f>
        <v>0.26</v>
      </c>
      <c r="Q179" s="50">
        <f>VLOOKUP($A179,'Data shares'!$C:$FB,127)*100</f>
        <v>84.61999999999999</v>
      </c>
    </row>
    <row r="180" spans="1:17" x14ac:dyDescent="0.25">
      <c r="A180" s="97" t="str">
        <f>'Snapshot (Value)'!A184</f>
        <v>SBICARD</v>
      </c>
      <c r="B180" s="140">
        <f>VLOOKUP($A180,'Data shares'!$C:$FB,7)</f>
        <v>768.85</v>
      </c>
      <c r="C180" s="140">
        <f>VLOOKUP($A180,'Data shares'!$C:$FB,3)</f>
        <v>765.7</v>
      </c>
      <c r="D180" s="140">
        <f>VLOOKUP($A180,'Data shares'!$C:$FB,4)</f>
        <v>760.75</v>
      </c>
      <c r="E180" s="50">
        <f t="shared" si="9"/>
        <v>0.65067367729215198</v>
      </c>
      <c r="F180" s="49">
        <f>VLOOKUP($A180,'Data shares'!$C:$FB,98)</f>
        <v>34873600</v>
      </c>
      <c r="G180" s="49">
        <f>VLOOKUP($A180,'Data shares'!$C:$FB,99)</f>
        <v>34822400</v>
      </c>
      <c r="H180" s="50">
        <f t="shared" si="10"/>
        <v>0.14703179562580407</v>
      </c>
      <c r="I180" s="49">
        <f>VLOOKUP($A180,'Data shares'!$C:$FB,66)</f>
        <v>9143200</v>
      </c>
      <c r="J180" s="49">
        <f>VLOOKUP($A180,'Data shares'!$C:$FB,67)</f>
        <v>8425600</v>
      </c>
      <c r="K180" s="50">
        <f t="shared" si="11"/>
        <v>7.848455682911891</v>
      </c>
      <c r="L180" s="50">
        <f>VLOOKUP($A180,'Data shares'!$C:$FB,118)</f>
        <v>0.57999999999999996</v>
      </c>
      <c r="M180" s="50">
        <f>VLOOKUP($A180,'Data shares'!$C:$FB,119)</f>
        <v>0.56999999999999995</v>
      </c>
      <c r="N180" s="50">
        <f>VLOOKUP($A180,'Data shares'!$C:$FB,121)*100</f>
        <v>1.7500000000000002</v>
      </c>
      <c r="O180" s="50">
        <f>VLOOKUP($A180,'Data shares'!$C:$FB,124)</f>
        <v>0.35</v>
      </c>
      <c r="P180" s="50">
        <f>VLOOKUP($A180,'Data shares'!$C:$FB,125)</f>
        <v>0.46</v>
      </c>
      <c r="Q180" s="50">
        <f>VLOOKUP($A180,'Data shares'!$C:$FB,127)*100</f>
        <v>-23.91</v>
      </c>
    </row>
    <row r="181" spans="1:17" x14ac:dyDescent="0.25">
      <c r="A181" s="97" t="str">
        <f>'Snapshot (Value)'!A185</f>
        <v>SBILIFE</v>
      </c>
      <c r="B181" s="140">
        <f>VLOOKUP($A181,'Data shares'!$C:$FB,7)</f>
        <v>2026.3</v>
      </c>
      <c r="C181" s="140">
        <f>VLOOKUP($A181,'Data shares'!$C:$FB,3)</f>
        <v>2028.8</v>
      </c>
      <c r="D181" s="140">
        <f>VLOOKUP($A181,'Data shares'!$C:$FB,4)</f>
        <v>2023.4</v>
      </c>
      <c r="E181" s="50">
        <f t="shared" si="9"/>
        <v>0.26687753286546723</v>
      </c>
      <c r="F181" s="49">
        <f>VLOOKUP($A181,'Data shares'!$C:$FB,98)</f>
        <v>17445750</v>
      </c>
      <c r="G181" s="49">
        <f>VLOOKUP($A181,'Data shares'!$C:$FB,99)</f>
        <v>17662875</v>
      </c>
      <c r="H181" s="50">
        <f t="shared" si="10"/>
        <v>-1.2292732638372859</v>
      </c>
      <c r="I181" s="49">
        <f>VLOOKUP($A181,'Data shares'!$C:$FB,66)</f>
        <v>4836375</v>
      </c>
      <c r="J181" s="49">
        <f>VLOOKUP($A181,'Data shares'!$C:$FB,67)</f>
        <v>7099875</v>
      </c>
      <c r="K181" s="50">
        <f t="shared" si="11"/>
        <v>-46.801581763200744</v>
      </c>
      <c r="L181" s="50">
        <f>VLOOKUP($A181,'Data shares'!$C:$FB,118)</f>
        <v>0.37</v>
      </c>
      <c r="M181" s="50">
        <f>VLOOKUP($A181,'Data shares'!$C:$FB,119)</f>
        <v>0.38</v>
      </c>
      <c r="N181" s="50">
        <f>VLOOKUP($A181,'Data shares'!$C:$FB,121)*100</f>
        <v>-2.63</v>
      </c>
      <c r="O181" s="50">
        <f>VLOOKUP($A181,'Data shares'!$C:$FB,124)</f>
        <v>0.4</v>
      </c>
      <c r="P181" s="50">
        <f>VLOOKUP($A181,'Data shares'!$C:$FB,125)</f>
        <v>0.47</v>
      </c>
      <c r="Q181" s="50">
        <f>VLOOKUP($A181,'Data shares'!$C:$FB,127)*100</f>
        <v>-14.89</v>
      </c>
    </row>
    <row r="182" spans="1:17" x14ac:dyDescent="0.25">
      <c r="A182" s="97" t="str">
        <f>'Snapshot (Value)'!A186</f>
        <v>SBIN</v>
      </c>
      <c r="B182" s="140">
        <f>VLOOKUP($A182,'Data shares'!$C:$FB,7)</f>
        <v>1182.9000000000001</v>
      </c>
      <c r="C182" s="140">
        <f>VLOOKUP($A182,'Data shares'!$C:$FB,3)</f>
        <v>1180.0999999999999</v>
      </c>
      <c r="D182" s="140">
        <f>VLOOKUP($A182,'Data shares'!$C:$FB,4)</f>
        <v>1142.4000000000001</v>
      </c>
      <c r="E182" s="50">
        <f t="shared" si="9"/>
        <v>3.3000700280111888</v>
      </c>
      <c r="F182" s="49">
        <f>VLOOKUP($A182,'Data shares'!$C:$FB,98)</f>
        <v>214354500</v>
      </c>
      <c r="G182" s="49">
        <f>VLOOKUP($A182,'Data shares'!$C:$FB,99)</f>
        <v>192343500</v>
      </c>
      <c r="H182" s="50">
        <f t="shared" si="10"/>
        <v>11.443589203690273</v>
      </c>
      <c r="I182" s="49">
        <f>VLOOKUP($A182,'Data shares'!$C:$FB,66)</f>
        <v>638569500</v>
      </c>
      <c r="J182" s="49">
        <f>VLOOKUP($A182,'Data shares'!$C:$FB,67)</f>
        <v>225327750</v>
      </c>
      <c r="K182" s="50">
        <f t="shared" si="11"/>
        <v>64.713668598327985</v>
      </c>
      <c r="L182" s="50">
        <f>VLOOKUP($A182,'Data shares'!$C:$FB,118)</f>
        <v>1.33</v>
      </c>
      <c r="M182" s="50">
        <f>VLOOKUP($A182,'Data shares'!$C:$FB,119)</f>
        <v>1.1200000000000001</v>
      </c>
      <c r="N182" s="50">
        <f>VLOOKUP($A182,'Data shares'!$C:$FB,121)*100</f>
        <v>18.75</v>
      </c>
      <c r="O182" s="50">
        <f>VLOOKUP($A182,'Data shares'!$C:$FB,124)</f>
        <v>0.61</v>
      </c>
      <c r="P182" s="50">
        <f>VLOOKUP($A182,'Data shares'!$C:$FB,125)</f>
        <v>0.69</v>
      </c>
      <c r="Q182" s="50">
        <f>VLOOKUP($A182,'Data shares'!$C:$FB,127)*100</f>
        <v>-11.59</v>
      </c>
    </row>
    <row r="183" spans="1:17" x14ac:dyDescent="0.25">
      <c r="A183" s="97" t="str">
        <f>'Snapshot (Value)'!A187</f>
        <v>SHREECEM</v>
      </c>
      <c r="B183" s="140">
        <f>VLOOKUP($A183,'Data shares'!$C:$FB,7)</f>
        <v>26805</v>
      </c>
      <c r="C183" s="140">
        <f>VLOOKUP($A183,'Data shares'!$C:$FB,3)</f>
        <v>26670</v>
      </c>
      <c r="D183" s="140">
        <f>VLOOKUP($A183,'Data shares'!$C:$FB,4)</f>
        <v>26535</v>
      </c>
      <c r="E183" s="50">
        <f>(C183-D183)/D183*100</f>
        <v>0.50876201243640473</v>
      </c>
      <c r="F183" s="49">
        <f>VLOOKUP($A183,'Data shares'!$C:$FB,98)</f>
        <v>556300</v>
      </c>
      <c r="G183" s="49">
        <f>VLOOKUP($A183,'Data shares'!$C:$FB,99)</f>
        <v>562075</v>
      </c>
      <c r="H183" s="50">
        <f>(F183-G183)/G183*100</f>
        <v>-1.0274429569007695</v>
      </c>
      <c r="I183" s="49">
        <f>VLOOKUP($A183,'Data shares'!$C:$FB,66)</f>
        <v>370175</v>
      </c>
      <c r="J183" s="49">
        <f>VLOOKUP($A183,'Data shares'!$C:$FB,67)</f>
        <v>614650</v>
      </c>
      <c r="K183" s="50">
        <f>(I183-J183)/I183*100</f>
        <v>-66.043087728776925</v>
      </c>
      <c r="L183" s="50">
        <f>VLOOKUP($A183,'Data shares'!$C:$FB,118)</f>
        <v>0.43</v>
      </c>
      <c r="M183" s="50">
        <f>VLOOKUP($A183,'Data shares'!$C:$FB,119)</f>
        <v>0.43</v>
      </c>
      <c r="N183" s="50">
        <f>VLOOKUP($A183,'Data shares'!$C:$FB,121)*100</f>
        <v>0</v>
      </c>
      <c r="O183" s="50">
        <f>VLOOKUP($A183,'Data shares'!$C:$FB,124)</f>
        <v>0.27</v>
      </c>
      <c r="P183" s="50">
        <f>VLOOKUP($A183,'Data shares'!$C:$FB,125)</f>
        <v>0.33</v>
      </c>
      <c r="Q183" s="50">
        <f>VLOOKUP($A183,'Data shares'!$C:$FB,127)*100</f>
        <v>-18.18</v>
      </c>
    </row>
    <row r="184" spans="1:17" x14ac:dyDescent="0.25">
      <c r="A184" s="97" t="str">
        <f>'Snapshot (Value)'!A188</f>
        <v>SHRIRAMFIN</v>
      </c>
      <c r="B184" s="140">
        <f>VLOOKUP($A184,'Data shares'!$C:$FB,7)</f>
        <v>1056.8</v>
      </c>
      <c r="C184" s="140">
        <f>VLOOKUP($A184,'Data shares'!$C:$FB,3)</f>
        <v>1057.5</v>
      </c>
      <c r="D184" s="140">
        <f>VLOOKUP($A184,'Data shares'!$C:$FB,4)</f>
        <v>1048.9000000000001</v>
      </c>
      <c r="E184" s="50">
        <f t="shared" ref="E184:E188" si="12">(C184-D184)/D184*100</f>
        <v>0.81990656878633883</v>
      </c>
      <c r="F184" s="49">
        <f>VLOOKUP($A184,'Data shares'!$C:$FB,98)</f>
        <v>58011525</v>
      </c>
      <c r="G184" s="49">
        <f>VLOOKUP($A184,'Data shares'!$C:$FB,99)</f>
        <v>58740825</v>
      </c>
      <c r="H184" s="50">
        <f t="shared" ref="H184:H188" si="13">(F184-G184)/G184*100</f>
        <v>-1.2415555961292679</v>
      </c>
      <c r="I184" s="49">
        <f>VLOOKUP($A184,'Data shares'!$C:$FB,66)</f>
        <v>33708675</v>
      </c>
      <c r="J184" s="49">
        <f>VLOOKUP($A184,'Data shares'!$C:$FB,67)</f>
        <v>46659525</v>
      </c>
      <c r="K184" s="50">
        <f t="shared" ref="K184:K188" si="14">(I184-J184)/I184*100</f>
        <v>-38.419931961134637</v>
      </c>
      <c r="L184" s="50">
        <f>VLOOKUP($A184,'Data shares'!$C:$FB,118)</f>
        <v>0.79</v>
      </c>
      <c r="M184" s="50">
        <f>VLOOKUP($A184,'Data shares'!$C:$FB,119)</f>
        <v>0.73</v>
      </c>
      <c r="N184" s="50">
        <f>VLOOKUP($A184,'Data shares'!$C:$FB,121)*100</f>
        <v>8.2199999999999989</v>
      </c>
      <c r="O184" s="50">
        <f>VLOOKUP($A184,'Data shares'!$C:$FB,124)</f>
        <v>0.37</v>
      </c>
      <c r="P184" s="50">
        <f>VLOOKUP($A184,'Data shares'!$C:$FB,125)</f>
        <v>0.63</v>
      </c>
      <c r="Q184" s="50">
        <f>VLOOKUP($A184,'Data shares'!$C:$FB,127)*100</f>
        <v>-41.27</v>
      </c>
    </row>
    <row r="185" spans="1:17" x14ac:dyDescent="0.25">
      <c r="A185" s="97" t="str">
        <f>'Snapshot (Value)'!A189</f>
        <v>SIEMENS</v>
      </c>
      <c r="B185" s="140">
        <f>VLOOKUP($A185,'Data shares'!$C:$FB,7)</f>
        <v>3151.6</v>
      </c>
      <c r="C185" s="140">
        <f>VLOOKUP($A185,'Data shares'!$C:$FB,3)</f>
        <v>3156.2</v>
      </c>
      <c r="D185" s="140">
        <f>VLOOKUP($A185,'Data shares'!$C:$FB,4)</f>
        <v>3117.4</v>
      </c>
      <c r="E185" s="50">
        <f t="shared" si="12"/>
        <v>1.2446269327003185</v>
      </c>
      <c r="F185" s="49">
        <f>VLOOKUP($A185,'Data shares'!$C:$FB,98)</f>
        <v>5534900</v>
      </c>
      <c r="G185" s="49">
        <f>VLOOKUP($A185,'Data shares'!$C:$FB,99)</f>
        <v>5636400</v>
      </c>
      <c r="H185" s="50">
        <f t="shared" si="13"/>
        <v>-1.800794833581719</v>
      </c>
      <c r="I185" s="49">
        <f>VLOOKUP($A185,'Data shares'!$C:$FB,66)</f>
        <v>5468575</v>
      </c>
      <c r="J185" s="49">
        <f>VLOOKUP($A185,'Data shares'!$C:$FB,67)</f>
        <v>4827025</v>
      </c>
      <c r="K185" s="50">
        <f t="shared" si="14"/>
        <v>11.731575410413134</v>
      </c>
      <c r="L185" s="50">
        <f>VLOOKUP($A185,'Data shares'!$C:$FB,118)</f>
        <v>0.56999999999999995</v>
      </c>
      <c r="M185" s="50">
        <f>VLOOKUP($A185,'Data shares'!$C:$FB,119)</f>
        <v>0.57999999999999996</v>
      </c>
      <c r="N185" s="50">
        <f>VLOOKUP($A185,'Data shares'!$C:$FB,121)*100</f>
        <v>-1.72</v>
      </c>
      <c r="O185" s="50">
        <f>VLOOKUP($A185,'Data shares'!$C:$FB,124)</f>
        <v>0.28000000000000003</v>
      </c>
      <c r="P185" s="50">
        <f>VLOOKUP($A185,'Data shares'!$C:$FB,125)</f>
        <v>0.35</v>
      </c>
      <c r="Q185" s="50">
        <f>VLOOKUP($A185,'Data shares'!$C:$FB,127)*100</f>
        <v>-20</v>
      </c>
    </row>
    <row r="186" spans="1:17" x14ac:dyDescent="0.25">
      <c r="A186" s="97" t="str">
        <f>'Snapshot (Value)'!A190</f>
        <v>SOLARINDS</v>
      </c>
      <c r="B186" s="140">
        <f>VLOOKUP($A186,'Data shares'!$C:$FB,7)</f>
        <v>13445</v>
      </c>
      <c r="C186" s="140">
        <f>VLOOKUP($A186,'Data shares'!$C:$FB,3)</f>
        <v>13448</v>
      </c>
      <c r="D186" s="140">
        <f>VLOOKUP($A186,'Data shares'!$C:$FB,4)</f>
        <v>13448</v>
      </c>
      <c r="E186" s="50">
        <f t="shared" si="12"/>
        <v>0</v>
      </c>
      <c r="F186" s="49">
        <f>VLOOKUP($A186,'Data shares'!$C:$FB,98)</f>
        <v>1760500</v>
      </c>
      <c r="G186" s="49">
        <f>VLOOKUP($A186,'Data shares'!$C:$FB,99)</f>
        <v>1780250</v>
      </c>
      <c r="H186" s="50">
        <f t="shared" si="13"/>
        <v>-1.1093947479286617</v>
      </c>
      <c r="I186" s="49">
        <f>VLOOKUP($A186,'Data shares'!$C:$FB,66)</f>
        <v>508450</v>
      </c>
      <c r="J186" s="49">
        <f>VLOOKUP($A186,'Data shares'!$C:$FB,67)</f>
        <v>744150</v>
      </c>
      <c r="K186" s="50">
        <f t="shared" si="14"/>
        <v>-46.356573901071883</v>
      </c>
      <c r="L186" s="50">
        <f>VLOOKUP($A186,'Data shares'!$C:$FB,118)</f>
        <v>0.47</v>
      </c>
      <c r="M186" s="50">
        <f>VLOOKUP($A186,'Data shares'!$C:$FB,119)</f>
        <v>0.47</v>
      </c>
      <c r="N186" s="50">
        <f>VLOOKUP($A186,'Data shares'!$C:$FB,121)*100</f>
        <v>0</v>
      </c>
      <c r="O186" s="50">
        <f>VLOOKUP($A186,'Data shares'!$C:$FB,124)</f>
        <v>0.33</v>
      </c>
      <c r="P186" s="50">
        <f>VLOOKUP($A186,'Data shares'!$C:$FB,125)</f>
        <v>0.44</v>
      </c>
      <c r="Q186" s="50">
        <f>VLOOKUP($A186,'Data shares'!$C:$FB,127)*100</f>
        <v>-25</v>
      </c>
    </row>
    <row r="187" spans="1:17" x14ac:dyDescent="0.25">
      <c r="A187" s="97" t="str">
        <f>'Snapshot (Value)'!A191</f>
        <v>SONACOMS</v>
      </c>
      <c r="B187" s="140">
        <f>VLOOKUP($A187,'Data shares'!$C:$FB,7)</f>
        <v>538</v>
      </c>
      <c r="C187" s="140">
        <f>VLOOKUP($A187,'Data shares'!$C:$FB,3)</f>
        <v>539.85</v>
      </c>
      <c r="D187" s="140">
        <f>VLOOKUP($A187,'Data shares'!$C:$FB,4)</f>
        <v>532.04999999999995</v>
      </c>
      <c r="E187" s="50">
        <f t="shared" si="12"/>
        <v>1.4660276289822516</v>
      </c>
      <c r="F187" s="49">
        <f>VLOOKUP($A187,'Data shares'!$C:$FB,98)</f>
        <v>23195375</v>
      </c>
      <c r="G187" s="49">
        <f>VLOOKUP($A187,'Data shares'!$C:$FB,99)</f>
        <v>22613500</v>
      </c>
      <c r="H187" s="50">
        <f t="shared" si="13"/>
        <v>2.5731310942578545</v>
      </c>
      <c r="I187" s="49">
        <f>VLOOKUP($A187,'Data shares'!$C:$FB,66)</f>
        <v>17945025</v>
      </c>
      <c r="J187" s="49">
        <f>VLOOKUP($A187,'Data shares'!$C:$FB,67)</f>
        <v>8341025</v>
      </c>
      <c r="K187" s="50">
        <f t="shared" si="14"/>
        <v>53.519011536623665</v>
      </c>
      <c r="L187" s="50">
        <f>VLOOKUP($A187,'Data shares'!$C:$FB,118)</f>
        <v>0.66</v>
      </c>
      <c r="M187" s="50">
        <f>VLOOKUP($A187,'Data shares'!$C:$FB,119)</f>
        <v>0.66</v>
      </c>
      <c r="N187" s="50">
        <f>VLOOKUP($A187,'Data shares'!$C:$FB,121)*100</f>
        <v>0</v>
      </c>
      <c r="O187" s="50">
        <f>VLOOKUP($A187,'Data shares'!$C:$FB,124)</f>
        <v>0.22</v>
      </c>
      <c r="P187" s="50">
        <f>VLOOKUP($A187,'Data shares'!$C:$FB,125)</f>
        <v>0.5</v>
      </c>
      <c r="Q187" s="50">
        <f>VLOOKUP($A187,'Data shares'!$C:$FB,127)*100</f>
        <v>-56.000000000000007</v>
      </c>
    </row>
    <row r="188" spans="1:17" x14ac:dyDescent="0.25">
      <c r="A188" s="97" t="str">
        <f>'Snapshot (Value)'!A192</f>
        <v>SRF</v>
      </c>
      <c r="B188" s="140">
        <f>VLOOKUP($A188,'Data shares'!$C:$FB,7)</f>
        <v>2949.1</v>
      </c>
      <c r="C188" s="140">
        <f>VLOOKUP($A188,'Data shares'!$C:$FB,3)</f>
        <v>2950.7</v>
      </c>
      <c r="D188" s="140">
        <f>VLOOKUP($A188,'Data shares'!$C:$FB,4)</f>
        <v>2965.9</v>
      </c>
      <c r="E188" s="50">
        <f t="shared" si="12"/>
        <v>-0.51249199231262932</v>
      </c>
      <c r="F188" s="49">
        <f>VLOOKUP($A188,'Data shares'!$C:$FB,98)</f>
        <v>5813800</v>
      </c>
      <c r="G188" s="49">
        <f>VLOOKUP($A188,'Data shares'!$C:$FB,99)</f>
        <v>5728000</v>
      </c>
      <c r="H188" s="50">
        <f t="shared" si="13"/>
        <v>1.4979050279329609</v>
      </c>
      <c r="I188" s="49">
        <f>VLOOKUP($A188,'Data shares'!$C:$FB,66)</f>
        <v>1488200</v>
      </c>
      <c r="J188" s="49">
        <f>VLOOKUP($A188,'Data shares'!$C:$FB,67)</f>
        <v>1844800</v>
      </c>
      <c r="K188" s="50">
        <f t="shared" si="14"/>
        <v>-23.96183308695068</v>
      </c>
      <c r="L188" s="50">
        <f>VLOOKUP($A188,'Data shares'!$C:$FB,118)</f>
        <v>0.61</v>
      </c>
      <c r="M188" s="50">
        <f>VLOOKUP($A188,'Data shares'!$C:$FB,119)</f>
        <v>0.64</v>
      </c>
      <c r="N188" s="50">
        <f>VLOOKUP($A188,'Data shares'!$C:$FB,121)*100</f>
        <v>-4.6899999999999995</v>
      </c>
      <c r="O188" s="50">
        <f>VLOOKUP($A188,'Data shares'!$C:$FB,124)</f>
        <v>0.5</v>
      </c>
      <c r="P188" s="50">
        <f>VLOOKUP($A188,'Data shares'!$C:$FB,125)</f>
        <v>0.32</v>
      </c>
      <c r="Q188" s="50">
        <f>VLOOKUP($A188,'Data shares'!$C:$FB,127)*100</f>
        <v>56.25</v>
      </c>
    </row>
    <row r="189" spans="1:17" x14ac:dyDescent="0.25">
      <c r="A189" s="97" t="str">
        <f>'Snapshot (Value)'!A193</f>
        <v>SUNPHARMA</v>
      </c>
      <c r="B189" s="140">
        <f>VLOOKUP($A189,'Data shares'!$C:$FB,7)</f>
        <v>1711.1</v>
      </c>
      <c r="C189" s="140">
        <f>VLOOKUP($A189,'Data shares'!$C:$FB,3)</f>
        <v>1712</v>
      </c>
      <c r="D189" s="140">
        <f>VLOOKUP($A189,'Data shares'!$C:$FB,4)</f>
        <v>1708.9</v>
      </c>
      <c r="E189" s="50">
        <f t="shared" ref="E189:E218" si="15">(C189-D189)/D189*100</f>
        <v>0.18140324185147808</v>
      </c>
      <c r="F189" s="49">
        <f>VLOOKUP($A189,'Data shares'!$C:$FB,98)</f>
        <v>45627400</v>
      </c>
      <c r="G189" s="49">
        <f>VLOOKUP($A189,'Data shares'!$C:$FB,99)</f>
        <v>45811850</v>
      </c>
      <c r="H189" s="50">
        <f t="shared" ref="H189:H218" si="16">(F189-G189)/G189*100</f>
        <v>-0.40262508499438465</v>
      </c>
      <c r="I189" s="49">
        <f>VLOOKUP($A189,'Data shares'!$C:$FB,66)</f>
        <v>11512900</v>
      </c>
      <c r="J189" s="49">
        <f>VLOOKUP($A189,'Data shares'!$C:$FB,67)</f>
        <v>17643500</v>
      </c>
      <c r="K189" s="50">
        <f t="shared" ref="K189:K218" si="17">(I189-J189)/I189*100</f>
        <v>-53.249832796254637</v>
      </c>
      <c r="L189" s="50">
        <f>VLOOKUP($A189,'Data shares'!$C:$FB,118)</f>
        <v>0.57999999999999996</v>
      </c>
      <c r="M189" s="50">
        <f>VLOOKUP($A189,'Data shares'!$C:$FB,119)</f>
        <v>0.59</v>
      </c>
      <c r="N189" s="50">
        <f>VLOOKUP($A189,'Data shares'!$C:$FB,121)*100</f>
        <v>-1.69</v>
      </c>
      <c r="O189" s="50">
        <f>VLOOKUP($A189,'Data shares'!$C:$FB,124)</f>
        <v>0.64</v>
      </c>
      <c r="P189" s="50">
        <f>VLOOKUP($A189,'Data shares'!$C:$FB,125)</f>
        <v>0.51</v>
      </c>
      <c r="Q189" s="50">
        <f>VLOOKUP($A189,'Data shares'!$C:$FB,127)*100</f>
        <v>25.490000000000002</v>
      </c>
    </row>
    <row r="190" spans="1:17" x14ac:dyDescent="0.25">
      <c r="A190" s="97" t="str">
        <f>'Snapshot (Value)'!A194</f>
        <v>SUPREMEIND</v>
      </c>
      <c r="B190" s="140">
        <f>VLOOKUP($A190,'Data shares'!$C:$FB,7)</f>
        <v>3849.4</v>
      </c>
      <c r="C190" s="140">
        <f>VLOOKUP($A190,'Data shares'!$C:$FB,3)</f>
        <v>3850.8</v>
      </c>
      <c r="D190" s="140">
        <f>VLOOKUP($A190,'Data shares'!$C:$FB,4)</f>
        <v>3698.3</v>
      </c>
      <c r="E190" s="50">
        <f t="shared" si="15"/>
        <v>4.1235162101506093</v>
      </c>
      <c r="F190" s="49">
        <f>VLOOKUP($A190,'Data shares'!$C:$FB,98)</f>
        <v>2997750</v>
      </c>
      <c r="G190" s="49">
        <f>VLOOKUP($A190,'Data shares'!$C:$FB,99)</f>
        <v>3068625</v>
      </c>
      <c r="H190" s="50">
        <f t="shared" si="16"/>
        <v>-2.309666381522669</v>
      </c>
      <c r="I190" s="49">
        <f>VLOOKUP($A190,'Data shares'!$C:$FB,66)</f>
        <v>6396425</v>
      </c>
      <c r="J190" s="49">
        <f>VLOOKUP($A190,'Data shares'!$C:$FB,67)</f>
        <v>4901575</v>
      </c>
      <c r="K190" s="50">
        <f t="shared" si="17"/>
        <v>23.370085633771989</v>
      </c>
      <c r="L190" s="50">
        <f>VLOOKUP($A190,'Data shares'!$C:$FB,118)</f>
        <v>0.71</v>
      </c>
      <c r="M190" s="50">
        <f>VLOOKUP($A190,'Data shares'!$C:$FB,119)</f>
        <v>0.54</v>
      </c>
      <c r="N190" s="50">
        <f>VLOOKUP($A190,'Data shares'!$C:$FB,121)*100</f>
        <v>31.480000000000004</v>
      </c>
      <c r="O190" s="50">
        <f>VLOOKUP($A190,'Data shares'!$C:$FB,124)</f>
        <v>0.21</v>
      </c>
      <c r="P190" s="50">
        <f>VLOOKUP($A190,'Data shares'!$C:$FB,125)</f>
        <v>0.21</v>
      </c>
      <c r="Q190" s="50">
        <f>VLOOKUP($A190,'Data shares'!$C:$FB,127)*100</f>
        <v>0</v>
      </c>
    </row>
    <row r="191" spans="1:17" x14ac:dyDescent="0.25">
      <c r="A191" s="97" t="str">
        <f>'Snapshot (Value)'!A195</f>
        <v>SUZLON</v>
      </c>
      <c r="B191" s="140">
        <f>VLOOKUP($A191,'Data shares'!$C:$FB,7)</f>
        <v>47.38</v>
      </c>
      <c r="C191" s="140">
        <f>VLOOKUP($A191,'Data shares'!$C:$FB,3)</f>
        <v>47.44</v>
      </c>
      <c r="D191" s="140">
        <f>VLOOKUP($A191,'Data shares'!$C:$FB,4)</f>
        <v>47.81</v>
      </c>
      <c r="E191" s="50">
        <f t="shared" si="15"/>
        <v>-0.77389667433592246</v>
      </c>
      <c r="F191" s="49">
        <f>VLOOKUP($A191,'Data shares'!$C:$FB,98)</f>
        <v>633013500</v>
      </c>
      <c r="G191" s="49">
        <f>VLOOKUP($A191,'Data shares'!$C:$FB,99)</f>
        <v>622986725</v>
      </c>
      <c r="H191" s="50">
        <f t="shared" si="16"/>
        <v>1.6094684842602385</v>
      </c>
      <c r="I191" s="49">
        <f>VLOOKUP($A191,'Data shares'!$C:$FB,66)</f>
        <v>241427775</v>
      </c>
      <c r="J191" s="49">
        <f>VLOOKUP($A191,'Data shares'!$C:$FB,67)</f>
        <v>194940000</v>
      </c>
      <c r="K191" s="50">
        <f t="shared" si="17"/>
        <v>19.255354940002242</v>
      </c>
      <c r="L191" s="50">
        <f>VLOOKUP($A191,'Data shares'!$C:$FB,118)</f>
        <v>0.31</v>
      </c>
      <c r="M191" s="50">
        <f>VLOOKUP($A191,'Data shares'!$C:$FB,119)</f>
        <v>0.31</v>
      </c>
      <c r="N191" s="50">
        <f>VLOOKUP($A191,'Data shares'!$C:$FB,121)*100</f>
        <v>0</v>
      </c>
      <c r="O191" s="50">
        <f>VLOOKUP($A191,'Data shares'!$C:$FB,124)</f>
        <v>0.24</v>
      </c>
      <c r="P191" s="50">
        <f>VLOOKUP($A191,'Data shares'!$C:$FB,125)</f>
        <v>0.19</v>
      </c>
      <c r="Q191" s="50">
        <f>VLOOKUP($A191,'Data shares'!$C:$FB,127)*100</f>
        <v>26.32</v>
      </c>
    </row>
    <row r="192" spans="1:17" x14ac:dyDescent="0.25">
      <c r="A192" s="97" t="str">
        <f>'Snapshot (Value)'!A196</f>
        <v>SWIGGY</v>
      </c>
      <c r="B192" s="140">
        <f>VLOOKUP($A192,'Data shares'!$C:$FB,7)</f>
        <v>342.3</v>
      </c>
      <c r="C192" s="140">
        <f>VLOOKUP($A192,'Data shares'!$C:$FB,3)</f>
        <v>341.6</v>
      </c>
      <c r="D192" s="140">
        <f>VLOOKUP($A192,'Data shares'!$C:$FB,4)</f>
        <v>354</v>
      </c>
      <c r="E192" s="50">
        <f t="shared" si="15"/>
        <v>-3.5028248587570561</v>
      </c>
      <c r="F192" s="49">
        <f>VLOOKUP($A192,'Data shares'!$C:$FB,98)</f>
        <v>55038100</v>
      </c>
      <c r="G192" s="49">
        <f>VLOOKUP($A192,'Data shares'!$C:$FB,99)</f>
        <v>53288300</v>
      </c>
      <c r="H192" s="50">
        <f t="shared" si="16"/>
        <v>3.2836476299675539</v>
      </c>
      <c r="I192" s="49">
        <f>VLOOKUP($A192,'Data shares'!$C:$FB,66)</f>
        <v>41645500</v>
      </c>
      <c r="J192" s="49">
        <f>VLOOKUP($A192,'Data shares'!$C:$FB,67)</f>
        <v>102092900</v>
      </c>
      <c r="K192" s="50">
        <f t="shared" si="17"/>
        <v>-145.14749492742314</v>
      </c>
      <c r="L192" s="50">
        <f>VLOOKUP($A192,'Data shares'!$C:$FB,118)</f>
        <v>1.1100000000000001</v>
      </c>
      <c r="M192" s="50">
        <f>VLOOKUP($A192,'Data shares'!$C:$FB,119)</f>
        <v>0.99</v>
      </c>
      <c r="N192" s="50">
        <f>VLOOKUP($A192,'Data shares'!$C:$FB,121)*100</f>
        <v>12.120000000000001</v>
      </c>
      <c r="O192" s="50">
        <f>VLOOKUP($A192,'Data shares'!$C:$FB,124)</f>
        <v>0.65</v>
      </c>
      <c r="P192" s="50">
        <f>VLOOKUP($A192,'Data shares'!$C:$FB,125)</f>
        <v>0.35</v>
      </c>
      <c r="Q192" s="50">
        <f>VLOOKUP($A192,'Data shares'!$C:$FB,127)*100</f>
        <v>85.71</v>
      </c>
    </row>
    <row r="193" spans="1:17" x14ac:dyDescent="0.25">
      <c r="A193" s="97" t="str">
        <f>'Snapshot (Value)'!A197</f>
        <v>SYNGENE</v>
      </c>
      <c r="B193" s="140">
        <f>VLOOKUP($A193,'Data shares'!$C:$FB,7)</f>
        <v>455.1</v>
      </c>
      <c r="C193" s="140">
        <f>VLOOKUP($A193,'Data shares'!$C:$FB,3)</f>
        <v>456.75</v>
      </c>
      <c r="D193" s="140">
        <f>VLOOKUP($A193,'Data shares'!$C:$FB,4)</f>
        <v>454.65</v>
      </c>
      <c r="E193" s="50">
        <f t="shared" si="15"/>
        <v>0.46189376443418517</v>
      </c>
      <c r="F193" s="49">
        <f>VLOOKUP($A193,'Data shares'!$C:$FB,98)</f>
        <v>26270000</v>
      </c>
      <c r="G193" s="49">
        <f>VLOOKUP($A193,'Data shares'!$C:$FB,99)</f>
        <v>24991000</v>
      </c>
      <c r="H193" s="50">
        <f t="shared" si="16"/>
        <v>5.1178424232723776</v>
      </c>
      <c r="I193" s="49">
        <f>VLOOKUP($A193,'Data shares'!$C:$FB,66)</f>
        <v>12456000</v>
      </c>
      <c r="J193" s="49">
        <f>VLOOKUP($A193,'Data shares'!$C:$FB,67)</f>
        <v>7044000</v>
      </c>
      <c r="K193" s="50">
        <f t="shared" si="17"/>
        <v>43.448940269749521</v>
      </c>
      <c r="L193" s="50">
        <f>VLOOKUP($A193,'Data shares'!$C:$FB,118)</f>
        <v>0.56000000000000005</v>
      </c>
      <c r="M193" s="50">
        <f>VLOOKUP($A193,'Data shares'!$C:$FB,119)</f>
        <v>0.56000000000000005</v>
      </c>
      <c r="N193" s="50">
        <f>VLOOKUP($A193,'Data shares'!$C:$FB,121)*100</f>
        <v>0</v>
      </c>
      <c r="O193" s="50">
        <f>VLOOKUP($A193,'Data shares'!$C:$FB,124)</f>
        <v>0.28000000000000003</v>
      </c>
      <c r="P193" s="50">
        <f>VLOOKUP($A193,'Data shares'!$C:$FB,125)</f>
        <v>0.31</v>
      </c>
      <c r="Q193" s="50">
        <f>VLOOKUP($A193,'Data shares'!$C:$FB,127)*100</f>
        <v>-9.68</v>
      </c>
    </row>
    <row r="194" spans="1:17" x14ac:dyDescent="0.25">
      <c r="A194" s="97" t="str">
        <f>'Snapshot (Value)'!A198</f>
        <v>TATACONSUM</v>
      </c>
      <c r="B194" s="140">
        <f>VLOOKUP($A194,'Data shares'!$C:$FB,7)</f>
        <v>1152.5999999999999</v>
      </c>
      <c r="C194" s="140">
        <f>VLOOKUP($A194,'Data shares'!$C:$FB,3)</f>
        <v>1155.7</v>
      </c>
      <c r="D194" s="140">
        <f>VLOOKUP($A194,'Data shares'!$C:$FB,4)</f>
        <v>1156.2</v>
      </c>
      <c r="E194" s="50">
        <f t="shared" si="15"/>
        <v>-4.3245113302196846E-2</v>
      </c>
      <c r="F194" s="49">
        <f>VLOOKUP($A194,'Data shares'!$C:$FB,98)</f>
        <v>21486850</v>
      </c>
      <c r="G194" s="49">
        <f>VLOOKUP($A194,'Data shares'!$C:$FB,99)</f>
        <v>21430750</v>
      </c>
      <c r="H194" s="50">
        <f t="shared" si="16"/>
        <v>0.26177338637238545</v>
      </c>
      <c r="I194" s="49">
        <f>VLOOKUP($A194,'Data shares'!$C:$FB,66)</f>
        <v>3795000</v>
      </c>
      <c r="J194" s="49">
        <f>VLOOKUP($A194,'Data shares'!$C:$FB,67)</f>
        <v>6111600</v>
      </c>
      <c r="K194" s="50">
        <f t="shared" si="17"/>
        <v>-61.043478260869563</v>
      </c>
      <c r="L194" s="50">
        <f>VLOOKUP($A194,'Data shares'!$C:$FB,118)</f>
        <v>0.75</v>
      </c>
      <c r="M194" s="50">
        <f>VLOOKUP($A194,'Data shares'!$C:$FB,119)</f>
        <v>0.77</v>
      </c>
      <c r="N194" s="50">
        <f>VLOOKUP($A194,'Data shares'!$C:$FB,121)*100</f>
        <v>-2.6</v>
      </c>
      <c r="O194" s="50">
        <f>VLOOKUP($A194,'Data shares'!$C:$FB,124)</f>
        <v>0.3</v>
      </c>
      <c r="P194" s="50">
        <f>VLOOKUP($A194,'Data shares'!$C:$FB,125)</f>
        <v>0.56999999999999995</v>
      </c>
      <c r="Q194" s="50">
        <f>VLOOKUP($A194,'Data shares'!$C:$FB,127)*100</f>
        <v>-47.370000000000005</v>
      </c>
    </row>
    <row r="195" spans="1:17" x14ac:dyDescent="0.25">
      <c r="A195" s="97" t="str">
        <f>'Snapshot (Value)'!A199</f>
        <v>TATAELXSI</v>
      </c>
      <c r="B195" s="140">
        <f>VLOOKUP($A195,'Data shares'!$C:$FB,7)</f>
        <v>5250.5</v>
      </c>
      <c r="C195" s="140">
        <f>VLOOKUP($A195,'Data shares'!$C:$FB,3)</f>
        <v>5240</v>
      </c>
      <c r="D195" s="140">
        <f>VLOOKUP($A195,'Data shares'!$C:$FB,4)</f>
        <v>5385.5</v>
      </c>
      <c r="E195" s="50">
        <f t="shared" si="15"/>
        <v>-2.7016990065917743</v>
      </c>
      <c r="F195" s="49">
        <f>VLOOKUP($A195,'Data shares'!$C:$FB,98)</f>
        <v>3893700</v>
      </c>
      <c r="G195" s="49">
        <f>VLOOKUP($A195,'Data shares'!$C:$FB,99)</f>
        <v>3662200</v>
      </c>
      <c r="H195" s="50">
        <f t="shared" si="16"/>
        <v>6.3213369013161493</v>
      </c>
      <c r="I195" s="49">
        <f>VLOOKUP($A195,'Data shares'!$C:$FB,66)</f>
        <v>2234900</v>
      </c>
      <c r="J195" s="49">
        <f>VLOOKUP($A195,'Data shares'!$C:$FB,67)</f>
        <v>4082300</v>
      </c>
      <c r="K195" s="50">
        <f t="shared" si="17"/>
        <v>-82.661416618193201</v>
      </c>
      <c r="L195" s="50">
        <f>VLOOKUP($A195,'Data shares'!$C:$FB,118)</f>
        <v>0.27</v>
      </c>
      <c r="M195" s="50">
        <f>VLOOKUP($A195,'Data shares'!$C:$FB,119)</f>
        <v>0.31</v>
      </c>
      <c r="N195" s="50">
        <f>VLOOKUP($A195,'Data shares'!$C:$FB,121)*100</f>
        <v>-12.9</v>
      </c>
      <c r="O195" s="50">
        <f>VLOOKUP($A195,'Data shares'!$C:$FB,124)</f>
        <v>0.31</v>
      </c>
      <c r="P195" s="50">
        <f>VLOOKUP($A195,'Data shares'!$C:$FB,125)</f>
        <v>0.19</v>
      </c>
      <c r="Q195" s="50">
        <f>VLOOKUP($A195,'Data shares'!$C:$FB,127)*100</f>
        <v>63.160000000000004</v>
      </c>
    </row>
    <row r="196" spans="1:17" x14ac:dyDescent="0.25">
      <c r="A196" s="97" t="str">
        <f>'Snapshot (Value)'!A200</f>
        <v>TATAPOWER</v>
      </c>
      <c r="B196" s="140">
        <f>VLOOKUP($A196,'Data shares'!$C:$FB,7)</f>
        <v>375.65</v>
      </c>
      <c r="C196" s="140">
        <f>VLOOKUP($A196,'Data shares'!$C:$FB,3)</f>
        <v>376.8</v>
      </c>
      <c r="D196" s="140">
        <f>VLOOKUP($A196,'Data shares'!$C:$FB,4)</f>
        <v>370.8</v>
      </c>
      <c r="E196" s="50">
        <f t="shared" si="15"/>
        <v>1.6181229773462782</v>
      </c>
      <c r="F196" s="49">
        <f>VLOOKUP($A196,'Data shares'!$C:$FB,98)</f>
        <v>120493550</v>
      </c>
      <c r="G196" s="49">
        <f>VLOOKUP($A196,'Data shares'!$C:$FB,99)</f>
        <v>119075450</v>
      </c>
      <c r="H196" s="50">
        <f t="shared" si="16"/>
        <v>1.1909255854166414</v>
      </c>
      <c r="I196" s="49">
        <f>VLOOKUP($A196,'Data shares'!$C:$FB,66)</f>
        <v>69054800</v>
      </c>
      <c r="J196" s="49">
        <f>VLOOKUP($A196,'Data shares'!$C:$FB,67)</f>
        <v>30117950</v>
      </c>
      <c r="K196" s="50">
        <f t="shared" si="17"/>
        <v>56.385435914664875</v>
      </c>
      <c r="L196" s="50">
        <f>VLOOKUP($A196,'Data shares'!$C:$FB,118)</f>
        <v>0.79</v>
      </c>
      <c r="M196" s="50">
        <f>VLOOKUP($A196,'Data shares'!$C:$FB,119)</f>
        <v>0.81</v>
      </c>
      <c r="N196" s="50">
        <f>VLOOKUP($A196,'Data shares'!$C:$FB,121)*100</f>
        <v>-2.4699999999999998</v>
      </c>
      <c r="O196" s="50">
        <f>VLOOKUP($A196,'Data shares'!$C:$FB,124)</f>
        <v>0.39</v>
      </c>
      <c r="P196" s="50">
        <f>VLOOKUP($A196,'Data shares'!$C:$FB,125)</f>
        <v>0.62</v>
      </c>
      <c r="Q196" s="50">
        <f>VLOOKUP($A196,'Data shares'!$C:$FB,127)*100</f>
        <v>-37.1</v>
      </c>
    </row>
    <row r="197" spans="1:17" x14ac:dyDescent="0.25">
      <c r="A197" s="97" t="str">
        <f>'Snapshot (Value)'!A201</f>
        <v>TATASTEEL</v>
      </c>
      <c r="B197" s="140">
        <f>VLOOKUP($A197,'Data shares'!$C:$FB,7)</f>
        <v>207.59</v>
      </c>
      <c r="C197" s="140">
        <f>VLOOKUP($A197,'Data shares'!$C:$FB,3)</f>
        <v>208.13</v>
      </c>
      <c r="D197" s="140">
        <f>VLOOKUP($A197,'Data shares'!$C:$FB,4)</f>
        <v>208.09</v>
      </c>
      <c r="E197" s="50">
        <f t="shared" si="15"/>
        <v>1.9222451823726294E-2</v>
      </c>
      <c r="F197" s="49">
        <f>VLOOKUP($A197,'Data shares'!$C:$FB,98)</f>
        <v>475156000</v>
      </c>
      <c r="G197" s="49">
        <f>VLOOKUP($A197,'Data shares'!$C:$FB,99)</f>
        <v>477526500</v>
      </c>
      <c r="H197" s="50">
        <f t="shared" si="16"/>
        <v>-0.49641224099604941</v>
      </c>
      <c r="I197" s="49">
        <f>VLOOKUP($A197,'Data shares'!$C:$FB,66)</f>
        <v>438185000</v>
      </c>
      <c r="J197" s="49">
        <f>VLOOKUP($A197,'Data shares'!$C:$FB,67)</f>
        <v>1105401000</v>
      </c>
      <c r="K197" s="50">
        <f t="shared" si="17"/>
        <v>-152.26810593699008</v>
      </c>
      <c r="L197" s="50">
        <f>VLOOKUP($A197,'Data shares'!$C:$FB,118)</f>
        <v>0.82</v>
      </c>
      <c r="M197" s="50">
        <f>VLOOKUP($A197,'Data shares'!$C:$FB,119)</f>
        <v>0.81</v>
      </c>
      <c r="N197" s="50">
        <f>VLOOKUP($A197,'Data shares'!$C:$FB,121)*100</f>
        <v>1.23</v>
      </c>
      <c r="O197" s="50">
        <f>VLOOKUP($A197,'Data shares'!$C:$FB,124)</f>
        <v>0.56000000000000005</v>
      </c>
      <c r="P197" s="50">
        <f>VLOOKUP($A197,'Data shares'!$C:$FB,125)</f>
        <v>0.45</v>
      </c>
      <c r="Q197" s="50">
        <f>VLOOKUP($A197,'Data shares'!$C:$FB,127)*100</f>
        <v>24.44</v>
      </c>
    </row>
    <row r="198" spans="1:17" x14ac:dyDescent="0.25">
      <c r="A198" s="97" t="str">
        <f>'Snapshot (Value)'!A202</f>
        <v>TATATECH</v>
      </c>
      <c r="B198" s="140">
        <f>VLOOKUP($A198,'Data shares'!$C:$FB,7)</f>
        <v>627.95000000000005</v>
      </c>
      <c r="C198" s="140">
        <f>VLOOKUP($A198,'Data shares'!$C:$FB,3)</f>
        <v>628.65</v>
      </c>
      <c r="D198" s="140">
        <f>VLOOKUP($A198,'Data shares'!$C:$FB,4)</f>
        <v>632.79999999999995</v>
      </c>
      <c r="E198" s="50">
        <f t="shared" si="15"/>
        <v>-0.65581542351453503</v>
      </c>
      <c r="F198" s="49">
        <f>VLOOKUP($A198,'Data shares'!$C:$FB,98)</f>
        <v>20884000</v>
      </c>
      <c r="G198" s="49">
        <f>VLOOKUP($A198,'Data shares'!$C:$FB,99)</f>
        <v>20547200</v>
      </c>
      <c r="H198" s="50">
        <f t="shared" si="16"/>
        <v>1.6391527799408192</v>
      </c>
      <c r="I198" s="49">
        <f>VLOOKUP($A198,'Data shares'!$C:$FB,66)</f>
        <v>4602400</v>
      </c>
      <c r="J198" s="49">
        <f>VLOOKUP($A198,'Data shares'!$C:$FB,67)</f>
        <v>11473600</v>
      </c>
      <c r="K198" s="50">
        <f t="shared" si="17"/>
        <v>-149.29601946810359</v>
      </c>
      <c r="L198" s="50">
        <f>VLOOKUP($A198,'Data shares'!$C:$FB,118)</f>
        <v>0.68</v>
      </c>
      <c r="M198" s="50">
        <f>VLOOKUP($A198,'Data shares'!$C:$FB,119)</f>
        <v>0.67</v>
      </c>
      <c r="N198" s="50">
        <f>VLOOKUP($A198,'Data shares'!$C:$FB,121)*100</f>
        <v>1.49</v>
      </c>
      <c r="O198" s="50">
        <f>VLOOKUP($A198,'Data shares'!$C:$FB,124)</f>
        <v>0.62</v>
      </c>
      <c r="P198" s="50">
        <f>VLOOKUP($A198,'Data shares'!$C:$FB,125)</f>
        <v>0.33</v>
      </c>
      <c r="Q198" s="50">
        <f>VLOOKUP($A198,'Data shares'!$C:$FB,127)*100</f>
        <v>87.88</v>
      </c>
    </row>
    <row r="199" spans="1:17" x14ac:dyDescent="0.25">
      <c r="A199" s="97" t="str">
        <f>'Snapshot (Value)'!A203</f>
        <v>TCS</v>
      </c>
      <c r="B199" s="140">
        <f>VLOOKUP($A199,'Data shares'!$C:$FB,7)</f>
        <v>2909.8</v>
      </c>
      <c r="C199" s="140">
        <f>VLOOKUP($A199,'Data shares'!$C:$FB,3)</f>
        <v>2918.3</v>
      </c>
      <c r="D199" s="140">
        <f>VLOOKUP($A199,'Data shares'!$C:$FB,4)</f>
        <v>2991.7</v>
      </c>
      <c r="E199" s="50">
        <f t="shared" si="15"/>
        <v>-2.453454557609374</v>
      </c>
      <c r="F199" s="49">
        <f>VLOOKUP($A199,'Data shares'!$C:$FB,98)</f>
        <v>61510400</v>
      </c>
      <c r="G199" s="49">
        <f>VLOOKUP($A199,'Data shares'!$C:$FB,99)</f>
        <v>57831725</v>
      </c>
      <c r="H199" s="50">
        <f t="shared" si="16"/>
        <v>6.3609982237258178</v>
      </c>
      <c r="I199" s="49">
        <f>VLOOKUP($A199,'Data shares'!$C:$FB,66)</f>
        <v>43380750</v>
      </c>
      <c r="J199" s="49">
        <f>VLOOKUP($A199,'Data shares'!$C:$FB,67)</f>
        <v>41552000</v>
      </c>
      <c r="K199" s="50">
        <f t="shared" si="17"/>
        <v>4.2155794909032238</v>
      </c>
      <c r="L199" s="50">
        <f>VLOOKUP($A199,'Data shares'!$C:$FB,118)</f>
        <v>0.56999999999999995</v>
      </c>
      <c r="M199" s="50">
        <f>VLOOKUP($A199,'Data shares'!$C:$FB,119)</f>
        <v>0.56999999999999995</v>
      </c>
      <c r="N199" s="50">
        <f>VLOOKUP($A199,'Data shares'!$C:$FB,121)*100</f>
        <v>0</v>
      </c>
      <c r="O199" s="50">
        <f>VLOOKUP($A199,'Data shares'!$C:$FB,124)</f>
        <v>0.63</v>
      </c>
      <c r="P199" s="50">
        <f>VLOOKUP($A199,'Data shares'!$C:$FB,125)</f>
        <v>0.45</v>
      </c>
      <c r="Q199" s="50">
        <f>VLOOKUP($A199,'Data shares'!$C:$FB,127)*100</f>
        <v>40</v>
      </c>
    </row>
    <row r="200" spans="1:17" x14ac:dyDescent="0.25">
      <c r="A200" s="97" t="str">
        <f>'Snapshot (Value)'!A204</f>
        <v>TECHM</v>
      </c>
      <c r="B200" s="140">
        <f>VLOOKUP($A200,'Data shares'!$C:$FB,7)</f>
        <v>1634.4</v>
      </c>
      <c r="C200" s="140">
        <f>VLOOKUP($A200,'Data shares'!$C:$FB,3)</f>
        <v>1633.9</v>
      </c>
      <c r="D200" s="140">
        <f>VLOOKUP($A200,'Data shares'!$C:$FB,4)</f>
        <v>1645.4</v>
      </c>
      <c r="E200" s="50">
        <f t="shared" si="15"/>
        <v>-0.69891819618329887</v>
      </c>
      <c r="F200" s="49">
        <f>VLOOKUP($A200,'Data shares'!$C:$FB,98)</f>
        <v>32502600</v>
      </c>
      <c r="G200" s="49">
        <f>VLOOKUP($A200,'Data shares'!$C:$FB,99)</f>
        <v>32535000</v>
      </c>
      <c r="H200" s="50">
        <f t="shared" si="16"/>
        <v>-9.9585062240663894E-2</v>
      </c>
      <c r="I200" s="49">
        <f>VLOOKUP($A200,'Data shares'!$C:$FB,66)</f>
        <v>12909600</v>
      </c>
      <c r="J200" s="49">
        <f>VLOOKUP($A200,'Data shares'!$C:$FB,67)</f>
        <v>24935400</v>
      </c>
      <c r="K200" s="50">
        <f t="shared" si="17"/>
        <v>-93.15393195761294</v>
      </c>
      <c r="L200" s="50">
        <f>VLOOKUP($A200,'Data shares'!$C:$FB,118)</f>
        <v>0.62</v>
      </c>
      <c r="M200" s="50">
        <f>VLOOKUP($A200,'Data shares'!$C:$FB,119)</f>
        <v>0.62</v>
      </c>
      <c r="N200" s="50">
        <f>VLOOKUP($A200,'Data shares'!$C:$FB,121)*100</f>
        <v>0</v>
      </c>
      <c r="O200" s="50">
        <f>VLOOKUP($A200,'Data shares'!$C:$FB,124)</f>
        <v>0.8</v>
      </c>
      <c r="P200" s="50">
        <f>VLOOKUP($A200,'Data shares'!$C:$FB,125)</f>
        <v>0.44</v>
      </c>
      <c r="Q200" s="50">
        <f>VLOOKUP($A200,'Data shares'!$C:$FB,127)*100</f>
        <v>81.820000000000007</v>
      </c>
    </row>
    <row r="201" spans="1:17" x14ac:dyDescent="0.25">
      <c r="A201" s="97" t="str">
        <f>'Snapshot (Value)'!A205</f>
        <v>TIINDIA</v>
      </c>
      <c r="B201" s="140">
        <f>VLOOKUP($A201,'Data shares'!$C:$FB,7)</f>
        <v>2450.1999999999998</v>
      </c>
      <c r="C201" s="140">
        <f>VLOOKUP($A201,'Data shares'!$C:$FB,3)</f>
        <v>2451.8000000000002</v>
      </c>
      <c r="D201" s="140">
        <f>VLOOKUP($A201,'Data shares'!$C:$FB,4)</f>
        <v>2448.8000000000002</v>
      </c>
      <c r="E201" s="50">
        <f t="shared" si="15"/>
        <v>0.12250898399215943</v>
      </c>
      <c r="F201" s="49">
        <f>VLOOKUP($A201,'Data shares'!$C:$FB,98)</f>
        <v>6130200</v>
      </c>
      <c r="G201" s="49">
        <f>VLOOKUP($A201,'Data shares'!$C:$FB,99)</f>
        <v>6272800</v>
      </c>
      <c r="H201" s="50">
        <f t="shared" si="16"/>
        <v>-2.2733069761510012</v>
      </c>
      <c r="I201" s="49">
        <f>VLOOKUP($A201,'Data shares'!$C:$FB,66)</f>
        <v>3146800</v>
      </c>
      <c r="J201" s="49">
        <f>VLOOKUP($A201,'Data shares'!$C:$FB,67)</f>
        <v>7024400</v>
      </c>
      <c r="K201" s="50">
        <f t="shared" si="17"/>
        <v>-123.22359222066861</v>
      </c>
      <c r="L201" s="50">
        <f>VLOOKUP($A201,'Data shares'!$C:$FB,118)</f>
        <v>0.55000000000000004</v>
      </c>
      <c r="M201" s="50">
        <f>VLOOKUP($A201,'Data shares'!$C:$FB,119)</f>
        <v>0.54</v>
      </c>
      <c r="N201" s="50">
        <f>VLOOKUP($A201,'Data shares'!$C:$FB,121)*100</f>
        <v>1.8499999999999999</v>
      </c>
      <c r="O201" s="50">
        <f>VLOOKUP($A201,'Data shares'!$C:$FB,124)</f>
        <v>0.27</v>
      </c>
      <c r="P201" s="50">
        <f>VLOOKUP($A201,'Data shares'!$C:$FB,125)</f>
        <v>0.38</v>
      </c>
      <c r="Q201" s="50">
        <f>VLOOKUP($A201,'Data shares'!$C:$FB,127)*100</f>
        <v>-28.95</v>
      </c>
    </row>
    <row r="202" spans="1:17" x14ac:dyDescent="0.25">
      <c r="A202" s="97" t="str">
        <f>'Snapshot (Value)'!A206</f>
        <v>TITAN</v>
      </c>
      <c r="B202" s="140">
        <f>VLOOKUP($A202,'Data shares'!$C:$FB,7)</f>
        <v>4249.1000000000004</v>
      </c>
      <c r="C202" s="140">
        <f>VLOOKUP($A202,'Data shares'!$C:$FB,3)</f>
        <v>4252.5</v>
      </c>
      <c r="D202" s="140">
        <f>VLOOKUP($A202,'Data shares'!$C:$FB,4)</f>
        <v>4283.1000000000004</v>
      </c>
      <c r="E202" s="50">
        <f t="shared" si="15"/>
        <v>-0.71443580584157174</v>
      </c>
      <c r="F202" s="49">
        <f>VLOOKUP($A202,'Data shares'!$C:$FB,98)</f>
        <v>23079175</v>
      </c>
      <c r="G202" s="49">
        <f>VLOOKUP($A202,'Data shares'!$C:$FB,99)</f>
        <v>19763975</v>
      </c>
      <c r="H202" s="50">
        <f t="shared" si="16"/>
        <v>16.773953620159912</v>
      </c>
      <c r="I202" s="49">
        <f>VLOOKUP($A202,'Data shares'!$C:$FB,66)</f>
        <v>73587850</v>
      </c>
      <c r="J202" s="49">
        <f>VLOOKUP($A202,'Data shares'!$C:$FB,67)</f>
        <v>35051625</v>
      </c>
      <c r="K202" s="50">
        <f t="shared" si="17"/>
        <v>52.367646289435008</v>
      </c>
      <c r="L202" s="50">
        <f>VLOOKUP($A202,'Data shares'!$C:$FB,118)</f>
        <v>0.49</v>
      </c>
      <c r="M202" s="50">
        <f>VLOOKUP($A202,'Data shares'!$C:$FB,119)</f>
        <v>0.57999999999999996</v>
      </c>
      <c r="N202" s="50">
        <f>VLOOKUP($A202,'Data shares'!$C:$FB,121)*100</f>
        <v>-15.52</v>
      </c>
      <c r="O202" s="50">
        <f>VLOOKUP($A202,'Data shares'!$C:$FB,124)</f>
        <v>0.49</v>
      </c>
      <c r="P202" s="50">
        <f>VLOOKUP($A202,'Data shares'!$C:$FB,125)</f>
        <v>0.31</v>
      </c>
      <c r="Q202" s="50">
        <f>VLOOKUP($A202,'Data shares'!$C:$FB,127)*100</f>
        <v>58.06</v>
      </c>
    </row>
    <row r="203" spans="1:17" x14ac:dyDescent="0.25">
      <c r="A203" s="97" t="str">
        <f>'Snapshot (Value)'!A207</f>
        <v>TMPV</v>
      </c>
      <c r="B203" s="140">
        <f>VLOOKUP($A203,'Data shares'!$C:$FB,7)</f>
        <v>384.7</v>
      </c>
      <c r="C203" s="140">
        <f>VLOOKUP($A203,'Data shares'!$C:$FB,3)</f>
        <v>385.75</v>
      </c>
      <c r="D203" s="140">
        <f>VLOOKUP($A203,'Data shares'!$C:$FB,4)</f>
        <v>380.55</v>
      </c>
      <c r="E203" s="50">
        <f t="shared" si="15"/>
        <v>1.3664433057416867</v>
      </c>
      <c r="F203" s="49">
        <f>VLOOKUP($A203,'Data shares'!$C:$FB,98)</f>
        <v>152654400</v>
      </c>
      <c r="G203" s="49">
        <f>VLOOKUP($A203,'Data shares'!$C:$FB,99)</f>
        <v>154205600</v>
      </c>
      <c r="H203" s="50">
        <f t="shared" si="16"/>
        <v>-1.0059297457420484</v>
      </c>
      <c r="I203" s="49">
        <f>VLOOKUP($A203,'Data shares'!$C:$FB,66)</f>
        <v>130781600</v>
      </c>
      <c r="J203" s="49">
        <f>VLOOKUP($A203,'Data shares'!$C:$FB,67)</f>
        <v>78276000</v>
      </c>
      <c r="K203" s="50">
        <f t="shared" si="17"/>
        <v>40.147543691161445</v>
      </c>
      <c r="L203" s="50">
        <f>VLOOKUP($A203,'Data shares'!$C:$FB,118)</f>
        <v>0.84</v>
      </c>
      <c r="M203" s="50">
        <f>VLOOKUP($A203,'Data shares'!$C:$FB,119)</f>
        <v>0.87</v>
      </c>
      <c r="N203" s="50">
        <f>VLOOKUP($A203,'Data shares'!$C:$FB,121)*100</f>
        <v>-3.45</v>
      </c>
      <c r="O203" s="50">
        <f>VLOOKUP($A203,'Data shares'!$C:$FB,124)</f>
        <v>0.5</v>
      </c>
      <c r="P203" s="50">
        <f>VLOOKUP($A203,'Data shares'!$C:$FB,125)</f>
        <v>0.53</v>
      </c>
      <c r="Q203" s="50">
        <f>VLOOKUP($A203,'Data shares'!$C:$FB,127)*100</f>
        <v>-5.66</v>
      </c>
    </row>
    <row r="204" spans="1:17" x14ac:dyDescent="0.25">
      <c r="A204" s="97" t="str">
        <f>'Snapshot (Value)'!A208</f>
        <v>TORNTPHARM</v>
      </c>
      <c r="B204" s="140">
        <f>VLOOKUP($A204,'Data shares'!$C:$FB,7)</f>
        <v>4056.7</v>
      </c>
      <c r="C204" s="140">
        <f>VLOOKUP($A204,'Data shares'!$C:$FB,3)</f>
        <v>4026.5</v>
      </c>
      <c r="D204" s="140">
        <f>VLOOKUP($A204,'Data shares'!$C:$FB,4)</f>
        <v>4049</v>
      </c>
      <c r="E204" s="50">
        <f t="shared" si="15"/>
        <v>-0.55569276364534448</v>
      </c>
      <c r="F204" s="49">
        <f>VLOOKUP($A204,'Data shares'!$C:$FB,98)</f>
        <v>3917500</v>
      </c>
      <c r="G204" s="49">
        <f>VLOOKUP($A204,'Data shares'!$C:$FB,99)</f>
        <v>3682000</v>
      </c>
      <c r="H204" s="50">
        <f t="shared" si="16"/>
        <v>6.3959804454101032</v>
      </c>
      <c r="I204" s="49">
        <f>VLOOKUP($A204,'Data shares'!$C:$FB,66)</f>
        <v>1466000</v>
      </c>
      <c r="J204" s="49">
        <f>VLOOKUP($A204,'Data shares'!$C:$FB,67)</f>
        <v>1807500</v>
      </c>
      <c r="K204" s="50">
        <f t="shared" si="17"/>
        <v>-23.294679399727151</v>
      </c>
      <c r="L204" s="50">
        <f>VLOOKUP($A204,'Data shares'!$C:$FB,118)</f>
        <v>0.55000000000000004</v>
      </c>
      <c r="M204" s="50">
        <f>VLOOKUP($A204,'Data shares'!$C:$FB,119)</f>
        <v>0.59</v>
      </c>
      <c r="N204" s="50">
        <f>VLOOKUP($A204,'Data shares'!$C:$FB,121)*100</f>
        <v>-6.78</v>
      </c>
      <c r="O204" s="50">
        <f>VLOOKUP($A204,'Data shares'!$C:$FB,124)</f>
        <v>0.31</v>
      </c>
      <c r="P204" s="50">
        <f>VLOOKUP($A204,'Data shares'!$C:$FB,125)</f>
        <v>0.17</v>
      </c>
      <c r="Q204" s="50">
        <f>VLOOKUP($A204,'Data shares'!$C:$FB,127)*100</f>
        <v>82.35</v>
      </c>
    </row>
    <row r="205" spans="1:17" x14ac:dyDescent="0.25">
      <c r="A205" s="97" t="str">
        <f>'Snapshot (Value)'!A209</f>
        <v>TORNTPOWER</v>
      </c>
      <c r="B205" s="140">
        <f>VLOOKUP($A205,'Data shares'!$C:$FB,7)</f>
        <v>1428.6</v>
      </c>
      <c r="C205" s="140">
        <f>VLOOKUP($A205,'Data shares'!$C:$FB,3)</f>
        <v>1414.8</v>
      </c>
      <c r="D205" s="140">
        <f>VLOOKUP($A205,'Data shares'!$C:$FB,4)</f>
        <v>1475.2</v>
      </c>
      <c r="E205" s="50">
        <f t="shared" si="15"/>
        <v>-4.0943600867679022</v>
      </c>
      <c r="F205" s="49">
        <f>VLOOKUP($A205,'Data shares'!$C:$FB,98)</f>
        <v>10513225</v>
      </c>
      <c r="G205" s="49">
        <f>VLOOKUP($A205,'Data shares'!$C:$FB,99)</f>
        <v>8369100</v>
      </c>
      <c r="H205" s="50">
        <f t="shared" si="16"/>
        <v>25.619540930327034</v>
      </c>
      <c r="I205" s="49">
        <f>VLOOKUP($A205,'Data shares'!$C:$FB,66)</f>
        <v>31136775</v>
      </c>
      <c r="J205" s="49">
        <f>VLOOKUP($A205,'Data shares'!$C:$FB,67)</f>
        <v>20794825</v>
      </c>
      <c r="K205" s="50">
        <f t="shared" si="17"/>
        <v>33.214583077406054</v>
      </c>
      <c r="L205" s="50">
        <f>VLOOKUP($A205,'Data shares'!$C:$FB,118)</f>
        <v>0.55000000000000004</v>
      </c>
      <c r="M205" s="50">
        <f>VLOOKUP($A205,'Data shares'!$C:$FB,119)</f>
        <v>0.84</v>
      </c>
      <c r="N205" s="50">
        <f>VLOOKUP($A205,'Data shares'!$C:$FB,121)*100</f>
        <v>-34.520000000000003</v>
      </c>
      <c r="O205" s="50">
        <f>VLOOKUP($A205,'Data shares'!$C:$FB,124)</f>
        <v>0.52</v>
      </c>
      <c r="P205" s="50">
        <f>VLOOKUP($A205,'Data shares'!$C:$FB,125)</f>
        <v>0.35</v>
      </c>
      <c r="Q205" s="50">
        <f>VLOOKUP($A205,'Data shares'!$C:$FB,127)*100</f>
        <v>48.57</v>
      </c>
    </row>
    <row r="206" spans="1:17" x14ac:dyDescent="0.25">
      <c r="A206" s="97" t="str">
        <f>'Snapshot (Value)'!A210</f>
        <v>TRENT</v>
      </c>
      <c r="B206" s="140">
        <f>VLOOKUP($A206,'Data shares'!$C:$FB,7)</f>
        <v>4218.8999999999996</v>
      </c>
      <c r="C206" s="140">
        <f>VLOOKUP($A206,'Data shares'!$C:$FB,3)</f>
        <v>4224</v>
      </c>
      <c r="D206" s="140">
        <f>VLOOKUP($A206,'Data shares'!$C:$FB,4)</f>
        <v>4186.3</v>
      </c>
      <c r="E206" s="50">
        <f t="shared" si="15"/>
        <v>0.9005565774072527</v>
      </c>
      <c r="F206" s="49">
        <f>VLOOKUP($A206,'Data shares'!$C:$FB,98)</f>
        <v>14467900</v>
      </c>
      <c r="G206" s="49">
        <f>VLOOKUP($A206,'Data shares'!$C:$FB,99)</f>
        <v>14585600</v>
      </c>
      <c r="H206" s="50">
        <f t="shared" si="16"/>
        <v>-0.8069602896007021</v>
      </c>
      <c r="I206" s="49">
        <f>VLOOKUP($A206,'Data shares'!$C:$FB,66)</f>
        <v>8125900</v>
      </c>
      <c r="J206" s="49">
        <f>VLOOKUP($A206,'Data shares'!$C:$FB,67)</f>
        <v>5248900</v>
      </c>
      <c r="K206" s="50">
        <f t="shared" si="17"/>
        <v>35.405308950393191</v>
      </c>
      <c r="L206" s="50">
        <f>VLOOKUP($A206,'Data shares'!$C:$FB,118)</f>
        <v>0.74</v>
      </c>
      <c r="M206" s="50">
        <f>VLOOKUP($A206,'Data shares'!$C:$FB,119)</f>
        <v>0.68</v>
      </c>
      <c r="N206" s="50">
        <f>VLOOKUP($A206,'Data shares'!$C:$FB,121)*100</f>
        <v>8.82</v>
      </c>
      <c r="O206" s="50">
        <f>VLOOKUP($A206,'Data shares'!$C:$FB,124)</f>
        <v>0.5</v>
      </c>
      <c r="P206" s="50">
        <f>VLOOKUP($A206,'Data shares'!$C:$FB,125)</f>
        <v>0.59</v>
      </c>
      <c r="Q206" s="50">
        <f>VLOOKUP($A206,'Data shares'!$C:$FB,127)*100</f>
        <v>-15.25</v>
      </c>
    </row>
    <row r="207" spans="1:17" x14ac:dyDescent="0.25">
      <c r="A207" s="97" t="str">
        <f>'Snapshot (Value)'!A211</f>
        <v>TVSMOTOR</v>
      </c>
      <c r="B207" s="140">
        <f>VLOOKUP($A207,'Data shares'!$C:$FB,7)</f>
        <v>3865.1</v>
      </c>
      <c r="C207" s="140">
        <f>VLOOKUP($A207,'Data shares'!$C:$FB,3)</f>
        <v>3868.5</v>
      </c>
      <c r="D207" s="140">
        <f>VLOOKUP($A207,'Data shares'!$C:$FB,4)</f>
        <v>3775.2</v>
      </c>
      <c r="E207" s="50">
        <f t="shared" si="15"/>
        <v>2.4713922441195217</v>
      </c>
      <c r="F207" s="49">
        <f>VLOOKUP($A207,'Data shares'!$C:$FB,98)</f>
        <v>11696475</v>
      </c>
      <c r="G207" s="49">
        <f>VLOOKUP($A207,'Data shares'!$C:$FB,99)</f>
        <v>11265800</v>
      </c>
      <c r="H207" s="50">
        <f t="shared" si="16"/>
        <v>3.822853237231266</v>
      </c>
      <c r="I207" s="49">
        <f>VLOOKUP($A207,'Data shares'!$C:$FB,66)</f>
        <v>17166800</v>
      </c>
      <c r="J207" s="49">
        <f>VLOOKUP($A207,'Data shares'!$C:$FB,67)</f>
        <v>2835875</v>
      </c>
      <c r="K207" s="50">
        <f t="shared" si="17"/>
        <v>83.480468112869019</v>
      </c>
      <c r="L207" s="50">
        <f>VLOOKUP($A207,'Data shares'!$C:$FB,118)</f>
        <v>0.68</v>
      </c>
      <c r="M207" s="50">
        <f>VLOOKUP($A207,'Data shares'!$C:$FB,119)</f>
        <v>0.7</v>
      </c>
      <c r="N207" s="50">
        <f>VLOOKUP($A207,'Data shares'!$C:$FB,121)*100</f>
        <v>-2.86</v>
      </c>
      <c r="O207" s="50">
        <f>VLOOKUP($A207,'Data shares'!$C:$FB,124)</f>
        <v>0.26</v>
      </c>
      <c r="P207" s="50">
        <f>VLOOKUP($A207,'Data shares'!$C:$FB,125)</f>
        <v>0.43</v>
      </c>
      <c r="Q207" s="50">
        <f>VLOOKUP($A207,'Data shares'!$C:$FB,127)*100</f>
        <v>-39.53</v>
      </c>
    </row>
    <row r="208" spans="1:17" x14ac:dyDescent="0.25">
      <c r="A208" s="97" t="str">
        <f>'Snapshot (Value)'!A212</f>
        <v>ULTRACEMCO</v>
      </c>
      <c r="B208" s="140">
        <f>VLOOKUP($A208,'Data shares'!$C:$FB,7)</f>
        <v>12969</v>
      </c>
      <c r="C208" s="140">
        <f>VLOOKUP($A208,'Data shares'!$C:$FB,3)</f>
        <v>12976</v>
      </c>
      <c r="D208" s="140">
        <f>VLOOKUP($A208,'Data shares'!$C:$FB,4)</f>
        <v>13029</v>
      </c>
      <c r="E208" s="50">
        <f t="shared" si="15"/>
        <v>-0.40678486453296486</v>
      </c>
      <c r="F208" s="49">
        <f>VLOOKUP($A208,'Data shares'!$C:$FB,98)</f>
        <v>3634900</v>
      </c>
      <c r="G208" s="49">
        <f>VLOOKUP($A208,'Data shares'!$C:$FB,99)</f>
        <v>3651650</v>
      </c>
      <c r="H208" s="50">
        <f t="shared" si="16"/>
        <v>-0.45869675352238026</v>
      </c>
      <c r="I208" s="49">
        <f>VLOOKUP($A208,'Data shares'!$C:$FB,66)</f>
        <v>1416150</v>
      </c>
      <c r="J208" s="49">
        <f>VLOOKUP($A208,'Data shares'!$C:$FB,67)</f>
        <v>2213950</v>
      </c>
      <c r="K208" s="50">
        <f t="shared" si="17"/>
        <v>-56.335840129929736</v>
      </c>
      <c r="L208" s="50">
        <f>VLOOKUP($A208,'Data shares'!$C:$FB,118)</f>
        <v>0.66</v>
      </c>
      <c r="M208" s="50">
        <f>VLOOKUP($A208,'Data shares'!$C:$FB,119)</f>
        <v>0.71</v>
      </c>
      <c r="N208" s="50">
        <f>VLOOKUP($A208,'Data shares'!$C:$FB,121)*100</f>
        <v>-7.04</v>
      </c>
      <c r="O208" s="50">
        <f>VLOOKUP($A208,'Data shares'!$C:$FB,124)</f>
        <v>0.6</v>
      </c>
      <c r="P208" s="50">
        <f>VLOOKUP($A208,'Data shares'!$C:$FB,125)</f>
        <v>0.56999999999999995</v>
      </c>
      <c r="Q208" s="50">
        <f>VLOOKUP($A208,'Data shares'!$C:$FB,127)*100</f>
        <v>5.26</v>
      </c>
    </row>
    <row r="209" spans="1:17" x14ac:dyDescent="0.25">
      <c r="A209" s="97" t="str">
        <f>'Snapshot (Value)'!A213</f>
        <v>UNIONBANK</v>
      </c>
      <c r="B209" s="140">
        <f>VLOOKUP($A209,'Data shares'!$C:$FB,7)</f>
        <v>180.33</v>
      </c>
      <c r="C209" s="140">
        <f>VLOOKUP($A209,'Data shares'!$C:$FB,3)</f>
        <v>180.43</v>
      </c>
      <c r="D209" s="140">
        <f>VLOOKUP($A209,'Data shares'!$C:$FB,4)</f>
        <v>179.41</v>
      </c>
      <c r="E209" s="50">
        <f t="shared" si="15"/>
        <v>0.56853018226409358</v>
      </c>
      <c r="F209" s="49">
        <f>VLOOKUP($A209,'Data shares'!$C:$FB,98)</f>
        <v>134166000</v>
      </c>
      <c r="G209" s="49">
        <f>VLOOKUP($A209,'Data shares'!$C:$FB,99)</f>
        <v>136024500</v>
      </c>
      <c r="H209" s="50">
        <f t="shared" si="16"/>
        <v>-1.3662979830839297</v>
      </c>
      <c r="I209" s="49">
        <f>VLOOKUP($A209,'Data shares'!$C:$FB,66)</f>
        <v>98004900</v>
      </c>
      <c r="J209" s="49">
        <f>VLOOKUP($A209,'Data shares'!$C:$FB,67)</f>
        <v>52015875</v>
      </c>
      <c r="K209" s="50">
        <f t="shared" si="17"/>
        <v>46.92523026909879</v>
      </c>
      <c r="L209" s="50">
        <f>VLOOKUP($A209,'Data shares'!$C:$FB,118)</f>
        <v>0.64</v>
      </c>
      <c r="M209" s="50">
        <f>VLOOKUP($A209,'Data shares'!$C:$FB,119)</f>
        <v>0.57999999999999996</v>
      </c>
      <c r="N209" s="50">
        <f>VLOOKUP($A209,'Data shares'!$C:$FB,121)*100</f>
        <v>10.34</v>
      </c>
      <c r="O209" s="50">
        <f>VLOOKUP($A209,'Data shares'!$C:$FB,124)</f>
        <v>0.28000000000000003</v>
      </c>
      <c r="P209" s="50">
        <f>VLOOKUP($A209,'Data shares'!$C:$FB,125)</f>
        <v>0.35</v>
      </c>
      <c r="Q209" s="50">
        <f>VLOOKUP($A209,'Data shares'!$C:$FB,127)*100</f>
        <v>-20</v>
      </c>
    </row>
    <row r="210" spans="1:17" x14ac:dyDescent="0.25">
      <c r="A210" s="97" t="str">
        <f>'Snapshot (Value)'!A214</f>
        <v>UNITDSPR</v>
      </c>
      <c r="B210" s="140">
        <f>VLOOKUP($A210,'Data shares'!$C:$FB,7)</f>
        <v>1412.9</v>
      </c>
      <c r="C210" s="140">
        <f>VLOOKUP($A210,'Data shares'!$C:$FB,3)</f>
        <v>1413.6</v>
      </c>
      <c r="D210" s="140">
        <f>VLOOKUP($A210,'Data shares'!$C:$FB,4)</f>
        <v>1412.7</v>
      </c>
      <c r="E210" s="50">
        <f t="shared" si="15"/>
        <v>6.3707793586739114E-2</v>
      </c>
      <c r="F210" s="49">
        <f>VLOOKUP($A210,'Data shares'!$C:$FB,98)</f>
        <v>15440400</v>
      </c>
      <c r="G210" s="49">
        <f>VLOOKUP($A210,'Data shares'!$C:$FB,99)</f>
        <v>15421200</v>
      </c>
      <c r="H210" s="50">
        <f t="shared" si="16"/>
        <v>0.12450392965527973</v>
      </c>
      <c r="I210" s="49">
        <f>VLOOKUP($A210,'Data shares'!$C:$FB,66)</f>
        <v>2604800</v>
      </c>
      <c r="J210" s="49">
        <f>VLOOKUP($A210,'Data shares'!$C:$FB,67)</f>
        <v>2760800</v>
      </c>
      <c r="K210" s="50">
        <f t="shared" si="17"/>
        <v>-5.9889434889434892</v>
      </c>
      <c r="L210" s="50">
        <f>VLOOKUP($A210,'Data shares'!$C:$FB,118)</f>
        <v>0.94</v>
      </c>
      <c r="M210" s="50">
        <f>VLOOKUP($A210,'Data shares'!$C:$FB,119)</f>
        <v>0.93</v>
      </c>
      <c r="N210" s="50">
        <f>VLOOKUP($A210,'Data shares'!$C:$FB,121)*100</f>
        <v>1.08</v>
      </c>
      <c r="O210" s="50">
        <f>VLOOKUP($A210,'Data shares'!$C:$FB,124)</f>
        <v>0.57999999999999996</v>
      </c>
      <c r="P210" s="50">
        <f>VLOOKUP($A210,'Data shares'!$C:$FB,125)</f>
        <v>0.42</v>
      </c>
      <c r="Q210" s="50">
        <f>VLOOKUP($A210,'Data shares'!$C:$FB,127)*100</f>
        <v>38.1</v>
      </c>
    </row>
    <row r="211" spans="1:17" x14ac:dyDescent="0.25">
      <c r="A211" s="97" t="str">
        <f>'Snapshot (Value)'!A215</f>
        <v>UNOMINDA</v>
      </c>
      <c r="B211" s="140">
        <f>VLOOKUP($A211,'Data shares'!$C:$FB,7)</f>
        <v>1245.8</v>
      </c>
      <c r="C211" s="140">
        <f>VLOOKUP($A211,'Data shares'!$C:$FB,3)</f>
        <v>1249.9000000000001</v>
      </c>
      <c r="D211" s="140">
        <f>VLOOKUP($A211,'Data shares'!$C:$FB,4)</f>
        <v>1234.3</v>
      </c>
      <c r="E211" s="50">
        <f t="shared" si="15"/>
        <v>1.2638742607145861</v>
      </c>
      <c r="F211" s="49">
        <f>VLOOKUP($A211,'Data shares'!$C:$FB,98)</f>
        <v>9609050</v>
      </c>
      <c r="G211" s="49">
        <f>VLOOKUP($A211,'Data shares'!$C:$FB,99)</f>
        <v>9689900</v>
      </c>
      <c r="H211" s="50">
        <f t="shared" si="16"/>
        <v>-0.83437393574753094</v>
      </c>
      <c r="I211" s="49">
        <f>VLOOKUP($A211,'Data shares'!$C:$FB,66)</f>
        <v>6647850</v>
      </c>
      <c r="J211" s="49">
        <f>VLOOKUP($A211,'Data shares'!$C:$FB,67)</f>
        <v>5303650</v>
      </c>
      <c r="K211" s="50">
        <f t="shared" si="17"/>
        <v>20.220071150823198</v>
      </c>
      <c r="L211" s="50">
        <f>VLOOKUP($A211,'Data shares'!$C:$FB,118)</f>
        <v>0.81</v>
      </c>
      <c r="M211" s="50">
        <f>VLOOKUP($A211,'Data shares'!$C:$FB,119)</f>
        <v>0.8</v>
      </c>
      <c r="N211" s="50">
        <f>VLOOKUP($A211,'Data shares'!$C:$FB,121)*100</f>
        <v>1.25</v>
      </c>
      <c r="O211" s="50">
        <f>VLOOKUP($A211,'Data shares'!$C:$FB,124)</f>
        <v>0.41</v>
      </c>
      <c r="P211" s="50">
        <f>VLOOKUP($A211,'Data shares'!$C:$FB,125)</f>
        <v>0.44</v>
      </c>
      <c r="Q211" s="50">
        <f>VLOOKUP($A211,'Data shares'!$C:$FB,127)*100</f>
        <v>-6.8199999999999994</v>
      </c>
    </row>
    <row r="212" spans="1:17" x14ac:dyDescent="0.25">
      <c r="A212" s="97" t="str">
        <f>'Snapshot (Value)'!A216</f>
        <v>UPL</v>
      </c>
      <c r="B212" s="140">
        <f>VLOOKUP($A212,'Data shares'!$C:$FB,7)</f>
        <v>749</v>
      </c>
      <c r="C212" s="140">
        <f>VLOOKUP($A212,'Data shares'!$C:$FB,3)</f>
        <v>750</v>
      </c>
      <c r="D212" s="140">
        <f>VLOOKUP($A212,'Data shares'!$C:$FB,4)</f>
        <v>747.9</v>
      </c>
      <c r="E212" s="50">
        <f t="shared" si="15"/>
        <v>0.28078620136382171</v>
      </c>
      <c r="F212" s="49">
        <f>VLOOKUP($A212,'Data shares'!$C:$FB,98)</f>
        <v>50370770</v>
      </c>
      <c r="G212" s="49">
        <f>VLOOKUP($A212,'Data shares'!$C:$FB,99)</f>
        <v>50681065</v>
      </c>
      <c r="H212" s="50">
        <f t="shared" si="16"/>
        <v>-0.61225035424965912</v>
      </c>
      <c r="I212" s="49">
        <f>VLOOKUP($A212,'Data shares'!$C:$FB,66)</f>
        <v>13357590</v>
      </c>
      <c r="J212" s="49">
        <f>VLOOKUP($A212,'Data shares'!$C:$FB,67)</f>
        <v>22287040</v>
      </c>
      <c r="K212" s="50">
        <f t="shared" si="17"/>
        <v>-66.849259484682491</v>
      </c>
      <c r="L212" s="50">
        <f>VLOOKUP($A212,'Data shares'!$C:$FB,118)</f>
        <v>0.59</v>
      </c>
      <c r="M212" s="50">
        <f>VLOOKUP($A212,'Data shares'!$C:$FB,119)</f>
        <v>0.57999999999999996</v>
      </c>
      <c r="N212" s="50">
        <f>VLOOKUP($A212,'Data shares'!$C:$FB,121)*100</f>
        <v>1.72</v>
      </c>
      <c r="O212" s="50">
        <f>VLOOKUP($A212,'Data shares'!$C:$FB,124)</f>
        <v>0.31</v>
      </c>
      <c r="P212" s="50">
        <f>VLOOKUP($A212,'Data shares'!$C:$FB,125)</f>
        <v>0.42</v>
      </c>
      <c r="Q212" s="50">
        <f>VLOOKUP($A212,'Data shares'!$C:$FB,127)*100</f>
        <v>-26.19</v>
      </c>
    </row>
    <row r="213" spans="1:17" x14ac:dyDescent="0.25">
      <c r="A213" s="97" t="str">
        <f>'Snapshot (Value)'!A217</f>
        <v>VBL</v>
      </c>
      <c r="B213" s="140">
        <f>VLOOKUP($A213,'Data shares'!$C:$FB,7)</f>
        <v>456.9</v>
      </c>
      <c r="C213" s="140">
        <f>VLOOKUP($A213,'Data shares'!$C:$FB,3)</f>
        <v>458.4</v>
      </c>
      <c r="D213" s="140">
        <f>VLOOKUP($A213,'Data shares'!$C:$FB,4)</f>
        <v>456.8</v>
      </c>
      <c r="E213" s="50">
        <f t="shared" si="15"/>
        <v>0.35026269702275964</v>
      </c>
      <c r="F213" s="49">
        <f>VLOOKUP($A213,'Data shares'!$C:$FB,98)</f>
        <v>80241750</v>
      </c>
      <c r="G213" s="49">
        <f>VLOOKUP($A213,'Data shares'!$C:$FB,99)</f>
        <v>80590500</v>
      </c>
      <c r="H213" s="50">
        <f t="shared" si="16"/>
        <v>-0.43274331341783456</v>
      </c>
      <c r="I213" s="49">
        <f>VLOOKUP($A213,'Data shares'!$C:$FB,66)</f>
        <v>15480000</v>
      </c>
      <c r="J213" s="49">
        <f>VLOOKUP($A213,'Data shares'!$C:$FB,67)</f>
        <v>33321375</v>
      </c>
      <c r="K213" s="50">
        <f t="shared" si="17"/>
        <v>-115.25436046511628</v>
      </c>
      <c r="L213" s="50">
        <f>VLOOKUP($A213,'Data shares'!$C:$FB,118)</f>
        <v>0.54</v>
      </c>
      <c r="M213" s="50">
        <f>VLOOKUP($A213,'Data shares'!$C:$FB,119)</f>
        <v>0.56000000000000005</v>
      </c>
      <c r="N213" s="50">
        <f>VLOOKUP($A213,'Data shares'!$C:$FB,121)*100</f>
        <v>-3.5700000000000003</v>
      </c>
      <c r="O213" s="50">
        <f>VLOOKUP($A213,'Data shares'!$C:$FB,124)</f>
        <v>0.37</v>
      </c>
      <c r="P213" s="50">
        <f>VLOOKUP($A213,'Data shares'!$C:$FB,125)</f>
        <v>0.51</v>
      </c>
      <c r="Q213" s="50">
        <f>VLOOKUP($A213,'Data shares'!$C:$FB,127)*100</f>
        <v>-27.450000000000003</v>
      </c>
    </row>
    <row r="214" spans="1:17" x14ac:dyDescent="0.25">
      <c r="A214" s="97" t="str">
        <f>'Snapshot (Value)'!A218</f>
        <v>VEDL</v>
      </c>
      <c r="B214" s="140">
        <f>VLOOKUP($A214,'Data shares'!$C:$FB,7)</f>
        <v>701.15</v>
      </c>
      <c r="C214" s="140">
        <f>VLOOKUP($A214,'Data shares'!$C:$FB,3)</f>
        <v>703.7</v>
      </c>
      <c r="D214" s="140">
        <f>VLOOKUP($A214,'Data shares'!$C:$FB,4)</f>
        <v>690.65</v>
      </c>
      <c r="E214" s="50">
        <f t="shared" si="15"/>
        <v>1.8895243611091099</v>
      </c>
      <c r="F214" s="49">
        <f>VLOOKUP($A214,'Data shares'!$C:$FB,98)</f>
        <v>174081250</v>
      </c>
      <c r="G214" s="49">
        <f>VLOOKUP($A214,'Data shares'!$C:$FB,99)</f>
        <v>176338700</v>
      </c>
      <c r="H214" s="50">
        <f t="shared" si="16"/>
        <v>-1.2801784293521503</v>
      </c>
      <c r="I214" s="49">
        <f>VLOOKUP($A214,'Data shares'!$C:$FB,66)</f>
        <v>94452950</v>
      </c>
      <c r="J214" s="49">
        <f>VLOOKUP($A214,'Data shares'!$C:$FB,67)</f>
        <v>82796550</v>
      </c>
      <c r="K214" s="50">
        <f t="shared" si="17"/>
        <v>12.340959175970681</v>
      </c>
      <c r="L214" s="50">
        <f>VLOOKUP($A214,'Data shares'!$C:$FB,118)</f>
        <v>0.63</v>
      </c>
      <c r="M214" s="50">
        <f>VLOOKUP($A214,'Data shares'!$C:$FB,119)</f>
        <v>0.61</v>
      </c>
      <c r="N214" s="50">
        <f>VLOOKUP($A214,'Data shares'!$C:$FB,121)*100</f>
        <v>3.2800000000000002</v>
      </c>
      <c r="O214" s="50">
        <f>VLOOKUP($A214,'Data shares'!$C:$FB,124)</f>
        <v>0.48</v>
      </c>
      <c r="P214" s="50">
        <f>VLOOKUP($A214,'Data shares'!$C:$FB,125)</f>
        <v>0.55000000000000004</v>
      </c>
      <c r="Q214" s="50">
        <f>VLOOKUP($A214,'Data shares'!$C:$FB,127)*100</f>
        <v>-12.73</v>
      </c>
    </row>
    <row r="215" spans="1:17" x14ac:dyDescent="0.25">
      <c r="A215" s="97" t="str">
        <f>'Snapshot (Value)'!A219</f>
        <v>VOLTAS</v>
      </c>
      <c r="B215" s="140">
        <f>VLOOKUP($A215,'Data shares'!$C:$FB,7)</f>
        <v>1506.5</v>
      </c>
      <c r="C215" s="140">
        <f>VLOOKUP($A215,'Data shares'!$C:$FB,3)</f>
        <v>1507.2</v>
      </c>
      <c r="D215" s="140">
        <f>VLOOKUP($A215,'Data shares'!$C:$FB,4)</f>
        <v>1480.4</v>
      </c>
      <c r="E215" s="50">
        <f t="shared" si="15"/>
        <v>1.8103215347203427</v>
      </c>
      <c r="F215" s="49">
        <f>VLOOKUP($A215,'Data shares'!$C:$FB,98)</f>
        <v>18867750</v>
      </c>
      <c r="G215" s="49">
        <f>VLOOKUP($A215,'Data shares'!$C:$FB,99)</f>
        <v>18525750</v>
      </c>
      <c r="H215" s="50">
        <f t="shared" si="16"/>
        <v>1.8460791061090644</v>
      </c>
      <c r="I215" s="49">
        <f>VLOOKUP($A215,'Data shares'!$C:$FB,66)</f>
        <v>10484625</v>
      </c>
      <c r="J215" s="49">
        <f>VLOOKUP($A215,'Data shares'!$C:$FB,67)</f>
        <v>18562125</v>
      </c>
      <c r="K215" s="50">
        <f t="shared" si="17"/>
        <v>-77.041382023677528</v>
      </c>
      <c r="L215" s="50">
        <f>VLOOKUP($A215,'Data shares'!$C:$FB,118)</f>
        <v>1.04</v>
      </c>
      <c r="M215" s="50">
        <f>VLOOKUP($A215,'Data shares'!$C:$FB,119)</f>
        <v>0.97</v>
      </c>
      <c r="N215" s="50">
        <f>VLOOKUP($A215,'Data shares'!$C:$FB,121)*100</f>
        <v>7.22</v>
      </c>
      <c r="O215" s="50">
        <f>VLOOKUP($A215,'Data shares'!$C:$FB,124)</f>
        <v>0.55000000000000004</v>
      </c>
      <c r="P215" s="50">
        <f>VLOOKUP($A215,'Data shares'!$C:$FB,125)</f>
        <v>0.64</v>
      </c>
      <c r="Q215" s="50">
        <f>VLOOKUP($A215,'Data shares'!$C:$FB,127)*100</f>
        <v>-14.06</v>
      </c>
    </row>
    <row r="216" spans="1:17" x14ac:dyDescent="0.25">
      <c r="A216" s="97" t="str">
        <f>'Snapshot (Value)'!A220</f>
        <v>WAAREEENER</v>
      </c>
      <c r="B216" s="140">
        <f>VLOOKUP($A216,'Data shares'!$C:$FB,7)</f>
        <v>3177.6</v>
      </c>
      <c r="C216" s="140">
        <f>VLOOKUP($A216,'Data shares'!$C:$FB,3)</f>
        <v>3183.3</v>
      </c>
      <c r="D216" s="140">
        <f>VLOOKUP($A216,'Data shares'!$C:$FB,4)</f>
        <v>3169.3</v>
      </c>
      <c r="E216" s="50">
        <f t="shared" si="15"/>
        <v>0.44173792320070671</v>
      </c>
      <c r="F216" s="49">
        <f>VLOOKUP($A216,'Data shares'!$C:$FB,98)</f>
        <v>4943050</v>
      </c>
      <c r="G216" s="49">
        <f>VLOOKUP($A216,'Data shares'!$C:$FB,99)</f>
        <v>4762450</v>
      </c>
      <c r="H216" s="50">
        <f t="shared" si="16"/>
        <v>3.7921657970162412</v>
      </c>
      <c r="I216" s="49">
        <f>VLOOKUP($A216,'Data shares'!$C:$FB,66)</f>
        <v>3788750</v>
      </c>
      <c r="J216" s="49">
        <f>VLOOKUP($A216,'Data shares'!$C:$FB,67)</f>
        <v>3984750</v>
      </c>
      <c r="K216" s="50">
        <f t="shared" si="17"/>
        <v>-5.1732101616628174</v>
      </c>
      <c r="L216" s="50">
        <f>VLOOKUP($A216,'Data shares'!$C:$FB,118)</f>
        <v>0.67</v>
      </c>
      <c r="M216" s="50">
        <f>VLOOKUP($A216,'Data shares'!$C:$FB,119)</f>
        <v>0.65</v>
      </c>
      <c r="N216" s="50">
        <f>VLOOKUP($A216,'Data shares'!$C:$FB,121)*100</f>
        <v>3.08</v>
      </c>
      <c r="O216" s="50">
        <f>VLOOKUP($A216,'Data shares'!$C:$FB,124)</f>
        <v>0.34</v>
      </c>
      <c r="P216" s="50">
        <f>VLOOKUP($A216,'Data shares'!$C:$FB,125)</f>
        <v>0.31</v>
      </c>
      <c r="Q216" s="50">
        <f>VLOOKUP($A216,'Data shares'!$C:$FB,127)*100</f>
        <v>9.68</v>
      </c>
    </row>
    <row r="217" spans="1:17" x14ac:dyDescent="0.25">
      <c r="A217" s="97" t="str">
        <f>'Snapshot (Value)'!A221</f>
        <v>WIPRO</v>
      </c>
      <c r="B217" s="140">
        <f>VLOOKUP($A217,'Data shares'!$C:$FB,7)</f>
        <v>229.81</v>
      </c>
      <c r="C217" s="140">
        <f>VLOOKUP($A217,'Data shares'!$C:$FB,3)</f>
        <v>229.9</v>
      </c>
      <c r="D217" s="140">
        <f>VLOOKUP($A217,'Data shares'!$C:$FB,4)</f>
        <v>231.5</v>
      </c>
      <c r="E217" s="50">
        <f t="shared" si="15"/>
        <v>-0.69114470842332365</v>
      </c>
      <c r="F217" s="49">
        <f>VLOOKUP($A217,'Data shares'!$C:$FB,98)</f>
        <v>316347000</v>
      </c>
      <c r="G217" s="49">
        <f>VLOOKUP($A217,'Data shares'!$C:$FB,99)</f>
        <v>312768000</v>
      </c>
      <c r="H217" s="50">
        <f t="shared" si="16"/>
        <v>1.1442986494782075</v>
      </c>
      <c r="I217" s="49">
        <f>VLOOKUP($A217,'Data shares'!$C:$FB,66)</f>
        <v>96012000</v>
      </c>
      <c r="J217" s="49">
        <f>VLOOKUP($A217,'Data shares'!$C:$FB,67)</f>
        <v>142398000</v>
      </c>
      <c r="K217" s="50">
        <f t="shared" si="17"/>
        <v>-48.312710911136108</v>
      </c>
      <c r="L217" s="50">
        <f>VLOOKUP($A217,'Data shares'!$C:$FB,118)</f>
        <v>0.55000000000000004</v>
      </c>
      <c r="M217" s="50">
        <f>VLOOKUP($A217,'Data shares'!$C:$FB,119)</f>
        <v>0.55000000000000004</v>
      </c>
      <c r="N217" s="50">
        <f>VLOOKUP($A217,'Data shares'!$C:$FB,121)*100</f>
        <v>0</v>
      </c>
      <c r="O217" s="50">
        <f>VLOOKUP($A217,'Data shares'!$C:$FB,124)</f>
        <v>0.6</v>
      </c>
      <c r="P217" s="50">
        <f>VLOOKUP($A217,'Data shares'!$C:$FB,125)</f>
        <v>0.47</v>
      </c>
      <c r="Q217" s="50">
        <f>VLOOKUP($A217,'Data shares'!$C:$FB,127)*100</f>
        <v>27.66</v>
      </c>
    </row>
    <row r="218" spans="1:17" x14ac:dyDescent="0.25">
      <c r="A218" s="97" t="str">
        <f>'Snapshot (Value)'!A222</f>
        <v>YESBANK</v>
      </c>
      <c r="B218" s="140">
        <f>VLOOKUP($A218,'Data shares'!$C:$FB,7)</f>
        <v>21.32</v>
      </c>
      <c r="C218" s="140">
        <f>VLOOKUP($A218,'Data shares'!$C:$FB,3)</f>
        <v>21.34</v>
      </c>
      <c r="D218" s="140">
        <f>VLOOKUP($A218,'Data shares'!$C:$FB,4)</f>
        <v>21.42</v>
      </c>
      <c r="E218" s="50">
        <f t="shared" si="15"/>
        <v>-0.3734827264239115</v>
      </c>
      <c r="F218" s="49">
        <f>VLOOKUP($A218,'Data shares'!$C:$FB,98)</f>
        <v>1774752600</v>
      </c>
      <c r="G218" s="49">
        <f>VLOOKUP($A218,'Data shares'!$C:$FB,99)</f>
        <v>1777707100</v>
      </c>
      <c r="H218" s="50">
        <f t="shared" si="16"/>
        <v>-0.16619723237871975</v>
      </c>
      <c r="I218" s="49">
        <f>VLOOKUP($A218,'Data shares'!$C:$FB,66)</f>
        <v>290536200</v>
      </c>
      <c r="J218" s="49">
        <f>VLOOKUP($A218,'Data shares'!$C:$FB,67)</f>
        <v>416802200</v>
      </c>
      <c r="K218" s="50">
        <f t="shared" si="17"/>
        <v>-43.459644615713984</v>
      </c>
      <c r="L218" s="50">
        <f>VLOOKUP($A218,'Data shares'!$C:$FB,118)</f>
        <v>0.51</v>
      </c>
      <c r="M218" s="50">
        <f>VLOOKUP($A218,'Data shares'!$C:$FB,119)</f>
        <v>0.52</v>
      </c>
      <c r="N218" s="50">
        <f>VLOOKUP($A218,'Data shares'!$C:$FB,121)*100</f>
        <v>-1.92</v>
      </c>
      <c r="O218" s="50">
        <f>VLOOKUP($A218,'Data shares'!$C:$FB,124)</f>
        <v>0.36</v>
      </c>
      <c r="P218" s="50">
        <f>VLOOKUP($A218,'Data shares'!$C:$FB,125)</f>
        <v>0.34</v>
      </c>
      <c r="Q218" s="50">
        <f>VLOOKUP($A218,'Data shares'!$C:$FB,127)*100</f>
        <v>5.88</v>
      </c>
    </row>
    <row r="219" spans="1:17" x14ac:dyDescent="0.25">
      <c r="A219" s="97" t="str">
        <f>'Data Vlaue (Cr)'!C213</f>
        <v>YESBANK</v>
      </c>
      <c r="B219" s="140">
        <f>VLOOKUP($A219,'Data shares'!$C:$FB,7)</f>
        <v>21.32</v>
      </c>
      <c r="C219" s="140">
        <f>VLOOKUP($A219,'Data shares'!$C:$FB,3)</f>
        <v>21.34</v>
      </c>
      <c r="D219" s="140">
        <f>VLOOKUP($A219,'Data shares'!$C:$FB,4)</f>
        <v>21.42</v>
      </c>
      <c r="E219" s="50">
        <f t="shared" ref="E219" si="18">(C219-D219)/D219*100</f>
        <v>-0.3734827264239115</v>
      </c>
      <c r="F219" s="49">
        <f>VLOOKUP($A219,'Data shares'!$C:$FB,98)</f>
        <v>1774752600</v>
      </c>
      <c r="G219" s="49">
        <f>VLOOKUP($A219,'Data shares'!$C:$FB,99)</f>
        <v>1777707100</v>
      </c>
      <c r="H219" s="50">
        <f t="shared" ref="H219" si="19">(F219-G219)/G219*100</f>
        <v>-0.16619723237871975</v>
      </c>
      <c r="I219" s="49">
        <f>VLOOKUP($A219,'Data shares'!$C:$FB,66)</f>
        <v>290536200</v>
      </c>
      <c r="J219" s="49">
        <f>VLOOKUP($A219,'Data shares'!$C:$FB,67)</f>
        <v>416802200</v>
      </c>
      <c r="K219" s="50">
        <f t="shared" ref="K219" si="20">(I219-J219)/I219*100</f>
        <v>-43.459644615713984</v>
      </c>
      <c r="L219" s="50">
        <f>VLOOKUP($A219,'Data shares'!$C:$FB,118)</f>
        <v>0.51</v>
      </c>
      <c r="M219" s="50">
        <f>VLOOKUP($A219,'Data shares'!$C:$FB,119)</f>
        <v>0.52</v>
      </c>
      <c r="N219" s="50">
        <f>VLOOKUP($A219,'Data shares'!$C:$FB,121)*100</f>
        <v>-1.92</v>
      </c>
      <c r="O219" s="50">
        <f>VLOOKUP($A219,'Data shares'!$C:$FB,124)</f>
        <v>0.36</v>
      </c>
      <c r="P219" s="50">
        <f>VLOOKUP($A219,'Data shares'!$C:$FB,125)</f>
        <v>0.34</v>
      </c>
      <c r="Q219" s="50">
        <f>VLOOKUP($A219,'Data shares'!$C:$FB,127)*100</f>
        <v>5.88</v>
      </c>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5" t="s">
        <v>391</v>
      </c>
      <c r="B231" s="265"/>
      <c r="C231" s="265"/>
      <c r="D231" s="265"/>
      <c r="E231" s="265"/>
      <c r="F231" s="113">
        <f>SUM(F7:F221)</f>
        <v>30489951006</v>
      </c>
      <c r="G231" s="113">
        <f>SUM(G7:G223)</f>
        <v>30373601387</v>
      </c>
      <c r="H231" s="114">
        <f>(F231-G231)/G231*100</f>
        <v>0.38306165119358554</v>
      </c>
      <c r="I231" s="113">
        <f>SUM(I7:I222)</f>
        <v>18398183551</v>
      </c>
      <c r="J231" s="113">
        <f>SUM(J7:J223)</f>
        <v>34751137634</v>
      </c>
      <c r="K231" s="114">
        <f>(I231-J231)/J231*100</f>
        <v>-47.057320123530324</v>
      </c>
      <c r="L231" s="113"/>
      <c r="M231" s="113"/>
      <c r="N231" s="113"/>
      <c r="O231" s="113"/>
      <c r="P231" s="265"/>
      <c r="Q231" s="265"/>
    </row>
    <row r="232" spans="1:17" s="64" customFormat="1" x14ac:dyDescent="0.25">
      <c r="A232" s="265" t="s">
        <v>398</v>
      </c>
      <c r="B232" s="265"/>
      <c r="C232" s="265"/>
      <c r="D232" s="265"/>
      <c r="E232" s="265"/>
      <c r="F232" s="113">
        <f>F231/10000000</f>
        <v>3048.9951006000001</v>
      </c>
      <c r="G232" s="113">
        <f>G231/10000000</f>
        <v>3037.3601386999999</v>
      </c>
      <c r="H232" s="114">
        <f>(F232-G232)/G232*100</f>
        <v>0.38306165119359331</v>
      </c>
      <c r="I232" s="113">
        <f>I231/10000000</f>
        <v>1839.8183551</v>
      </c>
      <c r="J232" s="113">
        <f>J231/10000000</f>
        <v>3475.1137634000002</v>
      </c>
      <c r="K232" s="114">
        <f>(I232-J232)/J232*100</f>
        <v>-47.057320123530324</v>
      </c>
      <c r="L232" s="113"/>
      <c r="M232" s="113"/>
      <c r="N232" s="113"/>
      <c r="O232" s="113"/>
      <c r="P232" s="265"/>
      <c r="Q232" s="265"/>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tabSelected="1" workbookViewId="0">
      <selection activeCell="M3" sqref="M3"/>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(Value)'!H149</f>
        <v>1085309</v>
      </c>
      <c r="C3" s="159">
        <f>'OI(Volume)'!G145</f>
        <v>2.2000000000000001E-3</v>
      </c>
      <c r="D3" s="153">
        <f>'Snapshot (Value)'!P145</f>
        <v>0.64</v>
      </c>
      <c r="E3" s="153">
        <f>'Snapshot (Value)'!R145</f>
        <v>0.66</v>
      </c>
      <c r="F3" s="153">
        <f>IV!E145</f>
        <v>14.29</v>
      </c>
      <c r="G3" s="153">
        <f>IV!B145</f>
        <v>10.74</v>
      </c>
      <c r="H3" s="153">
        <f>'Snapshot (Value)'!C149</f>
        <v>25953.85</v>
      </c>
      <c r="I3" s="153">
        <f>'Snapshot (Value)'!D149</f>
        <v>25994.2</v>
      </c>
      <c r="J3" s="153">
        <f>'Snapshot (Value)'!E150</f>
        <v>69872.2</v>
      </c>
      <c r="K3" s="153">
        <f>(I3-H3)</f>
        <v>40.350000000002183</v>
      </c>
      <c r="L3" s="232">
        <f>'Data Vlaue (Cr)'!V140</f>
        <v>26312.400000000001</v>
      </c>
    </row>
    <row r="4" spans="1:12" x14ac:dyDescent="0.25">
      <c r="A4" t="s">
        <v>464</v>
      </c>
      <c r="B4" s="154">
        <f>'Snapshot (Value)'!H37</f>
        <v>205011</v>
      </c>
      <c r="C4" s="159">
        <f>'OI(Volume)'!G33</f>
        <v>-1.9E-3</v>
      </c>
      <c r="D4" s="153">
        <f>'Snapshot (Value)'!P37</f>
        <v>1.17</v>
      </c>
      <c r="E4" s="153">
        <f>'Snapshot (Value)'!R37</f>
        <v>1.1000000000000001</v>
      </c>
      <c r="F4" s="153">
        <f>IV!E33</f>
        <v>15.76</v>
      </c>
      <c r="G4" s="153">
        <f>IV!B33</f>
        <v>11.49</v>
      </c>
      <c r="H4" s="153">
        <f>'Snapshot (Value)'!C37</f>
        <v>60745.35</v>
      </c>
      <c r="I4" s="153">
        <f>'Snapshot (Value)'!D37</f>
        <v>60809</v>
      </c>
      <c r="J4" s="153">
        <f>'Snapshot (Value)'!E37</f>
        <v>60704</v>
      </c>
      <c r="K4" s="153">
        <f>(I4-H4)</f>
        <v>63.650000000001455</v>
      </c>
      <c r="L4" s="232">
        <f>'Data Vlaue (Cr)'!V28</f>
        <v>61494</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9" t="s">
        <v>393</v>
      </c>
      <c r="B1" s="331" t="s">
        <v>632</v>
      </c>
      <c r="C1" s="332"/>
      <c r="D1" s="333"/>
      <c r="E1" s="334" t="s">
        <v>633</v>
      </c>
      <c r="F1" s="335"/>
      <c r="G1" s="336"/>
      <c r="H1" s="337" t="s">
        <v>634</v>
      </c>
      <c r="I1" s="338"/>
      <c r="J1" s="339"/>
      <c r="K1" s="340" t="s">
        <v>635</v>
      </c>
      <c r="L1" s="341"/>
      <c r="M1" s="342"/>
    </row>
    <row r="2" spans="1:13" ht="26.25" thickBot="1" x14ac:dyDescent="0.25">
      <c r="A2" s="33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9" t="s">
        <v>641</v>
      </c>
      <c r="B6" s="331" t="s">
        <v>632</v>
      </c>
      <c r="C6" s="332"/>
      <c r="D6" s="333"/>
      <c r="E6" s="334" t="s">
        <v>633</v>
      </c>
      <c r="F6" s="335"/>
      <c r="G6" s="336"/>
      <c r="H6" s="337" t="s">
        <v>634</v>
      </c>
      <c r="I6" s="338"/>
      <c r="J6" s="339"/>
      <c r="K6" s="340" t="s">
        <v>635</v>
      </c>
      <c r="L6" s="341"/>
      <c r="M6" s="342"/>
    </row>
    <row r="7" spans="1:13" ht="26.25" thickBot="1" x14ac:dyDescent="0.25">
      <c r="A7" s="33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9" t="s">
        <v>642</v>
      </c>
      <c r="B11" s="331" t="s">
        <v>632</v>
      </c>
      <c r="C11" s="332"/>
      <c r="D11" s="333"/>
      <c r="E11" s="334" t="s">
        <v>633</v>
      </c>
      <c r="F11" s="335"/>
      <c r="G11" s="336"/>
      <c r="H11" s="337" t="s">
        <v>634</v>
      </c>
      <c r="I11" s="338"/>
      <c r="J11" s="339"/>
      <c r="K11" s="340" t="s">
        <v>635</v>
      </c>
      <c r="L11" s="341"/>
      <c r="M11" s="342"/>
    </row>
    <row r="12" spans="1:13" ht="26.25" thickBot="1" x14ac:dyDescent="0.25">
      <c r="A12" s="33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9" t="s">
        <v>395</v>
      </c>
      <c r="B16" s="331" t="s">
        <v>632</v>
      </c>
      <c r="C16" s="332"/>
      <c r="D16" s="333"/>
      <c r="E16" s="334" t="s">
        <v>633</v>
      </c>
      <c r="F16" s="335"/>
      <c r="G16" s="336"/>
      <c r="H16" s="337" t="s">
        <v>634</v>
      </c>
      <c r="I16" s="338"/>
      <c r="J16" s="339"/>
      <c r="K16" s="340" t="s">
        <v>635</v>
      </c>
      <c r="L16" s="341"/>
      <c r="M16" s="342"/>
    </row>
    <row r="17" spans="1:13" ht="26.25" thickBot="1" x14ac:dyDescent="0.25">
      <c r="A17" s="33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9" t="s">
        <v>643</v>
      </c>
      <c r="B21" s="331" t="s">
        <v>632</v>
      </c>
      <c r="C21" s="332"/>
      <c r="D21" s="333"/>
      <c r="E21" s="334" t="s">
        <v>633</v>
      </c>
      <c r="F21" s="335"/>
      <c r="G21" s="336"/>
      <c r="H21" s="337" t="s">
        <v>634</v>
      </c>
      <c r="I21" s="338"/>
      <c r="J21" s="339"/>
      <c r="K21" s="340" t="s">
        <v>635</v>
      </c>
      <c r="L21" s="341"/>
      <c r="M21" s="342"/>
    </row>
    <row r="22" spans="1:13" ht="26.25" thickBot="1" x14ac:dyDescent="0.25">
      <c r="A22" s="33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9" t="s">
        <v>644</v>
      </c>
      <c r="B26" s="331" t="s">
        <v>632</v>
      </c>
      <c r="C26" s="332"/>
      <c r="D26" s="333"/>
      <c r="E26" s="334" t="s">
        <v>633</v>
      </c>
      <c r="F26" s="335"/>
      <c r="G26" s="336"/>
      <c r="H26" s="337" t="s">
        <v>634</v>
      </c>
      <c r="I26" s="338"/>
      <c r="J26" s="339"/>
      <c r="K26" s="340" t="s">
        <v>635</v>
      </c>
      <c r="L26" s="341"/>
      <c r="M26" s="342"/>
    </row>
    <row r="27" spans="1:13" ht="26.25" thickBot="1" x14ac:dyDescent="0.25">
      <c r="A27" s="33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4170.3999999999996</v>
      </c>
      <c r="C3" s="200"/>
      <c r="D3" s="200"/>
    </row>
    <row r="4" spans="1:4" x14ac:dyDescent="0.25">
      <c r="A4" s="217" t="s">
        <v>320</v>
      </c>
      <c r="B4" s="220">
        <f>VLOOKUP($B$1,'Snapshot (Value)'!$A:$S,6,0)</f>
        <v>0.5</v>
      </c>
      <c r="C4" s="200"/>
      <c r="D4" s="200"/>
    </row>
    <row r="5" spans="1:4" x14ac:dyDescent="0.25">
      <c r="A5" s="221"/>
      <c r="B5" s="222" t="s">
        <v>649</v>
      </c>
      <c r="C5" s="222" t="s">
        <v>650</v>
      </c>
      <c r="D5" s="222" t="s">
        <v>651</v>
      </c>
    </row>
    <row r="6" spans="1:4" x14ac:dyDescent="0.25">
      <c r="A6" s="217" t="s">
        <v>652</v>
      </c>
      <c r="B6" s="219">
        <f>VLOOKUP($B$1,'Snapshot (Value)'!$A:$S,4,0)</f>
        <v>4170.8999999999996</v>
      </c>
      <c r="C6" s="219">
        <f>VLOOKUP($B$1,'Snapshot (Value)'!$A:$S,5,0)</f>
        <v>4169.8999999999996</v>
      </c>
      <c r="D6" s="219">
        <f>+(B6/C6-1)*100</f>
        <v>2.3981390441019101E-2</v>
      </c>
    </row>
    <row r="7" spans="1:4" x14ac:dyDescent="0.25">
      <c r="A7" s="217" t="s">
        <v>316</v>
      </c>
      <c r="B7" s="219">
        <f>VLOOKUP($B$1,'Snapshot (Volume)'!$A:$S,12,0)</f>
        <v>0.83</v>
      </c>
      <c r="C7" s="219">
        <f>VLOOKUP($B$1,'Snapshot (Volume)'!$A:$S,13,0)</f>
        <v>0.85</v>
      </c>
      <c r="D7" s="219">
        <f>+(B7/C7-1)*100</f>
        <v>-2.352941176470591</v>
      </c>
    </row>
    <row r="8" spans="1:4" x14ac:dyDescent="0.25">
      <c r="A8" s="217" t="s">
        <v>653</v>
      </c>
      <c r="B8" s="219">
        <f>VLOOKUP($B$1,'Snapshot (Volume)'!$A:$S,15,0)</f>
        <v>1.29</v>
      </c>
      <c r="C8" s="219">
        <f>VLOOKUP($B$1,'Snapshot (Volume)'!$A:$S,16,0)</f>
        <v>0.66</v>
      </c>
      <c r="D8" s="219">
        <f>+(B8/C8-1)*100</f>
        <v>95.454545454545453</v>
      </c>
    </row>
    <row r="9" spans="1:4" x14ac:dyDescent="0.25">
      <c r="A9" s="215" t="s">
        <v>654</v>
      </c>
      <c r="B9" s="222" t="s">
        <v>655</v>
      </c>
      <c r="C9" s="222" t="s">
        <v>369</v>
      </c>
      <c r="D9" s="222" t="s">
        <v>651</v>
      </c>
    </row>
    <row r="10" spans="1:4" x14ac:dyDescent="0.25">
      <c r="A10" s="217" t="s">
        <v>656</v>
      </c>
      <c r="B10" s="219">
        <f>VLOOKUP($B$1,'OI(Value)'!$A:$O,5,0)</f>
        <v>6310</v>
      </c>
      <c r="C10" s="219">
        <f>VLOOKUP($B$1,'OI(Value)'!$A:$O,6,0)</f>
        <v>41</v>
      </c>
      <c r="D10" s="219">
        <f>VLOOKUP($B$1,'OI(Value)'!$A:$O,7,0)*100</f>
        <v>0.65</v>
      </c>
    </row>
    <row r="11" spans="1:4" x14ac:dyDescent="0.25">
      <c r="A11" s="217" t="s">
        <v>657</v>
      </c>
      <c r="B11" s="219">
        <f>VLOOKUP($B$1,'OI(Value)'!$A:$O,8,0)</f>
        <v>3495</v>
      </c>
      <c r="C11" s="219">
        <f>VLOOKUP($B$1,'OI(Value)'!$A:$O,9,0)</f>
        <v>124</v>
      </c>
      <c r="D11" s="219">
        <f>VLOOKUP($B$1,'OI(Value)'!$A:$O,10,0)*100</f>
        <v>3.6900000000000004</v>
      </c>
    </row>
    <row r="12" spans="1:4" x14ac:dyDescent="0.25">
      <c r="A12" s="217" t="s">
        <v>658</v>
      </c>
      <c r="B12" s="219">
        <f>VLOOKUP($B$1,'OI(Value)'!$A:$O,11,0)</f>
        <v>2891</v>
      </c>
      <c r="C12" s="219">
        <f>VLOOKUP($B$1,'OI(Value)'!$A:$O,12,0)</f>
        <v>29</v>
      </c>
      <c r="D12" s="219">
        <f>VLOOKUP($B$1,'OI(Value)'!$A:$O,13,0)*100</f>
        <v>1.03</v>
      </c>
    </row>
    <row r="13" spans="1:4" x14ac:dyDescent="0.25">
      <c r="A13" s="215" t="s">
        <v>659</v>
      </c>
      <c r="B13" s="223">
        <f>VLOOKUP($B$1,'OI(Value)'!$A:$O,2,0)</f>
        <v>12696</v>
      </c>
      <c r="C13" s="223">
        <f>VLOOKUP($B$1,'OI(Value)'!$A:$O,3,0)</f>
        <v>194</v>
      </c>
      <c r="D13" s="223">
        <f>VLOOKUP($B$1,'OI(Value)'!$A:$O,4,0)*100</f>
        <v>1.5599999999999998</v>
      </c>
    </row>
    <row r="14" spans="1:4" x14ac:dyDescent="0.25">
      <c r="A14" s="215" t="s">
        <v>660</v>
      </c>
      <c r="B14" s="222" t="s">
        <v>661</v>
      </c>
      <c r="C14" s="222" t="s">
        <v>369</v>
      </c>
      <c r="D14" s="222" t="s">
        <v>651</v>
      </c>
    </row>
    <row r="15" spans="1:4" x14ac:dyDescent="0.25">
      <c r="A15" s="217" t="s">
        <v>656</v>
      </c>
      <c r="B15" s="219">
        <f>VLOOKUP($B$1,'OI(Volume)'!$A:$O,5,0)/10^5</f>
        <v>151.29275000000001</v>
      </c>
      <c r="C15" s="219">
        <f>VLOOKUP($B$1,'OI(Volume)'!$A:$O,6,0)/10^5</f>
        <v>0.97475000000000001</v>
      </c>
      <c r="D15" s="219">
        <f>(VLOOKUP($B$1,'OI(Volume)'!$A:$O,7,0))*100</f>
        <v>0.65</v>
      </c>
    </row>
    <row r="16" spans="1:4" x14ac:dyDescent="0.25">
      <c r="A16" s="217" t="s">
        <v>657</v>
      </c>
      <c r="B16" s="219">
        <f>VLOOKUP($B$1,'OI(Volume)'!$A:$O,8,0)/10^5</f>
        <v>83.8005</v>
      </c>
      <c r="C16" s="219">
        <f>VLOOKUP($B$1,'OI(Volume)'!$A:$O,9,0)/10^5</f>
        <v>2.9802499999999998</v>
      </c>
      <c r="D16" s="219">
        <f>(VLOOKUP($B$1,'OI(Volume)'!$A:$O,10,0))*100</f>
        <v>3.6900000000000004</v>
      </c>
    </row>
    <row r="17" spans="1:4" x14ac:dyDescent="0.25">
      <c r="A17" s="217" t="s">
        <v>658</v>
      </c>
      <c r="B17" s="219">
        <f>VLOOKUP($B$1,'OI(Volume)'!$A:$O,11,0)/10^5</f>
        <v>69.310500000000005</v>
      </c>
      <c r="C17" s="219">
        <f>VLOOKUP($B$1,'OI(Volume)'!$A:$O,12,0)/10^5</f>
        <v>0.70699999999999996</v>
      </c>
      <c r="D17" s="219">
        <f>(VLOOKUP($B$1,'OI(Volume)'!$A:$O,13,0))*100</f>
        <v>1.03</v>
      </c>
    </row>
    <row r="18" spans="1:4" x14ac:dyDescent="0.25">
      <c r="A18" s="215" t="s">
        <v>662</v>
      </c>
      <c r="B18" s="223">
        <f>VLOOKUP($B$1,'OI(Volume)'!$A:$O,2,0)/10^5</f>
        <v>304.40375</v>
      </c>
      <c r="C18" s="223">
        <f>VLOOKUP($B$1,'OI(Volume)'!$A:$O,3,0)/10^5</f>
        <v>4.6619999999999999</v>
      </c>
      <c r="D18" s="223">
        <f>(VLOOKUP($B$1,'OI(Volume)'!$A:$O,4,0))*100</f>
        <v>1.5599999999999998</v>
      </c>
    </row>
    <row r="20" spans="1:4" x14ac:dyDescent="0.25">
      <c r="A20" s="17" t="s">
        <v>417</v>
      </c>
      <c r="B20" s="224">
        <f>VLOOKUP($B$1,'Open Interest Position'!$A:$F,2,0)/10^5</f>
        <v>1361.09374</v>
      </c>
    </row>
    <row r="21" spans="1:4" x14ac:dyDescent="0.25">
      <c r="A21" s="17" t="s">
        <v>412</v>
      </c>
      <c r="B21" s="224">
        <f>VLOOKUP($B$1,'Open Interest Position'!$A:$F,3,0)/10^5</f>
        <v>298.53424999999999</v>
      </c>
    </row>
    <row r="22" spans="1:4" x14ac:dyDescent="0.25">
      <c r="A22" s="17" t="s">
        <v>418</v>
      </c>
      <c r="B22" s="224">
        <f>VLOOKUP($B$1,'Open Interest Position'!$A:$F,4,0)/10^5</f>
        <v>159.56414998702499</v>
      </c>
    </row>
    <row r="23" spans="1:4" x14ac:dyDescent="0.25">
      <c r="A23" s="17" t="s">
        <v>419</v>
      </c>
      <c r="B23" s="225">
        <f>VLOOKUP($B$1,'Open Interest Position'!$A:$F,6,0)</f>
        <v>0.21933408495435444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7" t="s">
        <v>329</v>
      </c>
      <c r="B3" s="268"/>
      <c r="C3" s="268"/>
      <c r="D3" s="268"/>
      <c r="E3" s="268"/>
      <c r="F3" s="268"/>
      <c r="G3" s="268"/>
      <c r="H3" s="268"/>
      <c r="I3" s="269"/>
      <c r="J3" s="269"/>
      <c r="K3" s="269"/>
      <c r="L3" s="269"/>
      <c r="M3" s="269"/>
      <c r="N3" s="269"/>
      <c r="O3" s="269"/>
      <c r="P3" s="270"/>
    </row>
    <row r="4" spans="1:36" x14ac:dyDescent="0.25">
      <c r="A4" s="271" t="s">
        <v>330</v>
      </c>
      <c r="B4" s="271"/>
      <c r="C4" s="77" t="s">
        <v>308</v>
      </c>
      <c r="D4" s="273" t="s">
        <v>326</v>
      </c>
      <c r="E4" s="273"/>
      <c r="F4" s="273"/>
      <c r="G4" s="273"/>
      <c r="H4" s="273" t="s">
        <v>457</v>
      </c>
      <c r="I4" s="273"/>
      <c r="J4" s="273"/>
      <c r="K4" s="271" t="s">
        <v>309</v>
      </c>
      <c r="L4" s="271"/>
      <c r="M4" s="271"/>
      <c r="N4" s="271" t="s">
        <v>331</v>
      </c>
      <c r="O4" s="271"/>
      <c r="P4" s="271"/>
    </row>
    <row r="5" spans="1:36" x14ac:dyDescent="0.25">
      <c r="A5" s="272"/>
      <c r="B5" s="272"/>
      <c r="C5" s="65" t="s">
        <v>312</v>
      </c>
      <c r="D5" s="274" t="s">
        <v>314</v>
      </c>
      <c r="E5" s="274"/>
      <c r="F5" s="274"/>
      <c r="G5" s="274"/>
      <c r="H5" s="274" t="s">
        <v>315</v>
      </c>
      <c r="I5" s="274"/>
      <c r="J5" s="274"/>
      <c r="K5" s="272" t="s">
        <v>314</v>
      </c>
      <c r="L5" s="272"/>
      <c r="M5" s="272"/>
      <c r="N5" s="272" t="s">
        <v>315</v>
      </c>
      <c r="O5" s="272"/>
      <c r="P5" s="272"/>
    </row>
    <row r="6" spans="1:36" x14ac:dyDescent="0.25">
      <c r="A6" s="78" t="s">
        <v>332</v>
      </c>
      <c r="B6" s="78" t="s">
        <v>318</v>
      </c>
      <c r="C6" s="65" t="s">
        <v>328</v>
      </c>
      <c r="D6" s="66">
        <f>'Snapshot (Volume)'!B6</f>
        <v>46064</v>
      </c>
      <c r="E6" s="66" t="s">
        <v>368</v>
      </c>
      <c r="F6" s="71" t="s">
        <v>333</v>
      </c>
      <c r="G6" s="71" t="s">
        <v>328</v>
      </c>
      <c r="H6" s="66">
        <f>D6</f>
        <v>46064</v>
      </c>
      <c r="I6" s="71" t="s">
        <v>322</v>
      </c>
      <c r="J6" s="71" t="s">
        <v>328</v>
      </c>
      <c r="K6" s="66">
        <f>D6</f>
        <v>46064</v>
      </c>
      <c r="L6" s="78" t="s">
        <v>333</v>
      </c>
      <c r="M6" s="78" t="s">
        <v>328</v>
      </c>
      <c r="N6" s="66">
        <f>D6</f>
        <v>46064</v>
      </c>
      <c r="O6" s="78" t="s">
        <v>322</v>
      </c>
      <c r="P6" s="78" t="s">
        <v>328</v>
      </c>
    </row>
    <row r="7" spans="1:36" x14ac:dyDescent="0.25">
      <c r="A7" s="79" t="str">
        <f>'Data shares'!B2</f>
        <v>Finance</v>
      </c>
      <c r="B7" s="79" t="str">
        <f>'Data shares'!C2</f>
        <v>360ONE</v>
      </c>
      <c r="C7" s="79">
        <f>VLOOKUP($B7,'Data shares'!$C:$FB,7)</f>
        <v>1138.4000000000001</v>
      </c>
      <c r="D7" s="165">
        <f>VLOOKUP($B7,'Data shares'!$C:$FB,98)</f>
        <v>5879500</v>
      </c>
      <c r="E7" s="165">
        <f>VLOOKUP(B7,'Snapshot (Volume)'!$A$7:$G$168,7,0)</f>
        <v>5530500</v>
      </c>
      <c r="F7" s="165">
        <f>D7-E7</f>
        <v>349000</v>
      </c>
      <c r="G7" s="166">
        <f>F7/E7</f>
        <v>6.3104601753910139E-2</v>
      </c>
      <c r="H7" s="165">
        <f>VLOOKUP($B7,'Data shares'!$C:$FB,66)</f>
        <v>5707500</v>
      </c>
      <c r="I7" s="165">
        <f>VLOOKUP($B7,'Data shares'!$C:$FB,67)</f>
        <v>9640000</v>
      </c>
      <c r="J7" s="81">
        <f>(H7-I7)/I7*100</f>
        <v>-40.793568464730292</v>
      </c>
      <c r="K7" s="81">
        <f>VLOOKUP($B7,'Data Vlaue (Cr)'!$C:$FB,99)</f>
        <v>672</v>
      </c>
      <c r="L7" s="81">
        <f>VLOOKUP(B7,'OI(Value)'!$A$7:$C$226,3,0)</f>
        <v>40</v>
      </c>
      <c r="M7" s="81">
        <f t="shared" ref="M7:M36" si="0">L7/K7*100</f>
        <v>5.9523809523809517</v>
      </c>
      <c r="N7" s="81">
        <f>VLOOKUP($B7,'Data Vlaue (Cr)'!$C:$FB,67)</f>
        <v>652</v>
      </c>
      <c r="O7" s="81">
        <f>VLOOKUP($B7,'Data Vlaue (Cr)'!$C:$FB,68)</f>
        <v>1101</v>
      </c>
      <c r="P7" s="81">
        <f t="shared" ref="P7:P23" si="1">(N7-O7)/N7*100</f>
        <v>-68.865030674846622</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5825.5</v>
      </c>
      <c r="D8" s="165">
        <f>VLOOKUP($B8,'Data shares'!$C:$FB,98)</f>
        <v>4497125</v>
      </c>
      <c r="E8" s="165">
        <f>VLOOKUP(B8,'Snapshot (Volume)'!$A$7:$G$168,7,0)</f>
        <v>4490500</v>
      </c>
      <c r="F8" s="165">
        <f t="shared" ref="F8:F23" si="2">D8-E8</f>
        <v>6625</v>
      </c>
      <c r="G8" s="166">
        <f t="shared" ref="G8:G23" si="3">F8/E8</f>
        <v>1.4753368221801582E-3</v>
      </c>
      <c r="H8" s="165">
        <f>VLOOKUP($B8,'Data shares'!$C:$FB,66)</f>
        <v>1768375</v>
      </c>
      <c r="I8" s="165">
        <f>VLOOKUP($B8,'Data shares'!$C:$FB,67)</f>
        <v>1801000</v>
      </c>
      <c r="J8" s="81">
        <f t="shared" ref="J8:J22" si="4">(H8-I8)/I8*100</f>
        <v>-1.8114936146585232</v>
      </c>
      <c r="K8" s="81">
        <f>VLOOKUP($B8,'Data Vlaue (Cr)'!$C:$FB,99)</f>
        <v>2620</v>
      </c>
      <c r="L8" s="81">
        <f>VLOOKUP(B8,'OI(Value)'!$A$7:$C$226,3,0)</f>
        <v>4</v>
      </c>
      <c r="M8" s="81">
        <f t="shared" si="0"/>
        <v>0.15267175572519084</v>
      </c>
      <c r="N8" s="81">
        <f>VLOOKUP($B8,'Data Vlaue (Cr)'!$C:$FB,67)</f>
        <v>1030</v>
      </c>
      <c r="O8" s="81">
        <f>VLOOKUP($B8,'Data Vlaue (Cr)'!$C:$FB,68)</f>
        <v>1049</v>
      </c>
      <c r="P8" s="81">
        <f t="shared" si="1"/>
        <v>-1.8446601941747571</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344.25</v>
      </c>
      <c r="D9" s="165">
        <f>VLOOKUP($B9,'Data shares'!$C:$FB,98)</f>
        <v>119126800</v>
      </c>
      <c r="E9" s="165">
        <f>VLOOKUP(B9,'Snapshot (Volume)'!$A$7:$G$168,7,0)</f>
        <v>111885200</v>
      </c>
      <c r="F9" s="165">
        <f t="shared" si="2"/>
        <v>7241600</v>
      </c>
      <c r="G9" s="166">
        <f t="shared" si="3"/>
        <v>6.4723484428682254E-2</v>
      </c>
      <c r="H9" s="165">
        <f>VLOOKUP($B9,'Data shares'!$C:$FB,66)</f>
        <v>73423500</v>
      </c>
      <c r="I9" s="165">
        <f>VLOOKUP($B9,'Data shares'!$C:$FB,67)</f>
        <v>53710600</v>
      </c>
      <c r="J9" s="81">
        <f t="shared" si="4"/>
        <v>36.7020662588018</v>
      </c>
      <c r="K9" s="81">
        <f>VLOOKUP($B9,'Data Vlaue (Cr)'!$C:$FB,99)</f>
        <v>4102</v>
      </c>
      <c r="L9" s="81">
        <f>VLOOKUP(B9,'OI(Value)'!$A$7:$C$226,3,0)</f>
        <v>249</v>
      </c>
      <c r="M9" s="81">
        <f t="shared" si="0"/>
        <v>6.0702096538274013</v>
      </c>
      <c r="N9" s="81">
        <f>VLOOKUP($B9,'Data Vlaue (Cr)'!$C:$FB,67)</f>
        <v>2528</v>
      </c>
      <c r="O9" s="81">
        <f>VLOOKUP($B9,'Data Vlaue (Cr)'!$C:$FB,68)</f>
        <v>1850</v>
      </c>
      <c r="P9" s="81">
        <f t="shared" si="1"/>
        <v>26.819620253164555</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1033.8</v>
      </c>
      <c r="D10" s="82">
        <f>VLOOKUP($B10,'Data shares'!$C:$FB,98)</f>
        <v>28584225</v>
      </c>
      <c r="E10" s="165">
        <f>VLOOKUP(B10,'Snapshot (Volume)'!$A$7:$G$168,7,0)</f>
        <v>28708425</v>
      </c>
      <c r="F10" s="165">
        <f t="shared" si="2"/>
        <v>-124200</v>
      </c>
      <c r="G10" s="166">
        <f t="shared" si="3"/>
        <v>-4.3262561425783542E-3</v>
      </c>
      <c r="H10" s="165">
        <f>VLOOKUP($B10,'Data shares'!$C:$FB,66)</f>
        <v>5368275</v>
      </c>
      <c r="I10" s="165">
        <f>VLOOKUP($B10,'Data shares'!$C:$FB,67)</f>
        <v>5499225</v>
      </c>
      <c r="J10" s="81">
        <f t="shared" si="4"/>
        <v>-2.3812446299251255</v>
      </c>
      <c r="K10" s="5">
        <f>VLOOKUP($B10,'Data Vlaue (Cr)'!$C:$FB,99)</f>
        <v>2963</v>
      </c>
      <c r="L10" s="81">
        <f>VLOOKUP(B10,'OI(Value)'!$A$7:$C$226,3,0)</f>
        <v>-13</v>
      </c>
      <c r="M10" s="33">
        <f t="shared" si="0"/>
        <v>-0.43874451569355388</v>
      </c>
      <c r="N10" s="5">
        <f>VLOOKUP($B10,'Data Vlaue (Cr)'!$C:$FB,67)</f>
        <v>557</v>
      </c>
      <c r="O10" s="5">
        <f>VLOOKUP($B10,'Data Vlaue (Cr)'!$C:$FB,68)</f>
        <v>570</v>
      </c>
      <c r="P10" s="5">
        <f t="shared" si="1"/>
        <v>-2.3339317773788149</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2234.4</v>
      </c>
      <c r="D11" s="82">
        <f>VLOOKUP($B11,'Data shares'!$C:$FB,98)</f>
        <v>34864161</v>
      </c>
      <c r="E11" s="165">
        <f>VLOOKUP(B11,'Snapshot (Volume)'!$A$7:$G$168,7,0)</f>
        <v>34732527</v>
      </c>
      <c r="F11" s="165">
        <f t="shared" si="2"/>
        <v>131634</v>
      </c>
      <c r="G11" s="166">
        <f t="shared" si="3"/>
        <v>3.7899344323550081E-3</v>
      </c>
      <c r="H11" s="165">
        <f>VLOOKUP($B11,'Data shares'!$C:$FB,66)</f>
        <v>10346556</v>
      </c>
      <c r="I11" s="165">
        <f>VLOOKUP($B11,'Data shares'!$C:$FB,67)</f>
        <v>34972929</v>
      </c>
      <c r="J11" s="81">
        <f t="shared" si="4"/>
        <v>-70.415529108242552</v>
      </c>
      <c r="K11" s="5">
        <f>VLOOKUP($B11,'Data Vlaue (Cr)'!$C:$FB,99)</f>
        <v>7798</v>
      </c>
      <c r="L11" s="81">
        <f>VLOOKUP(B11,'OI(Value)'!$A$7:$C$226,3,0)</f>
        <v>29</v>
      </c>
      <c r="M11" s="33">
        <f t="shared" si="0"/>
        <v>0.37189022826365736</v>
      </c>
      <c r="N11" s="5">
        <f>VLOOKUP($B11,'Data Vlaue (Cr)'!$C:$FB,67)</f>
        <v>2314</v>
      </c>
      <c r="O11" s="5">
        <f>VLOOKUP($B11,'Data Vlaue (Cr)'!$C:$FB,68)</f>
        <v>7822</v>
      </c>
      <c r="P11" s="5">
        <f t="shared" si="1"/>
        <v>-238.02938634399305</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994.75</v>
      </c>
      <c r="D12" s="82">
        <f>VLOOKUP($B12,'Data shares'!$C:$FB,98)</f>
        <v>40255200</v>
      </c>
      <c r="E12" s="165">
        <f>VLOOKUP(B12,'Snapshot (Volume)'!$A$7:$G$168,7,0)</f>
        <v>40219200</v>
      </c>
      <c r="F12" s="165">
        <f t="shared" si="2"/>
        <v>36000</v>
      </c>
      <c r="G12" s="166">
        <f t="shared" si="3"/>
        <v>8.9509488005728608E-4</v>
      </c>
      <c r="H12" s="165">
        <f>VLOOKUP($B12,'Data shares'!$C:$FB,66)</f>
        <v>15680400</v>
      </c>
      <c r="I12" s="165">
        <f>VLOOKUP($B12,'Data shares'!$C:$FB,67)</f>
        <v>17416200</v>
      </c>
      <c r="J12" s="81">
        <f t="shared" si="4"/>
        <v>-9.966582836669307</v>
      </c>
      <c r="K12" s="5">
        <f>VLOOKUP($B12,'Data Vlaue (Cr)'!$C:$FB,99)</f>
        <v>4016</v>
      </c>
      <c r="L12" s="81">
        <f>VLOOKUP(B12,'OI(Value)'!$A$7:$C$226,3,0)</f>
        <v>4</v>
      </c>
      <c r="M12" s="33">
        <f t="shared" si="0"/>
        <v>9.9601593625498003E-2</v>
      </c>
      <c r="N12" s="5">
        <f>VLOOKUP($B12,'Data Vlaue (Cr)'!$C:$FB,67)</f>
        <v>1564</v>
      </c>
      <c r="O12" s="5">
        <f>VLOOKUP($B12,'Data Vlaue (Cr)'!$C:$FB,68)</f>
        <v>1737</v>
      </c>
      <c r="P12" s="5">
        <f t="shared" si="1"/>
        <v>-11.061381074168798</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1553.4</v>
      </c>
      <c r="D13" s="82">
        <f>VLOOKUP($B13,'Data shares'!$C:$FB,98)</f>
        <v>40068150</v>
      </c>
      <c r="E13" s="165">
        <f>VLOOKUP(B13,'Snapshot (Volume)'!$A$7:$G$168,7,0)</f>
        <v>39695750</v>
      </c>
      <c r="F13" s="165">
        <f t="shared" si="2"/>
        <v>372400</v>
      </c>
      <c r="G13" s="166">
        <f t="shared" si="3"/>
        <v>9.381356946272585E-3</v>
      </c>
      <c r="H13" s="165">
        <f>VLOOKUP($B13,'Data shares'!$C:$FB,66)</f>
        <v>13289550</v>
      </c>
      <c r="I13" s="165">
        <f>VLOOKUP($B13,'Data shares'!$C:$FB,67)</f>
        <v>30208575</v>
      </c>
      <c r="J13" s="81">
        <f t="shared" si="4"/>
        <v>-56.007358837681018</v>
      </c>
      <c r="K13" s="5">
        <f>VLOOKUP($B13,'Data Vlaue (Cr)'!$C:$FB,99)</f>
        <v>6234</v>
      </c>
      <c r="L13" s="81">
        <f>VLOOKUP(B13,'OI(Value)'!$A$7:$C$226,3,0)</f>
        <v>58</v>
      </c>
      <c r="M13" s="33">
        <f t="shared" si="0"/>
        <v>0.93038177735001604</v>
      </c>
      <c r="N13" s="5">
        <f>VLOOKUP($B13,'Data Vlaue (Cr)'!$C:$FB,67)</f>
        <v>2068</v>
      </c>
      <c r="O13" s="5">
        <f>VLOOKUP($B13,'Data Vlaue (Cr)'!$C:$FB,68)</f>
        <v>4700</v>
      </c>
      <c r="P13" s="5">
        <f t="shared" si="1"/>
        <v>-127.27272727272727</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5890</v>
      </c>
      <c r="D14" s="82">
        <f>VLOOKUP($B14,'Data shares'!$C:$FB,98)</f>
        <v>1736250</v>
      </c>
      <c r="E14" s="165">
        <f>VLOOKUP(B14,'Snapshot (Volume)'!$A$7:$G$168,7,0)</f>
        <v>1621125</v>
      </c>
      <c r="F14" s="165">
        <f t="shared" si="2"/>
        <v>115125</v>
      </c>
      <c r="G14" s="166">
        <f t="shared" si="3"/>
        <v>7.1015498496414531E-2</v>
      </c>
      <c r="H14" s="165">
        <f>VLOOKUP($B14,'Data shares'!$C:$FB,66)</f>
        <v>1302750</v>
      </c>
      <c r="I14" s="165">
        <f>VLOOKUP($B14,'Data shares'!$C:$FB,67)</f>
        <v>547375</v>
      </c>
      <c r="J14" s="81">
        <f t="shared" si="4"/>
        <v>137.99954327472025</v>
      </c>
      <c r="K14" s="5">
        <f>VLOOKUP($B14,'Data Vlaue (Cr)'!$C:$FB,99)</f>
        <v>1016</v>
      </c>
      <c r="L14" s="81">
        <f>VLOOKUP(B14,'OI(Value)'!$A$7:$C$226,3,0)</f>
        <v>67</v>
      </c>
      <c r="M14" s="33">
        <f t="shared" si="0"/>
        <v>6.5944881889763778</v>
      </c>
      <c r="N14" s="5">
        <f>VLOOKUP($B14,'Data Vlaue (Cr)'!$C:$FB,67)</f>
        <v>762</v>
      </c>
      <c r="O14" s="5">
        <f>VLOOKUP($B14,'Data Vlaue (Cr)'!$C:$FB,68)</f>
        <v>320</v>
      </c>
      <c r="P14" s="5">
        <f t="shared" si="1"/>
        <v>58.00524934383202</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7696</v>
      </c>
      <c r="D15" s="82">
        <f>VLOOKUP($B15,'Data shares'!$C:$FB,98)</f>
        <v>3147300</v>
      </c>
      <c r="E15" s="165">
        <f>VLOOKUP(B15,'Snapshot (Volume)'!$A$7:$G$168,7,0)</f>
        <v>2960200</v>
      </c>
      <c r="F15" s="165">
        <f t="shared" si="2"/>
        <v>187100</v>
      </c>
      <c r="G15" s="166">
        <f t="shared" si="3"/>
        <v>6.3205188838591983E-2</v>
      </c>
      <c r="H15" s="165">
        <f>VLOOKUP($B15,'Data shares'!$C:$FB,66)</f>
        <v>6615600</v>
      </c>
      <c r="I15" s="165">
        <f>VLOOKUP($B15,'Data shares'!$C:$FB,67)</f>
        <v>16200300</v>
      </c>
      <c r="J15" s="81">
        <f t="shared" si="4"/>
        <v>-59.163719190385365</v>
      </c>
      <c r="K15" s="5">
        <f>VLOOKUP($B15,'Data Vlaue (Cr)'!$C:$FB,99)</f>
        <v>2406</v>
      </c>
      <c r="L15" s="81">
        <f>VLOOKUP(B15,'OI(Value)'!$A$7:$C$226,3,0)</f>
        <v>143</v>
      </c>
      <c r="M15" s="33">
        <f t="shared" si="0"/>
        <v>5.9434746467165418</v>
      </c>
      <c r="N15" s="5">
        <f>VLOOKUP($B15,'Data Vlaue (Cr)'!$C:$FB,67)</f>
        <v>5057</v>
      </c>
      <c r="O15" s="5">
        <f>VLOOKUP($B15,'Data Vlaue (Cr)'!$C:$FB,68)</f>
        <v>12383</v>
      </c>
      <c r="P15" s="5">
        <f t="shared" si="1"/>
        <v>-144.86849911014434</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541.25</v>
      </c>
      <c r="D16" s="82">
        <f>VLOOKUP($B16,'Data shares'!$C:$FB,98)</f>
        <v>72381750</v>
      </c>
      <c r="E16" s="165">
        <f>VLOOKUP(B16,'Snapshot (Volume)'!$A$7:$G$168,7,0)</f>
        <v>72298800</v>
      </c>
      <c r="F16" s="165">
        <f t="shared" si="2"/>
        <v>82950</v>
      </c>
      <c r="G16" s="166">
        <f t="shared" si="3"/>
        <v>1.1473219472522365E-3</v>
      </c>
      <c r="H16" s="165">
        <f>VLOOKUP($B16,'Data shares'!$C:$FB,66)</f>
        <v>12330150</v>
      </c>
      <c r="I16" s="165">
        <f>VLOOKUP($B16,'Data shares'!$C:$FB,67)</f>
        <v>28488600</v>
      </c>
      <c r="J16" s="81">
        <f t="shared" si="4"/>
        <v>-56.719003390830011</v>
      </c>
      <c r="K16" s="5">
        <f>VLOOKUP($B16,'Data Vlaue (Cr)'!$C:$FB,99)</f>
        <v>3920</v>
      </c>
      <c r="L16" s="81">
        <f>VLOOKUP(B16,'OI(Value)'!$A$7:$C$226,3,0)</f>
        <v>4</v>
      </c>
      <c r="M16" s="33">
        <f t="shared" si="0"/>
        <v>0.10204081632653061</v>
      </c>
      <c r="N16" s="5">
        <f>VLOOKUP($B16,'Data Vlaue (Cr)'!$C:$FB,67)</f>
        <v>668</v>
      </c>
      <c r="O16" s="5">
        <f>VLOOKUP($B16,'Data Vlaue (Cr)'!$C:$FB,68)</f>
        <v>1543</v>
      </c>
      <c r="P16" s="5">
        <f t="shared" si="1"/>
        <v>-130.9880239520958</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2781.1</v>
      </c>
      <c r="D17" s="82">
        <f>VLOOKUP($B17,'Data shares'!$C:$FB,98)</f>
        <v>7518500</v>
      </c>
      <c r="E17" s="165">
        <f>VLOOKUP(B17,'Snapshot (Volume)'!$A$7:$G$168,7,0)</f>
        <v>7615250</v>
      </c>
      <c r="F17" s="165">
        <f t="shared" si="2"/>
        <v>-96750</v>
      </c>
      <c r="G17" s="166">
        <f t="shared" si="3"/>
        <v>-1.2704770033813729E-2</v>
      </c>
      <c r="H17" s="165">
        <f>VLOOKUP($B17,'Data shares'!$C:$FB,66)</f>
        <v>4593000</v>
      </c>
      <c r="I17" s="165">
        <f>VLOOKUP($B17,'Data shares'!$C:$FB,67)</f>
        <v>15202000</v>
      </c>
      <c r="J17" s="81">
        <f t="shared" si="4"/>
        <v>-69.786870148664647</v>
      </c>
      <c r="K17" s="5">
        <f>VLOOKUP($B17,'Data Vlaue (Cr)'!$C:$FB,99)</f>
        <v>2098</v>
      </c>
      <c r="L17" s="81">
        <f>VLOOKUP(B17,'OI(Value)'!$A$7:$C$226,3,0)</f>
        <v>-27</v>
      </c>
      <c r="M17" s="33">
        <f t="shared" si="0"/>
        <v>-1.2869399428026693</v>
      </c>
      <c r="N17" s="5">
        <f>VLOOKUP($B17,'Data Vlaue (Cr)'!$C:$FB,67)</f>
        <v>1282</v>
      </c>
      <c r="O17" s="5">
        <f>VLOOKUP($B17,'Data Vlaue (Cr)'!$C:$FB,68)</f>
        <v>4243</v>
      </c>
      <c r="P17" s="5">
        <f t="shared" si="1"/>
        <v>-230.96723868954757</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2280.8000000000002</v>
      </c>
      <c r="D18" s="82">
        <f>VLOOKUP($B18,'Data shares'!$C:$FB,98)</f>
        <v>11156600</v>
      </c>
      <c r="E18" s="165">
        <f>VLOOKUP(B18,'Snapshot (Volume)'!$A$7:$G$168,7,0)</f>
        <v>11151000</v>
      </c>
      <c r="F18" s="165">
        <f t="shared" si="2"/>
        <v>5600</v>
      </c>
      <c r="G18" s="166">
        <f t="shared" si="3"/>
        <v>5.0219711236660389E-4</v>
      </c>
      <c r="H18" s="165">
        <f>VLOOKUP($B18,'Data shares'!$C:$FB,66)</f>
        <v>4632250</v>
      </c>
      <c r="I18" s="165">
        <f>VLOOKUP($B18,'Data shares'!$C:$FB,67)</f>
        <v>3885000</v>
      </c>
      <c r="J18" s="81">
        <f t="shared" si="4"/>
        <v>19.234234234234236</v>
      </c>
      <c r="K18" s="5">
        <f>VLOOKUP($B18,'Data Vlaue (Cr)'!$C:$FB,99)</f>
        <v>2546</v>
      </c>
      <c r="L18" s="81">
        <f>VLOOKUP(B18,'OI(Value)'!$A$7:$C$226,3,0)</f>
        <v>1</v>
      </c>
      <c r="M18" s="33">
        <f t="shared" si="0"/>
        <v>3.9277297721916737E-2</v>
      </c>
      <c r="N18" s="5">
        <f>VLOOKUP($B18,'Data Vlaue (Cr)'!$C:$FB,67)</f>
        <v>1057</v>
      </c>
      <c r="O18" s="5">
        <f>VLOOKUP($B18,'Data Vlaue (Cr)'!$C:$FB,68)</f>
        <v>886</v>
      </c>
      <c r="P18" s="5">
        <f t="shared" si="1"/>
        <v>16.177861873226114</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7507</v>
      </c>
      <c r="D19" s="82">
        <f>VLOOKUP($B19,'Data shares'!$C:$FB,98)</f>
        <v>7698500</v>
      </c>
      <c r="E19" s="165">
        <f>VLOOKUP(B19,'Snapshot (Volume)'!$A$7:$G$168,7,0)</f>
        <v>6809625</v>
      </c>
      <c r="F19" s="165">
        <f t="shared" si="2"/>
        <v>888875</v>
      </c>
      <c r="G19" s="166">
        <f t="shared" si="3"/>
        <v>0.13053215118306807</v>
      </c>
      <c r="H19" s="165">
        <f>VLOOKUP($B19,'Data shares'!$C:$FB,66)</f>
        <v>31030875</v>
      </c>
      <c r="I19" s="165">
        <f>VLOOKUP($B19,'Data shares'!$C:$FB,67)</f>
        <v>6563875</v>
      </c>
      <c r="J19" s="81">
        <f t="shared" si="4"/>
        <v>372.75237569271201</v>
      </c>
      <c r="K19" s="5">
        <f>VLOOKUP($B19,'Data Vlaue (Cr)'!$C:$FB,99)</f>
        <v>5790</v>
      </c>
      <c r="L19" s="81">
        <f>VLOOKUP(B19,'OI(Value)'!$A$7:$C$226,3,0)</f>
        <v>668</v>
      </c>
      <c r="M19" s="33">
        <f t="shared" si="0"/>
        <v>11.537132987910189</v>
      </c>
      <c r="N19" s="5">
        <f>VLOOKUP($B19,'Data Vlaue (Cr)'!$C:$FB,67)</f>
        <v>23337</v>
      </c>
      <c r="O19" s="5">
        <f>VLOOKUP($B19,'Data Vlaue (Cr)'!$C:$FB,68)</f>
        <v>4936</v>
      </c>
      <c r="P19" s="5">
        <f t="shared" si="1"/>
        <v>78.849038008312974</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206.35</v>
      </c>
      <c r="D20" s="82">
        <f>VLOOKUP($B20,'Data shares'!$C:$FB,98)</f>
        <v>325710000</v>
      </c>
      <c r="E20" s="165">
        <f>VLOOKUP(B20,'Snapshot (Volume)'!$A$7:$G$168,7,0)</f>
        <v>263705000</v>
      </c>
      <c r="F20" s="165">
        <f t="shared" si="2"/>
        <v>62005000</v>
      </c>
      <c r="G20" s="166">
        <f t="shared" si="3"/>
        <v>0.23513016438823686</v>
      </c>
      <c r="H20" s="165">
        <f>VLOOKUP($B20,'Data shares'!$C:$FB,66)</f>
        <v>1045625000</v>
      </c>
      <c r="I20" s="165">
        <f>VLOOKUP($B20,'Data shares'!$C:$FB,67)</f>
        <v>191060000</v>
      </c>
      <c r="J20" s="81">
        <f t="shared" si="4"/>
        <v>447.27572490317175</v>
      </c>
      <c r="K20" s="5">
        <f>VLOOKUP($B20,'Data Vlaue (Cr)'!$C:$FB,99)</f>
        <v>6718</v>
      </c>
      <c r="L20" s="81">
        <f>VLOOKUP(B20,'OI(Value)'!$A$7:$C$226,3,0)</f>
        <v>1279</v>
      </c>
      <c r="M20" s="33">
        <f t="shared" si="0"/>
        <v>19.038404286990176</v>
      </c>
      <c r="N20" s="5">
        <f>VLOOKUP($B20,'Data Vlaue (Cr)'!$C:$FB,67)</f>
        <v>21566</v>
      </c>
      <c r="O20" s="5">
        <f>VLOOKUP($B20,'Data Vlaue (Cr)'!$C:$FB,68)</f>
        <v>3941</v>
      </c>
      <c r="P20" s="5">
        <f t="shared" si="1"/>
        <v>81.72586478716498</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2392.5</v>
      </c>
      <c r="D21" s="82">
        <f>VLOOKUP($B21,'Data shares'!$C:$FB,98)</f>
        <v>29619750</v>
      </c>
      <c r="E21" s="165">
        <f>VLOOKUP(B21,'Snapshot (Volume)'!$A$7:$G$168,7,0)</f>
        <v>28464500</v>
      </c>
      <c r="F21" s="165">
        <f t="shared" si="2"/>
        <v>1155250</v>
      </c>
      <c r="G21" s="166">
        <f t="shared" si="3"/>
        <v>4.0585641764302904E-2</v>
      </c>
      <c r="H21" s="165">
        <f>VLOOKUP($B21,'Data shares'!$C:$FB,66)</f>
        <v>15679750</v>
      </c>
      <c r="I21" s="165">
        <f>VLOOKUP($B21,'Data shares'!$C:$FB,67)</f>
        <v>14781750</v>
      </c>
      <c r="J21" s="81">
        <f t="shared" si="4"/>
        <v>6.0750587717963027</v>
      </c>
      <c r="K21" s="5">
        <f>VLOOKUP($B21,'Data Vlaue (Cr)'!$C:$FB,99)</f>
        <v>7113</v>
      </c>
      <c r="L21" s="81">
        <f>VLOOKUP(B21,'OI(Value)'!$A$7:$C$226,3,0)</f>
        <v>277</v>
      </c>
      <c r="M21" s="33">
        <f t="shared" si="0"/>
        <v>3.8942780823843663</v>
      </c>
      <c r="N21" s="5">
        <f>VLOOKUP($B21,'Data Vlaue (Cr)'!$C:$FB,67)</f>
        <v>3765</v>
      </c>
      <c r="O21" s="5">
        <f>VLOOKUP($B21,'Data Vlaue (Cr)'!$C:$FB,68)</f>
        <v>3550</v>
      </c>
      <c r="P21" s="5">
        <f t="shared" si="1"/>
        <v>5.7104913678618852</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1592.1</v>
      </c>
      <c r="D22" s="82">
        <f>VLOOKUP($B22,'Data shares'!$C:$FB,98)</f>
        <v>14519275</v>
      </c>
      <c r="E22" s="165">
        <f>VLOOKUP(B22,'Snapshot (Volume)'!$A$7:$G$168,7,0)</f>
        <v>13858400</v>
      </c>
      <c r="F22" s="165">
        <f t="shared" si="2"/>
        <v>660875</v>
      </c>
      <c r="G22" s="166">
        <f t="shared" si="3"/>
        <v>4.7687684003925417E-2</v>
      </c>
      <c r="H22" s="165">
        <f>VLOOKUP($B22,'Data shares'!$C:$FB,66)</f>
        <v>26813250</v>
      </c>
      <c r="I22" s="165">
        <f>VLOOKUP($B22,'Data shares'!$C:$FB,67)</f>
        <v>19276300</v>
      </c>
      <c r="J22" s="81">
        <f t="shared" si="4"/>
        <v>39.099567863127263</v>
      </c>
      <c r="K22" s="5">
        <f>VLOOKUP($B22,'Data Vlaue (Cr)'!$C:$FB,99)</f>
        <v>2310</v>
      </c>
      <c r="L22" s="81">
        <f>VLOOKUP(B22,'OI(Value)'!$A$7:$C$226,3,0)</f>
        <v>105</v>
      </c>
      <c r="M22" s="33">
        <f t="shared" si="0"/>
        <v>4.5454545454545459</v>
      </c>
      <c r="N22" s="5">
        <f>VLOOKUP($B22,'Data Vlaue (Cr)'!$C:$FB,67)</f>
        <v>4267</v>
      </c>
      <c r="O22" s="5">
        <f>VLOOKUP($B22,'Data Vlaue (Cr)'!$C:$FB,68)</f>
        <v>3067</v>
      </c>
      <c r="P22" s="5">
        <f t="shared" si="1"/>
        <v>28.122802906022965</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990.25</v>
      </c>
      <c r="D23" s="82">
        <f>VLOOKUP($B23,'Data shares'!$C:$FB,98)</f>
        <v>30874000</v>
      </c>
      <c r="E23" s="165">
        <f>VLOOKUP(B23,'Snapshot (Volume)'!$A$7:$G$168,7,0)</f>
        <v>30560000</v>
      </c>
      <c r="F23" s="165">
        <f t="shared" si="2"/>
        <v>314000</v>
      </c>
      <c r="G23" s="166">
        <f t="shared" si="3"/>
        <v>1.0274869109947644E-2</v>
      </c>
      <c r="H23" s="165">
        <f>VLOOKUP($B23,'Data shares'!$C:$FB,66)</f>
        <v>13742000</v>
      </c>
      <c r="I23" s="165">
        <f>VLOOKUP($B23,'Data shares'!$C:$FB,67)</f>
        <v>13741000</v>
      </c>
      <c r="J23" s="81">
        <f>(H23-I23)/I23*100</f>
        <v>7.2774907211993305E-3</v>
      </c>
      <c r="K23" s="5">
        <f>VLOOKUP($B23,'Data Vlaue (Cr)'!$C:$FB,99)</f>
        <v>3059</v>
      </c>
      <c r="L23" s="81">
        <f>VLOOKUP(B23,'OI(Value)'!$A$7:$C$226,3,0)</f>
        <v>31</v>
      </c>
      <c r="M23" s="33">
        <f t="shared" si="0"/>
        <v>1.0134030728996404</v>
      </c>
      <c r="N23" s="5">
        <f>VLOOKUP($B23,'Data Vlaue (Cr)'!$C:$FB,67)</f>
        <v>1362</v>
      </c>
      <c r="O23" s="5">
        <f>VLOOKUP($B23,'Data Vlaue (Cr)'!$C:$FB,68)</f>
        <v>1362</v>
      </c>
      <c r="P23" s="5">
        <f t="shared" si="1"/>
        <v>0</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1146.5999999999999</v>
      </c>
      <c r="D24" s="80">
        <f>VLOOKUP($B24,'Data shares'!$C:$FB,98)</f>
        <v>38993900</v>
      </c>
      <c r="E24" s="165">
        <f>VLOOKUP(B24,'Snapshot (Volume)'!$A$7:$G$168,7,0)</f>
        <v>39296950</v>
      </c>
      <c r="F24" s="165">
        <f t="shared" ref="F24:F36" si="5">D24-E24</f>
        <v>-303050</v>
      </c>
      <c r="G24" s="166">
        <f t="shared" ref="G24:G36" si="6">F24/E24</f>
        <v>-7.7117944267939371E-3</v>
      </c>
      <c r="H24" s="165">
        <f>VLOOKUP($B24,'Data shares'!$C:$FB,66)</f>
        <v>63129000</v>
      </c>
      <c r="I24" s="165">
        <f>VLOOKUP($B24,'Data shares'!$C:$FB,67)</f>
        <v>115479650</v>
      </c>
      <c r="J24" s="81">
        <f t="shared" ref="J24:J36" si="7">(H24-I24)/I24*100</f>
        <v>-45.333225377804659</v>
      </c>
      <c r="K24" s="81">
        <f>VLOOKUP($B24,'Data Vlaue (Cr)'!$C:$FB,99)</f>
        <v>4483</v>
      </c>
      <c r="L24" s="81">
        <f>VLOOKUP(B24,'OI(Value)'!$A$7:$C$226,3,0)</f>
        <v>-35</v>
      </c>
      <c r="M24" s="81">
        <f t="shared" si="0"/>
        <v>-0.78072719161275927</v>
      </c>
      <c r="N24" s="81">
        <f>VLOOKUP($B24,'Data Vlaue (Cr)'!$C:$FB,67)</f>
        <v>7258</v>
      </c>
      <c r="O24" s="81">
        <f>VLOOKUP($B24,'Data Vlaue (Cr)'!$C:$FB,68)</f>
        <v>13277</v>
      </c>
      <c r="P24" s="81">
        <f t="shared" ref="P24:P36" si="8">(N24-O24)/N24*100</f>
        <v>-82.929181592725271</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1347.3</v>
      </c>
      <c r="D25" s="82">
        <f>VLOOKUP($B25,'Data shares'!$C:$FB,98)</f>
        <v>110110000</v>
      </c>
      <c r="E25" s="165">
        <f>VLOOKUP(B25,'Snapshot (Volume)'!$A$7:$G$168,7,0)</f>
        <v>110224375</v>
      </c>
      <c r="F25" s="165">
        <f t="shared" si="5"/>
        <v>-114375</v>
      </c>
      <c r="G25" s="166">
        <f t="shared" si="6"/>
        <v>-1.037656144568749E-3</v>
      </c>
      <c r="H25" s="165">
        <f>VLOOKUP($B25,'Data shares'!$C:$FB,66)</f>
        <v>35283750</v>
      </c>
      <c r="I25" s="165">
        <f>VLOOKUP($B25,'Data shares'!$C:$FB,67)</f>
        <v>58873125</v>
      </c>
      <c r="J25" s="81">
        <f t="shared" si="7"/>
        <v>-40.06815503678461</v>
      </c>
      <c r="K25" s="5">
        <f>VLOOKUP($B25,'Data Vlaue (Cr)'!$C:$FB,99)</f>
        <v>14843</v>
      </c>
      <c r="L25" s="81">
        <f>VLOOKUP(B25,'OI(Value)'!$A$7:$C$226,3,0)</f>
        <v>-15</v>
      </c>
      <c r="M25" s="33">
        <f t="shared" si="0"/>
        <v>-0.10105773765411305</v>
      </c>
      <c r="N25" s="5">
        <f>VLOOKUP($B25,'Data Vlaue (Cr)'!$C:$FB,67)</f>
        <v>4756</v>
      </c>
      <c r="O25" s="5">
        <f>VLOOKUP($B25,'Data Vlaue (Cr)'!$C:$FB,68)</f>
        <v>7936</v>
      </c>
      <c r="P25" s="5">
        <f t="shared" si="8"/>
        <v>-66.862910008410424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9869.5</v>
      </c>
      <c r="D26" s="82">
        <f>VLOOKUP($B26,'Data shares'!$C:$FB,98)</f>
        <v>5519175</v>
      </c>
      <c r="E26" s="165">
        <f>VLOOKUP(B26,'Snapshot (Volume)'!$A$7:$G$168,7,0)</f>
        <v>5380650</v>
      </c>
      <c r="F26" s="165">
        <f t="shared" si="5"/>
        <v>138525</v>
      </c>
      <c r="G26" s="166">
        <f t="shared" si="6"/>
        <v>2.5745030804828414E-2</v>
      </c>
      <c r="H26" s="165">
        <f>VLOOKUP($B26,'Data shares'!$C:$FB,66)</f>
        <v>5184900</v>
      </c>
      <c r="I26" s="165">
        <f>VLOOKUP($B26,'Data shares'!$C:$FB,67)</f>
        <v>8900700</v>
      </c>
      <c r="J26" s="81">
        <f t="shared" si="7"/>
        <v>-41.747278303953621</v>
      </c>
      <c r="K26" s="5">
        <f>VLOOKUP($B26,'Data Vlaue (Cr)'!$C:$FB,99)</f>
        <v>5447</v>
      </c>
      <c r="L26" s="81">
        <f>VLOOKUP(B26,'OI(Value)'!$A$7:$C$226,3,0)</f>
        <v>137</v>
      </c>
      <c r="M26" s="33">
        <f t="shared" si="0"/>
        <v>2.5151459519001285</v>
      </c>
      <c r="N26" s="5">
        <f>VLOOKUP($B26,'Data Vlaue (Cr)'!$C:$FB,67)</f>
        <v>5117</v>
      </c>
      <c r="O26" s="5">
        <f>VLOOKUP($B26,'Data Vlaue (Cr)'!$C:$FB,68)</f>
        <v>8785</v>
      </c>
      <c r="P26" s="5">
        <f t="shared" si="8"/>
        <v>-71.682626538987691</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2027</v>
      </c>
      <c r="D27" s="82">
        <f>VLOOKUP($B27,'Data shares'!$C:$FB,98)</f>
        <v>22548250</v>
      </c>
      <c r="E27" s="165">
        <f>VLOOKUP(B27,'Snapshot (Volume)'!$A$7:$G$168,7,0)</f>
        <v>22591750</v>
      </c>
      <c r="F27" s="165">
        <f t="shared" si="5"/>
        <v>-43500</v>
      </c>
      <c r="G27" s="166">
        <f t="shared" si="6"/>
        <v>-1.9254816470614274E-3</v>
      </c>
      <c r="H27" s="165">
        <f>VLOOKUP($B27,'Data shares'!$C:$FB,66)</f>
        <v>11158250</v>
      </c>
      <c r="I27" s="165">
        <f>VLOOKUP($B27,'Data shares'!$C:$FB,67)</f>
        <v>7134250</v>
      </c>
      <c r="J27" s="81">
        <f t="shared" si="7"/>
        <v>56.403966779969863</v>
      </c>
      <c r="K27" s="5">
        <f>VLOOKUP($B27,'Data Vlaue (Cr)'!$C:$FB,99)</f>
        <v>4574</v>
      </c>
      <c r="L27" s="81">
        <f>VLOOKUP(B27,'OI(Value)'!$A$7:$C$226,3,0)</f>
        <v>-9</v>
      </c>
      <c r="M27" s="33">
        <f t="shared" si="0"/>
        <v>-0.19676432006996064</v>
      </c>
      <c r="N27" s="5">
        <f>VLOOKUP($B27,'Data Vlaue (Cr)'!$C:$FB,67)</f>
        <v>2263</v>
      </c>
      <c r="O27" s="5">
        <f>VLOOKUP($B27,'Data Vlaue (Cr)'!$C:$FB,68)</f>
        <v>1447</v>
      </c>
      <c r="P27" s="5">
        <f t="shared" si="8"/>
        <v>36.058329650905883</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BAJAJHLDNG</v>
      </c>
      <c r="C28" s="4">
        <f>VLOOKUP($B28,'Data shares'!$C:$FB,7)</f>
        <v>11111</v>
      </c>
      <c r="D28" s="82">
        <f>VLOOKUP($B28,'Data shares'!$C:$FB,98)</f>
        <v>438250</v>
      </c>
      <c r="E28" s="165">
        <f>VLOOKUP(B28,'Snapshot (Volume)'!$A$7:$G$168,7,0)</f>
        <v>438650</v>
      </c>
      <c r="F28" s="165">
        <f t="shared" si="5"/>
        <v>-400</v>
      </c>
      <c r="G28" s="166">
        <f t="shared" si="6"/>
        <v>-9.1188874957255216E-4</v>
      </c>
      <c r="H28" s="165">
        <f>VLOOKUP($B28,'Data shares'!$C:$FB,66)</f>
        <v>155650</v>
      </c>
      <c r="I28" s="165">
        <f>VLOOKUP($B28,'Data shares'!$C:$FB,67)</f>
        <v>163650</v>
      </c>
      <c r="J28" s="81">
        <f t="shared" si="7"/>
        <v>-4.8884815154292696</v>
      </c>
      <c r="K28" s="5">
        <f>VLOOKUP($B28,'Data Vlaue (Cr)'!$C:$FB,99)</f>
        <v>487</v>
      </c>
      <c r="L28" s="81">
        <f>VLOOKUP(B28,'OI(Value)'!$A$7:$C$226,3,0)</f>
        <v>0</v>
      </c>
      <c r="M28" s="33">
        <f t="shared" si="0"/>
        <v>0</v>
      </c>
      <c r="N28" s="5">
        <f>VLOOKUP($B28,'Data Vlaue (Cr)'!$C:$FB,67)</f>
        <v>173</v>
      </c>
      <c r="O28" s="5">
        <f>VLOOKUP($B28,'Data Vlaue (Cr)'!$C:$FB,68)</f>
        <v>182</v>
      </c>
      <c r="P28" s="5">
        <f t="shared" si="8"/>
        <v>-5.202312138728324</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968.95</v>
      </c>
      <c r="D29" s="82">
        <f>VLOOKUP($B29,'Data shares'!$C:$FB,98)</f>
        <v>123766500</v>
      </c>
      <c r="E29" s="165">
        <f>VLOOKUP(B29,'Snapshot (Volume)'!$A$7:$G$168,7,0)</f>
        <v>125115000</v>
      </c>
      <c r="F29" s="165">
        <f t="shared" si="5"/>
        <v>-1348500</v>
      </c>
      <c r="G29" s="166">
        <f t="shared" si="6"/>
        <v>-1.0778084162570435E-2</v>
      </c>
      <c r="H29" s="165">
        <f>VLOOKUP($B29,'Data shares'!$C:$FB,66)</f>
        <v>37087500</v>
      </c>
      <c r="I29" s="165">
        <f>VLOOKUP($B29,'Data shares'!$C:$FB,67)</f>
        <v>43986000</v>
      </c>
      <c r="J29" s="81">
        <f t="shared" si="7"/>
        <v>-15.683399263401993</v>
      </c>
      <c r="K29" s="5">
        <f>VLOOKUP($B29,'Data Vlaue (Cr)'!$C:$FB,99)</f>
        <v>11997</v>
      </c>
      <c r="L29" s="81">
        <f>VLOOKUP(B29,'OI(Value)'!$A$7:$C$226,3,0)</f>
        <v>-131</v>
      </c>
      <c r="M29" s="33">
        <f t="shared" si="0"/>
        <v>-1.0919396515795616</v>
      </c>
      <c r="N29" s="5">
        <f>VLOOKUP($B29,'Data Vlaue (Cr)'!$C:$FB,67)</f>
        <v>3595</v>
      </c>
      <c r="O29" s="5">
        <f>VLOOKUP($B29,'Data Vlaue (Cr)'!$C:$FB,68)</f>
        <v>4264</v>
      </c>
      <c r="P29" s="5">
        <f t="shared" si="8"/>
        <v>-18.609179415855355</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168.26</v>
      </c>
      <c r="D30" s="82">
        <f>VLOOKUP($B30,'Data shares'!$C:$FB,98)</f>
        <v>147517200</v>
      </c>
      <c r="E30" s="165">
        <f>VLOOKUP(B30,'Snapshot (Volume)'!$A$7:$G$168,7,0)</f>
        <v>149472000</v>
      </c>
      <c r="F30" s="165">
        <f t="shared" si="5"/>
        <v>-1954800</v>
      </c>
      <c r="G30" s="166">
        <f t="shared" si="6"/>
        <v>-1.3078034682080925E-2</v>
      </c>
      <c r="H30" s="165">
        <f>VLOOKUP($B30,'Data shares'!$C:$FB,66)</f>
        <v>72172800</v>
      </c>
      <c r="I30" s="165">
        <f>VLOOKUP($B30,'Data shares'!$C:$FB,67)</f>
        <v>100224000</v>
      </c>
      <c r="J30" s="81">
        <f t="shared" si="7"/>
        <v>-27.988505747126435</v>
      </c>
      <c r="K30" s="5">
        <f>VLOOKUP($B30,'Data Vlaue (Cr)'!$C:$FB,99)</f>
        <v>2482</v>
      </c>
      <c r="L30" s="81">
        <f>VLOOKUP(B30,'OI(Value)'!$A$7:$C$226,3,0)</f>
        <v>-33</v>
      </c>
      <c r="M30" s="33">
        <f t="shared" si="0"/>
        <v>-1.3295729250604351</v>
      </c>
      <c r="N30" s="5">
        <f>VLOOKUP($B30,'Data Vlaue (Cr)'!$C:$FB,67)</f>
        <v>1215</v>
      </c>
      <c r="O30" s="5">
        <f>VLOOKUP($B30,'Data Vlaue (Cr)'!$C:$FB,68)</f>
        <v>1687</v>
      </c>
      <c r="P30" s="5">
        <f t="shared" si="8"/>
        <v>-38.847736625514401</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291.2</v>
      </c>
      <c r="D31" s="82">
        <f>VLOOKUP($B31,'Data shares'!$C:$FB,98)</f>
        <v>184181400</v>
      </c>
      <c r="E31" s="165">
        <f>VLOOKUP(B31,'Snapshot (Volume)'!$A$7:$G$168,7,0)</f>
        <v>181475775</v>
      </c>
      <c r="F31" s="165">
        <f t="shared" si="5"/>
        <v>2705625</v>
      </c>
      <c r="G31" s="166">
        <f t="shared" si="6"/>
        <v>1.4909014715600471E-2</v>
      </c>
      <c r="H31" s="165">
        <f>VLOOKUP($B31,'Data shares'!$C:$FB,66)</f>
        <v>101003175</v>
      </c>
      <c r="I31" s="165">
        <f>VLOOKUP($B31,'Data shares'!$C:$FB,67)</f>
        <v>49397400</v>
      </c>
      <c r="J31" s="81">
        <f t="shared" si="7"/>
        <v>104.47063003315964</v>
      </c>
      <c r="K31" s="5">
        <f>VLOOKUP($B31,'Data Vlaue (Cr)'!$C:$FB,99)</f>
        <v>5367</v>
      </c>
      <c r="L31" s="81">
        <f>VLOOKUP(B31,'OI(Value)'!$A$7:$C$226,3,0)</f>
        <v>79</v>
      </c>
      <c r="M31" s="33">
        <f t="shared" si="0"/>
        <v>1.4719582634618966</v>
      </c>
      <c r="N31" s="5">
        <f>VLOOKUP($B31,'Data Vlaue (Cr)'!$C:$FB,67)</f>
        <v>2943</v>
      </c>
      <c r="O31" s="5">
        <f>VLOOKUP($B31,'Data Vlaue (Cr)'!$C:$FB,68)</f>
        <v>1439</v>
      </c>
      <c r="P31" s="5">
        <f t="shared" si="8"/>
        <v>51.104315324498806</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167.13</v>
      </c>
      <c r="D32" s="82">
        <f>VLOOKUP($B32,'Data shares'!$C:$FB,98)</f>
        <v>92762800</v>
      </c>
      <c r="E32" s="165">
        <f>VLOOKUP(B32,'Snapshot (Volume)'!$A$7:$G$168,7,0)</f>
        <v>93392000</v>
      </c>
      <c r="F32" s="165">
        <f t="shared" si="5"/>
        <v>-629200</v>
      </c>
      <c r="G32" s="166">
        <f t="shared" si="6"/>
        <v>-6.7371937639198222E-3</v>
      </c>
      <c r="H32" s="165">
        <f>VLOOKUP($B32,'Data shares'!$C:$FB,66)</f>
        <v>51443600</v>
      </c>
      <c r="I32" s="165">
        <f>VLOOKUP($B32,'Data shares'!$C:$FB,67)</f>
        <v>34704800</v>
      </c>
      <c r="J32" s="81">
        <f t="shared" si="7"/>
        <v>48.231944860653279</v>
      </c>
      <c r="K32" s="5">
        <f>VLOOKUP($B32,'Data Vlaue (Cr)'!$C:$FB,99)</f>
        <v>1554</v>
      </c>
      <c r="L32" s="81">
        <f>VLOOKUP(B32,'OI(Value)'!$A$7:$C$226,3,0)</f>
        <v>-11</v>
      </c>
      <c r="M32" s="33">
        <f t="shared" si="0"/>
        <v>-0.70785070785070792</v>
      </c>
      <c r="N32" s="5">
        <f>VLOOKUP($B32,'Data Vlaue (Cr)'!$C:$FB,67)</f>
        <v>862</v>
      </c>
      <c r="O32" s="5">
        <f>VLOOKUP($B32,'Data Vlaue (Cr)'!$C:$FB,68)</f>
        <v>582</v>
      </c>
      <c r="P32" s="5">
        <f t="shared" si="8"/>
        <v>32.482598607888633</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60745.35</v>
      </c>
      <c r="D33" s="82">
        <f>VLOOKUP($B33,'Data shares'!$C:$FB,98)</f>
        <v>33713915</v>
      </c>
      <c r="E33" s="165">
        <f>VLOOKUP(B33,'Snapshot (Volume)'!$A$7:$G$168,7,0)</f>
        <v>31587505</v>
      </c>
      <c r="F33" s="165">
        <f t="shared" si="5"/>
        <v>2126410</v>
      </c>
      <c r="G33" s="166">
        <f t="shared" si="6"/>
        <v>6.7318074029588601E-2</v>
      </c>
      <c r="H33" s="165">
        <f>VLOOKUP($B33,'Data shares'!$C:$FB,66)</f>
        <v>69202260</v>
      </c>
      <c r="I33" s="165">
        <f>VLOOKUP($B33,'Data shares'!$C:$FB,67)</f>
        <v>55623150</v>
      </c>
      <c r="J33" s="81">
        <f t="shared" si="7"/>
        <v>24.412695073903581</v>
      </c>
      <c r="K33" s="5">
        <f>VLOOKUP($B33,'Data Vlaue (Cr)'!$C:$FB,99)</f>
        <v>205011</v>
      </c>
      <c r="L33" s="81">
        <f>VLOOKUP(B33,'OI(Value)'!$A$7:$C$226,3,0)</f>
        <v>12930</v>
      </c>
      <c r="M33" s="33">
        <f t="shared" si="0"/>
        <v>6.3069786499261014</v>
      </c>
      <c r="N33" s="5">
        <f>VLOOKUP($B33,'Data Vlaue (Cr)'!$C:$FB,67)</f>
        <v>420812</v>
      </c>
      <c r="O33" s="5">
        <f>VLOOKUP($B33,'Data Vlaue (Cr)'!$C:$FB,68)</f>
        <v>338239</v>
      </c>
      <c r="P33" s="5">
        <f t="shared" si="8"/>
        <v>19.62230164539034</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1282.5999999999999</v>
      </c>
      <c r="D34" s="82">
        <f>VLOOKUP($B34,'Data shares'!$C:$FB,98)</f>
        <v>22506750</v>
      </c>
      <c r="E34" s="165">
        <f>VLOOKUP(B34,'Snapshot (Volume)'!$A$7:$G$168,7,0)</f>
        <v>22599850</v>
      </c>
      <c r="F34" s="165">
        <f t="shared" si="5"/>
        <v>-93100</v>
      </c>
      <c r="G34" s="166">
        <f t="shared" si="6"/>
        <v>-4.1194963683387278E-3</v>
      </c>
      <c r="H34" s="165">
        <f>VLOOKUP($B34,'Data shares'!$C:$FB,66)</f>
        <v>10279500</v>
      </c>
      <c r="I34" s="165">
        <f>VLOOKUP($B34,'Data shares'!$C:$FB,67)</f>
        <v>10994900</v>
      </c>
      <c r="J34" s="81">
        <f t="shared" si="7"/>
        <v>-6.5066530846119557</v>
      </c>
      <c r="K34" s="5">
        <f>VLOOKUP($B34,'Data Vlaue (Cr)'!$C:$FB,99)</f>
        <v>2894</v>
      </c>
      <c r="L34" s="81">
        <f>VLOOKUP(B34,'OI(Value)'!$A$7:$C$226,3,0)</f>
        <v>-12</v>
      </c>
      <c r="M34" s="33">
        <f t="shared" si="0"/>
        <v>-0.414651002073255</v>
      </c>
      <c r="N34" s="5">
        <f>VLOOKUP($B34,'Data Vlaue (Cr)'!$C:$FB,67)</f>
        <v>1322</v>
      </c>
      <c r="O34" s="5">
        <f>VLOOKUP($B34,'Data Vlaue (Cr)'!$C:$FB,68)</f>
        <v>1414</v>
      </c>
      <c r="P34" s="5">
        <f t="shared" si="8"/>
        <v>-6.9591527987897122</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437.55</v>
      </c>
      <c r="D35" s="82">
        <f>VLOOKUP($B35,'Data shares'!$C:$FB,98)</f>
        <v>259092075</v>
      </c>
      <c r="E35" s="165">
        <f>VLOOKUP(B35,'Snapshot (Volume)'!$A$7:$G$168,7,0)</f>
        <v>263291550</v>
      </c>
      <c r="F35" s="165">
        <f t="shared" si="5"/>
        <v>-4199475</v>
      </c>
      <c r="G35" s="166">
        <f t="shared" si="6"/>
        <v>-1.5949904203154262E-2</v>
      </c>
      <c r="H35" s="165">
        <f>VLOOKUP($B35,'Data shares'!$C:$FB,66)</f>
        <v>83204325</v>
      </c>
      <c r="I35" s="165">
        <f>VLOOKUP($B35,'Data shares'!$C:$FB,67)</f>
        <v>119338050</v>
      </c>
      <c r="J35" s="81">
        <f t="shared" si="7"/>
        <v>-30.278461060826782</v>
      </c>
      <c r="K35" s="5">
        <f>VLOOKUP($B35,'Data Vlaue (Cr)'!$C:$FB,99)</f>
        <v>11340</v>
      </c>
      <c r="L35" s="81">
        <f>VLOOKUP(B35,'OI(Value)'!$A$7:$C$226,3,0)</f>
        <v>-184</v>
      </c>
      <c r="M35" s="33">
        <f t="shared" si="0"/>
        <v>-1.6225749559082892</v>
      </c>
      <c r="N35" s="5">
        <f>VLOOKUP($B35,'Data Vlaue (Cr)'!$C:$FB,67)</f>
        <v>3642</v>
      </c>
      <c r="O35" s="5">
        <f>VLOOKUP($B35,'Data Vlaue (Cr)'!$C:$FB,68)</f>
        <v>5223</v>
      </c>
      <c r="P35" s="5">
        <f t="shared" si="8"/>
        <v>-43.410214168039538</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1676.4</v>
      </c>
      <c r="D36" s="82">
        <f>VLOOKUP($B36,'Data shares'!$C:$FB,98)</f>
        <v>13179500</v>
      </c>
      <c r="E36" s="165">
        <f>VLOOKUP(B36,'Snapshot (Volume)'!$A$7:$G$168,7,0)</f>
        <v>12147500</v>
      </c>
      <c r="F36" s="165">
        <f t="shared" si="5"/>
        <v>1032000</v>
      </c>
      <c r="G36" s="166">
        <f t="shared" si="6"/>
        <v>8.4955752212389379E-2</v>
      </c>
      <c r="H36" s="165">
        <f>VLOOKUP($B36,'Data shares'!$C:$FB,66)</f>
        <v>22774000</v>
      </c>
      <c r="I36" s="165">
        <f>VLOOKUP($B36,'Data shares'!$C:$FB,67)</f>
        <v>6783500</v>
      </c>
      <c r="J36" s="81">
        <f t="shared" si="7"/>
        <v>235.72639492887154</v>
      </c>
      <c r="K36" s="5">
        <f>VLOOKUP($B36,'Data Vlaue (Cr)'!$C:$FB,99)</f>
        <v>2212</v>
      </c>
      <c r="L36" s="81">
        <f>VLOOKUP(B36,'OI(Value)'!$A$7:$C$226,3,0)</f>
        <v>173</v>
      </c>
      <c r="M36" s="33">
        <f t="shared" si="0"/>
        <v>7.8209764918625675</v>
      </c>
      <c r="N36" s="5">
        <f>VLOOKUP($B36,'Data Vlaue (Cr)'!$C:$FB,67)</f>
        <v>3822</v>
      </c>
      <c r="O36" s="5">
        <f>VLOOKUP($B36,'Data Vlaue (Cr)'!$C:$FB,68)</f>
        <v>1139</v>
      </c>
      <c r="P36" s="5">
        <f t="shared" si="8"/>
        <v>70.198848770277351</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2012.1</v>
      </c>
      <c r="D37" s="82">
        <f>VLOOKUP($B37,'Data shares'!$C:$FB,98)</f>
        <v>76190950</v>
      </c>
      <c r="E37" s="165">
        <f>VLOOKUP(B37,'Snapshot (Volume)'!$A$7:$G$168,7,0)</f>
        <v>74646725</v>
      </c>
      <c r="F37" s="165">
        <f t="shared" ref="F37:F43" si="9">D37-E37</f>
        <v>1544225</v>
      </c>
      <c r="G37" s="166">
        <f t="shared" ref="G37:G43" si="10">F37/E37</f>
        <v>2.0687109849762332E-2</v>
      </c>
      <c r="H37" s="165">
        <f>VLOOKUP($B37,'Data shares'!$C:$FB,66)</f>
        <v>39387950</v>
      </c>
      <c r="I37" s="165">
        <f>VLOOKUP($B37,'Data shares'!$C:$FB,67)</f>
        <v>39064475</v>
      </c>
      <c r="J37" s="81">
        <f t="shared" ref="J37:J43" si="11">(H37-I37)/I37*100</f>
        <v>0.82805413358300606</v>
      </c>
      <c r="K37" s="5">
        <f>VLOOKUP($B37,'Data Vlaue (Cr)'!$C:$FB,99)</f>
        <v>15376</v>
      </c>
      <c r="L37" s="81">
        <f>VLOOKUP(B37,'OI(Value)'!$A$7:$C$226,3,0)</f>
        <v>312</v>
      </c>
      <c r="M37" s="33">
        <f t="shared" ref="M37:M65" si="12">L37/K37*100</f>
        <v>2.0291363163371487</v>
      </c>
      <c r="N37" s="5">
        <f>VLOOKUP($B37,'Data Vlaue (Cr)'!$C:$FB,67)</f>
        <v>7949</v>
      </c>
      <c r="O37" s="5">
        <f>VLOOKUP($B37,'Data Vlaue (Cr)'!$C:$FB,68)</f>
        <v>7884</v>
      </c>
      <c r="P37" s="5">
        <f t="shared" ref="P37:P43" si="13">(N37-O37)/N37*100</f>
        <v>0.81771291986413375</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260.64999999999998</v>
      </c>
      <c r="D38" s="82">
        <f>VLOOKUP($B38,'Data shares'!$C:$FB,98)</f>
        <v>222096000</v>
      </c>
      <c r="E38" s="165">
        <f>VLOOKUP(B38,'Snapshot (Volume)'!$A$7:$G$168,7,0)</f>
        <v>152181750</v>
      </c>
      <c r="F38" s="165">
        <f t="shared" si="9"/>
        <v>69914250</v>
      </c>
      <c r="G38" s="166">
        <f t="shared" si="10"/>
        <v>0.45941284023872769</v>
      </c>
      <c r="H38" s="165">
        <f>VLOOKUP($B38,'Data shares'!$C:$FB,66)</f>
        <v>480619125</v>
      </c>
      <c r="I38" s="165">
        <f>VLOOKUP($B38,'Data shares'!$C:$FB,67)</f>
        <v>81125625</v>
      </c>
      <c r="J38" s="81">
        <f t="shared" si="11"/>
        <v>492.43811680957776</v>
      </c>
      <c r="K38" s="5">
        <f>VLOOKUP($B38,'Data Vlaue (Cr)'!$C:$FB,99)</f>
        <v>5790</v>
      </c>
      <c r="L38" s="81">
        <f>VLOOKUP(B38,'OI(Value)'!$A$7:$C$226,3,0)</f>
        <v>1823</v>
      </c>
      <c r="M38" s="33">
        <f t="shared" si="12"/>
        <v>31.4853195164076</v>
      </c>
      <c r="N38" s="5">
        <f>VLOOKUP($B38,'Data Vlaue (Cr)'!$C:$FB,67)</f>
        <v>12530</v>
      </c>
      <c r="O38" s="5">
        <f>VLOOKUP($B38,'Data Vlaue (Cr)'!$C:$FB,68)</f>
        <v>2115</v>
      </c>
      <c r="P38" s="5">
        <f t="shared" si="13"/>
        <v>83.120510774142062</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375.2</v>
      </c>
      <c r="D39" s="82">
        <f>VLOOKUP($B39,'Data shares'!$C:$FB,98)</f>
        <v>83435000</v>
      </c>
      <c r="E39" s="165">
        <f>VLOOKUP(B39,'Snapshot (Volume)'!$A$7:$G$168,7,0)</f>
        <v>79215000</v>
      </c>
      <c r="F39" s="165">
        <f t="shared" si="9"/>
        <v>4220000</v>
      </c>
      <c r="G39" s="166">
        <f t="shared" si="10"/>
        <v>5.3272738748974313E-2</v>
      </c>
      <c r="H39" s="165">
        <f>VLOOKUP($B39,'Data shares'!$C:$FB,66)</f>
        <v>48047500</v>
      </c>
      <c r="I39" s="165">
        <f>VLOOKUP($B39,'Data shares'!$C:$FB,67)</f>
        <v>36200000</v>
      </c>
      <c r="J39" s="81">
        <f t="shared" si="11"/>
        <v>32.72790055248619</v>
      </c>
      <c r="K39" s="5">
        <f>VLOOKUP($B39,'Data Vlaue (Cr)'!$C:$FB,99)</f>
        <v>3139</v>
      </c>
      <c r="L39" s="81">
        <f>VLOOKUP(B39,'OI(Value)'!$A$7:$C$226,3,0)</f>
        <v>159</v>
      </c>
      <c r="M39" s="33">
        <f t="shared" si="12"/>
        <v>5.0653074227460975</v>
      </c>
      <c r="N39" s="5">
        <f>VLOOKUP($B39,'Data Vlaue (Cr)'!$C:$FB,67)</f>
        <v>1808</v>
      </c>
      <c r="O39" s="5">
        <f>VLOOKUP($B39,'Data Vlaue (Cr)'!$C:$FB,68)</f>
        <v>1362</v>
      </c>
      <c r="P39" s="5">
        <f t="shared" si="13"/>
        <v>24.668141592920353</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1962.2</v>
      </c>
      <c r="D40" s="82">
        <f>VLOOKUP($B40,'Data shares'!$C:$FB,98)</f>
        <v>5661175</v>
      </c>
      <c r="E40" s="165">
        <f>VLOOKUP(B40,'Snapshot (Volume)'!$A$7:$G$168,7,0)</f>
        <v>5698875</v>
      </c>
      <c r="F40" s="165">
        <f t="shared" si="9"/>
        <v>-37700</v>
      </c>
      <c r="G40" s="166">
        <f t="shared" si="10"/>
        <v>-6.6153407470772741E-3</v>
      </c>
      <c r="H40" s="165">
        <f>VLOOKUP($B40,'Data shares'!$C:$FB,66)</f>
        <v>1916850</v>
      </c>
      <c r="I40" s="165">
        <f>VLOOKUP($B40,'Data shares'!$C:$FB,67)</f>
        <v>11791975</v>
      </c>
      <c r="J40" s="81">
        <f t="shared" si="11"/>
        <v>-83.744453325248742</v>
      </c>
      <c r="K40" s="5">
        <f>VLOOKUP($B40,'Data Vlaue (Cr)'!$C:$FB,99)</f>
        <v>1114</v>
      </c>
      <c r="L40" s="81">
        <f>VLOOKUP(B40,'OI(Value)'!$A$7:$C$226,3,0)</f>
        <v>-7</v>
      </c>
      <c r="M40" s="33">
        <f t="shared" si="12"/>
        <v>-0.62836624775583483</v>
      </c>
      <c r="N40" s="5">
        <f>VLOOKUP($B40,'Data Vlaue (Cr)'!$C:$FB,67)</f>
        <v>377</v>
      </c>
      <c r="O40" s="5">
        <f>VLOOKUP($B40,'Data Vlaue (Cr)'!$C:$FB,68)</f>
        <v>2321</v>
      </c>
      <c r="P40" s="5">
        <f t="shared" si="13"/>
        <v>-515.64986737400534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36570</v>
      </c>
      <c r="D41" s="82">
        <f>VLOOKUP($B41,'Data shares'!$C:$FB,98)</f>
        <v>476450</v>
      </c>
      <c r="E41" s="165">
        <f>VLOOKUP(B41,'Snapshot (Volume)'!$A$7:$G$168,7,0)</f>
        <v>507150</v>
      </c>
      <c r="F41" s="165">
        <f t="shared" si="9"/>
        <v>-30700</v>
      </c>
      <c r="G41" s="166">
        <f t="shared" si="10"/>
        <v>-6.0534358671004637E-2</v>
      </c>
      <c r="H41" s="165">
        <f>VLOOKUP($B41,'Data shares'!$C:$FB,66)</f>
        <v>801350</v>
      </c>
      <c r="I41" s="165">
        <f>VLOOKUP($B41,'Data shares'!$C:$FB,67)</f>
        <v>408600</v>
      </c>
      <c r="J41" s="81">
        <f t="shared" si="11"/>
        <v>96.120900636319135</v>
      </c>
      <c r="K41" s="5">
        <f>VLOOKUP($B41,'Data Vlaue (Cr)'!$C:$FB,99)</f>
        <v>1745</v>
      </c>
      <c r="L41" s="81">
        <f>VLOOKUP(B41,'OI(Value)'!$A$7:$C$226,3,0)</f>
        <v>-112</v>
      </c>
      <c r="M41" s="33">
        <f t="shared" si="12"/>
        <v>-6.4183381088825211</v>
      </c>
      <c r="N41" s="5">
        <f>VLOOKUP($B41,'Data Vlaue (Cr)'!$C:$FB,67)</f>
        <v>2935</v>
      </c>
      <c r="O41" s="5">
        <f>VLOOKUP($B41,'Data Vlaue (Cr)'!$C:$FB,68)</f>
        <v>1497</v>
      </c>
      <c r="P41" s="5">
        <f t="shared" si="13"/>
        <v>48.994889267461673</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387.6</v>
      </c>
      <c r="D42" s="82">
        <f>VLOOKUP($B42,'Data shares'!$C:$FB,98)</f>
        <v>67712875</v>
      </c>
      <c r="E42" s="165">
        <f>VLOOKUP(B42,'Snapshot (Volume)'!$A$7:$G$168,7,0)</f>
        <v>64663475</v>
      </c>
      <c r="F42" s="165">
        <f t="shared" si="9"/>
        <v>3049400</v>
      </c>
      <c r="G42" s="166">
        <f t="shared" si="10"/>
        <v>4.7157997617665925E-2</v>
      </c>
      <c r="H42" s="165">
        <f>VLOOKUP($B42,'Data shares'!$C:$FB,66)</f>
        <v>30069375</v>
      </c>
      <c r="I42" s="165">
        <f>VLOOKUP($B42,'Data shares'!$C:$FB,67)</f>
        <v>24888950</v>
      </c>
      <c r="J42" s="81">
        <f t="shared" si="11"/>
        <v>20.814156483097921</v>
      </c>
      <c r="K42" s="5">
        <f>VLOOKUP($B42,'Data Vlaue (Cr)'!$C:$FB,99)</f>
        <v>2628</v>
      </c>
      <c r="L42" s="81">
        <f>VLOOKUP(B42,'OI(Value)'!$A$7:$C$226,3,0)</f>
        <v>118</v>
      </c>
      <c r="M42" s="33">
        <f t="shared" si="12"/>
        <v>4.4901065449010655</v>
      </c>
      <c r="N42" s="5">
        <f>VLOOKUP($B42,'Data Vlaue (Cr)'!$C:$FB,67)</f>
        <v>1167</v>
      </c>
      <c r="O42" s="5">
        <f>VLOOKUP($B42,'Data Vlaue (Cr)'!$C:$FB,68)</f>
        <v>966</v>
      </c>
      <c r="P42" s="5">
        <f t="shared" si="13"/>
        <v>17.223650385604113</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6019</v>
      </c>
      <c r="D43" s="82">
        <f>VLOOKUP($B43,'Data shares'!$C:$FB,98)</f>
        <v>6097875</v>
      </c>
      <c r="E43" s="165">
        <f>VLOOKUP(B43,'Snapshot (Volume)'!$A$7:$G$168,7,0)</f>
        <v>5458875</v>
      </c>
      <c r="F43" s="165">
        <f t="shared" si="9"/>
        <v>639000</v>
      </c>
      <c r="G43" s="166">
        <f t="shared" si="10"/>
        <v>0.11705708593803668</v>
      </c>
      <c r="H43" s="165">
        <f>VLOOKUP($B43,'Data shares'!$C:$FB,66)</f>
        <v>14176750</v>
      </c>
      <c r="I43" s="165">
        <f>VLOOKUP($B43,'Data shares'!$C:$FB,67)</f>
        <v>3208875</v>
      </c>
      <c r="J43" s="81">
        <f t="shared" si="11"/>
        <v>341.79813797670522</v>
      </c>
      <c r="K43" s="5">
        <f>VLOOKUP($B43,'Data Vlaue (Cr)'!$C:$FB,99)</f>
        <v>3683</v>
      </c>
      <c r="L43" s="81">
        <f>VLOOKUP(B43,'OI(Value)'!$A$7:$C$226,3,0)</f>
        <v>386</v>
      </c>
      <c r="M43" s="33">
        <f t="shared" si="12"/>
        <v>10.480586478414336</v>
      </c>
      <c r="N43" s="5">
        <f>VLOOKUP($B43,'Data Vlaue (Cr)'!$C:$FB,67)</f>
        <v>8562</v>
      </c>
      <c r="O43" s="5">
        <f>VLOOKUP($B43,'Data Vlaue (Cr)'!$C:$FB,68)</f>
        <v>1938</v>
      </c>
      <c r="P43" s="5">
        <f t="shared" si="13"/>
        <v>77.365101611772943</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3177.1</v>
      </c>
      <c r="D44" s="165">
        <f>VLOOKUP($B44,'Data shares'!$C:$FB,98)</f>
        <v>28511250</v>
      </c>
      <c r="E44" s="165">
        <f>VLOOKUP(B44,'Snapshot (Volume)'!$A$7:$G$168,7,0)</f>
        <v>29266500</v>
      </c>
      <c r="F44" s="165">
        <f t="shared" ref="F44:F49" si="14">D44-E44</f>
        <v>-755250</v>
      </c>
      <c r="G44" s="166">
        <f t="shared" ref="G44:G49" si="15">F44/E44</f>
        <v>-2.5805955614781405E-2</v>
      </c>
      <c r="H44" s="165">
        <f>VLOOKUP($B44,'Data shares'!$C:$FB,66)</f>
        <v>42094125</v>
      </c>
      <c r="I44" s="165">
        <f>VLOOKUP($B44,'Data shares'!$C:$FB,67)</f>
        <v>154639500</v>
      </c>
      <c r="J44" s="81">
        <f t="shared" ref="J44:J49" si="16">(H44-I44)/I44*100</f>
        <v>-72.7791896637017</v>
      </c>
      <c r="K44" s="81">
        <f>VLOOKUP($B44,'Data Vlaue (Cr)'!$C:$FB,99)</f>
        <v>9066</v>
      </c>
      <c r="L44" s="81">
        <f>VLOOKUP(B44,'OI(Value)'!$A$7:$C$226,3,0)</f>
        <v>-240</v>
      </c>
      <c r="M44" s="81">
        <f t="shared" si="12"/>
        <v>-2.6472534745201854</v>
      </c>
      <c r="N44" s="81">
        <f>VLOOKUP($B44,'Data Vlaue (Cr)'!$C:$FB,67)</f>
        <v>13385</v>
      </c>
      <c r="O44" s="81">
        <f>VLOOKUP($B44,'Data Vlaue (Cr)'!$C:$FB,68)</f>
        <v>49172</v>
      </c>
      <c r="P44" s="81">
        <f t="shared" ref="P44:P49" si="17">(N44-O44)/N44*100</f>
        <v>-267.3664549869257</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747.1</v>
      </c>
      <c r="D45" s="82">
        <f>VLOOKUP($B45,'Data shares'!$C:$FB,98)</f>
        <v>13243500</v>
      </c>
      <c r="E45" s="165">
        <f>VLOOKUP(B45,'Snapshot (Volume)'!$A$7:$G$168,7,0)</f>
        <v>13131750</v>
      </c>
      <c r="F45" s="165">
        <f t="shared" si="14"/>
        <v>111750</v>
      </c>
      <c r="G45" s="166">
        <f t="shared" si="15"/>
        <v>8.5099091895596557E-3</v>
      </c>
      <c r="H45" s="165">
        <f>VLOOKUP($B45,'Data shares'!$C:$FB,66)</f>
        <v>4007250</v>
      </c>
      <c r="I45" s="165">
        <f>VLOOKUP($B45,'Data shares'!$C:$FB,67)</f>
        <v>8137500</v>
      </c>
      <c r="J45" s="81">
        <f t="shared" si="16"/>
        <v>-50.755760368663594</v>
      </c>
      <c r="K45" s="5">
        <f>VLOOKUP($B45,'Data Vlaue (Cr)'!$C:$FB,99)</f>
        <v>991</v>
      </c>
      <c r="L45" s="81">
        <f>VLOOKUP(B45,'OI(Value)'!$A$7:$C$226,3,0)</f>
        <v>8</v>
      </c>
      <c r="M45" s="33">
        <f t="shared" si="12"/>
        <v>0.80726538849646823</v>
      </c>
      <c r="N45" s="5">
        <f>VLOOKUP($B45,'Data Vlaue (Cr)'!$C:$FB,67)</f>
        <v>300</v>
      </c>
      <c r="O45" s="5">
        <f>VLOOKUP($B45,'Data Vlaue (Cr)'!$C:$FB,68)</f>
        <v>609</v>
      </c>
      <c r="P45" s="5">
        <f t="shared" si="17"/>
        <v>-103</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145.51</v>
      </c>
      <c r="D46" s="82">
        <f>VLOOKUP($B46,'Data shares'!$C:$FB,98)</f>
        <v>470124000</v>
      </c>
      <c r="E46" s="165">
        <f>VLOOKUP(B46,'Snapshot (Volume)'!$A$7:$G$168,7,0)</f>
        <v>447943500</v>
      </c>
      <c r="F46" s="165">
        <f t="shared" si="14"/>
        <v>22180500</v>
      </c>
      <c r="G46" s="166">
        <f t="shared" si="15"/>
        <v>4.9516289442753381E-2</v>
      </c>
      <c r="H46" s="165">
        <f>VLOOKUP($B46,'Data shares'!$C:$FB,66)</f>
        <v>288272250</v>
      </c>
      <c r="I46" s="165">
        <f>VLOOKUP($B46,'Data shares'!$C:$FB,67)</f>
        <v>127183500</v>
      </c>
      <c r="J46" s="81">
        <f t="shared" si="16"/>
        <v>126.65852881859676</v>
      </c>
      <c r="K46" s="5">
        <f>VLOOKUP($B46,'Data Vlaue (Cr)'!$C:$FB,99)</f>
        <v>6864</v>
      </c>
      <c r="L46" s="81">
        <f>VLOOKUP(B46,'OI(Value)'!$A$7:$C$226,3,0)</f>
        <v>324</v>
      </c>
      <c r="M46" s="33">
        <f t="shared" si="12"/>
        <v>4.72027972027972</v>
      </c>
      <c r="N46" s="5">
        <f>VLOOKUP($B46,'Data Vlaue (Cr)'!$C:$FB,67)</f>
        <v>4209</v>
      </c>
      <c r="O46" s="5">
        <f>VLOOKUP($B46,'Data Vlaue (Cr)'!$C:$FB,68)</f>
        <v>1857</v>
      </c>
      <c r="P46" s="5">
        <f t="shared" si="17"/>
        <v>55.880256593014963</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1397.2</v>
      </c>
      <c r="D47" s="82">
        <f>VLOOKUP($B47,'Data shares'!$C:$FB,98)</f>
        <v>26453225</v>
      </c>
      <c r="E47" s="165">
        <f>VLOOKUP(B47,'Snapshot (Volume)'!$A$7:$G$168,7,0)</f>
        <v>25860425</v>
      </c>
      <c r="F47" s="165">
        <f t="shared" si="14"/>
        <v>592800</v>
      </c>
      <c r="G47" s="166">
        <f t="shared" si="15"/>
        <v>2.2923057142332347E-2</v>
      </c>
      <c r="H47" s="165">
        <f>VLOOKUP($B47,'Data shares'!$C:$FB,66)</f>
        <v>15855500</v>
      </c>
      <c r="I47" s="165">
        <f>VLOOKUP($B47,'Data shares'!$C:$FB,67)</f>
        <v>36653375</v>
      </c>
      <c r="J47" s="81">
        <f t="shared" si="16"/>
        <v>-56.742046264498157</v>
      </c>
      <c r="K47" s="5">
        <f>VLOOKUP($B47,'Data Vlaue (Cr)'!$C:$FB,99)</f>
        <v>3701</v>
      </c>
      <c r="L47" s="81">
        <f>VLOOKUP(B47,'OI(Value)'!$A$7:$C$226,3,0)</f>
        <v>83</v>
      </c>
      <c r="M47" s="33">
        <f t="shared" si="12"/>
        <v>2.2426371251013237</v>
      </c>
      <c r="N47" s="5">
        <f>VLOOKUP($B47,'Data Vlaue (Cr)'!$C:$FB,67)</f>
        <v>2218</v>
      </c>
      <c r="O47" s="5">
        <f>VLOOKUP($B47,'Data Vlaue (Cr)'!$C:$FB,68)</f>
        <v>5127</v>
      </c>
      <c r="P47" s="5">
        <f t="shared" si="17"/>
        <v>-131.15419296663663</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685.6</v>
      </c>
      <c r="D48" s="82">
        <f>VLOOKUP($B48,'Data shares'!$C:$FB,98)</f>
        <v>29067450</v>
      </c>
      <c r="E48" s="165">
        <f>VLOOKUP(B48,'Snapshot (Volume)'!$A$7:$G$168,7,0)</f>
        <v>29470350</v>
      </c>
      <c r="F48" s="165">
        <f t="shared" si="14"/>
        <v>-402900</v>
      </c>
      <c r="G48" s="166">
        <f t="shared" si="15"/>
        <v>-1.3671368002076663E-2</v>
      </c>
      <c r="H48" s="165">
        <f>VLOOKUP($B48,'Data shares'!$C:$FB,66)</f>
        <v>10062300</v>
      </c>
      <c r="I48" s="165">
        <f>VLOOKUP($B48,'Data shares'!$C:$FB,67)</f>
        <v>17370600</v>
      </c>
      <c r="J48" s="81">
        <f t="shared" si="16"/>
        <v>-42.072812683499706</v>
      </c>
      <c r="K48" s="5">
        <f>VLOOKUP($B48,'Data Vlaue (Cr)'!$C:$FB,99)</f>
        <v>1990</v>
      </c>
      <c r="L48" s="81">
        <f>VLOOKUP(B48,'OI(Value)'!$A$7:$C$226,3,0)</f>
        <v>-28</v>
      </c>
      <c r="M48" s="33">
        <f t="shared" si="12"/>
        <v>-1.4070351758793971</v>
      </c>
      <c r="N48" s="5">
        <f>VLOOKUP($B48,'Data Vlaue (Cr)'!$C:$FB,67)</f>
        <v>689</v>
      </c>
      <c r="O48" s="5">
        <f>VLOOKUP($B48,'Data Vlaue (Cr)'!$C:$FB,68)</f>
        <v>1189</v>
      </c>
      <c r="P48" s="5">
        <f t="shared" si="17"/>
        <v>-72.568940493468787</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1723</v>
      </c>
      <c r="D49" s="82">
        <f>VLOOKUP($B49,'Data shares'!$C:$FB,98)</f>
        <v>19158750</v>
      </c>
      <c r="E49" s="165">
        <f>VLOOKUP(B49,'Snapshot (Volume)'!$A$7:$G$168,7,0)</f>
        <v>19282500</v>
      </c>
      <c r="F49" s="165">
        <f t="shared" si="14"/>
        <v>-123750</v>
      </c>
      <c r="G49" s="166">
        <f t="shared" si="15"/>
        <v>-6.4177362893815633E-3</v>
      </c>
      <c r="H49" s="165">
        <f>VLOOKUP($B49,'Data shares'!$C:$FB,66)</f>
        <v>3752500</v>
      </c>
      <c r="I49" s="165">
        <f>VLOOKUP($B49,'Data shares'!$C:$FB,67)</f>
        <v>8572500</v>
      </c>
      <c r="J49" s="81">
        <f t="shared" si="16"/>
        <v>-56.226305045202686</v>
      </c>
      <c r="K49" s="5">
        <f>VLOOKUP($B49,'Data Vlaue (Cr)'!$C:$FB,99)</f>
        <v>3304</v>
      </c>
      <c r="L49" s="81">
        <f>VLOOKUP(B49,'OI(Value)'!$A$7:$C$226,3,0)</f>
        <v>-21</v>
      </c>
      <c r="M49" s="33">
        <f t="shared" si="12"/>
        <v>-0.63559322033898313</v>
      </c>
      <c r="N49" s="5">
        <f>VLOOKUP($B49,'Data Vlaue (Cr)'!$C:$FB,67)</f>
        <v>647</v>
      </c>
      <c r="O49" s="5">
        <f>VLOOKUP($B49,'Data Vlaue (Cr)'!$C:$FB,68)</f>
        <v>1478</v>
      </c>
      <c r="P49" s="5">
        <f t="shared" si="17"/>
        <v>-128.43894899536321</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1349.9</v>
      </c>
      <c r="D50" s="82">
        <f>VLOOKUP($B50,'Data shares'!$C:$FB,98)</f>
        <v>24924375</v>
      </c>
      <c r="E50" s="165">
        <f>VLOOKUP(B50,'Snapshot (Volume)'!$A$7:$G$168,7,0)</f>
        <v>25125750</v>
      </c>
      <c r="F50" s="165">
        <f>D50-E50</f>
        <v>-201375</v>
      </c>
      <c r="G50" s="166">
        <f>F50/E50</f>
        <v>-8.0146861287722759E-3</v>
      </c>
      <c r="H50" s="165">
        <f>VLOOKUP($B50,'Data shares'!$C:$FB,66)</f>
        <v>6509250</v>
      </c>
      <c r="I50" s="165">
        <f>VLOOKUP($B50,'Data shares'!$C:$FB,67)</f>
        <v>13514250</v>
      </c>
      <c r="J50" s="81">
        <f>(H50-I50)/I50*100</f>
        <v>-51.834175037460462</v>
      </c>
      <c r="K50" s="5">
        <f>VLOOKUP($B50,'Data Vlaue (Cr)'!$C:$FB,99)</f>
        <v>3367</v>
      </c>
      <c r="L50" s="81">
        <f>VLOOKUP(B50,'OI(Value)'!$A$7:$C$226,3,0)</f>
        <v>-27</v>
      </c>
      <c r="M50" s="33">
        <f t="shared" si="12"/>
        <v>-0.80190080190080182</v>
      </c>
      <c r="N50" s="5">
        <f>VLOOKUP($B50,'Data Vlaue (Cr)'!$C:$FB,67)</f>
        <v>879</v>
      </c>
      <c r="O50" s="5">
        <f>VLOOKUP($B50,'Data Vlaue (Cr)'!$C:$FB,68)</f>
        <v>1826</v>
      </c>
      <c r="P50" s="5">
        <f>(N50-O50)/N50*100</f>
        <v>-107.73606370875994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423.25</v>
      </c>
      <c r="D51" s="82">
        <f>VLOOKUP($B51,'Data shares'!$C:$FB,98)</f>
        <v>117194850</v>
      </c>
      <c r="E51" s="165">
        <f>VLOOKUP(B51,'Snapshot (Volume)'!$A$7:$G$168,7,0)</f>
        <v>113256900</v>
      </c>
      <c r="F51" s="165">
        <f>D51-E51</f>
        <v>3937950</v>
      </c>
      <c r="G51" s="166">
        <f>F51/E51</f>
        <v>3.4770066989296015E-2</v>
      </c>
      <c r="H51" s="165">
        <f>VLOOKUP($B51,'Data shares'!$C:$FB,66)</f>
        <v>67246200</v>
      </c>
      <c r="I51" s="165">
        <f>VLOOKUP($B51,'Data shares'!$C:$FB,67)</f>
        <v>27315900</v>
      </c>
      <c r="J51" s="81">
        <f>(H51-I51)/I51*100</f>
        <v>146.17969753879609</v>
      </c>
      <c r="K51" s="5">
        <f>VLOOKUP($B51,'Data Vlaue (Cr)'!$C:$FB,99)</f>
        <v>4893</v>
      </c>
      <c r="L51" s="81">
        <f>VLOOKUP(B51,'OI(Value)'!$A$7:$C$226,3,0)</f>
        <v>164</v>
      </c>
      <c r="M51" s="33">
        <f t="shared" si="12"/>
        <v>3.3517269568771715</v>
      </c>
      <c r="N51" s="5">
        <f>VLOOKUP($B51,'Data Vlaue (Cr)'!$C:$FB,67)</f>
        <v>2808</v>
      </c>
      <c r="O51" s="5">
        <f>VLOOKUP($B51,'Data Vlaue (Cr)'!$C:$FB,68)</f>
        <v>1140</v>
      </c>
      <c r="P51" s="5">
        <f>(N51-O51)/N51*100</f>
        <v>59.401709401709404</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1520.4</v>
      </c>
      <c r="D52" s="80">
        <f>VLOOKUP($B52,'Data shares'!$C:$FB,98)</f>
        <v>26547000</v>
      </c>
      <c r="E52" s="165">
        <f>VLOOKUP(B52,'Snapshot (Volume)'!$A$7:$G$168,7,0)</f>
        <v>25626000</v>
      </c>
      <c r="F52" s="165">
        <f t="shared" ref="F52:F68" si="18">D52-E52</f>
        <v>921000</v>
      </c>
      <c r="G52" s="166">
        <f t="shared" ref="G52:G68" si="19">F52/E52</f>
        <v>3.5940060875673141E-2</v>
      </c>
      <c r="H52" s="165">
        <f>VLOOKUP($B52,'Data shares'!$C:$FB,66)</f>
        <v>16225875</v>
      </c>
      <c r="I52" s="165">
        <f>VLOOKUP($B52,'Data shares'!$C:$FB,67)</f>
        <v>18049500</v>
      </c>
      <c r="J52" s="81">
        <f t="shared" ref="J52:J68" si="20">(H52-I52)/I52*100</f>
        <v>-10.103465469957616</v>
      </c>
      <c r="K52" s="81">
        <f>VLOOKUP($B52,'Data Vlaue (Cr)'!$C:$FB,99)</f>
        <v>4037</v>
      </c>
      <c r="L52" s="81">
        <f>VLOOKUP(B52,'OI(Value)'!$A$7:$C$226,3,0)</f>
        <v>140</v>
      </c>
      <c r="M52" s="81">
        <f t="shared" si="12"/>
        <v>3.467921724052514</v>
      </c>
      <c r="N52" s="81">
        <f>VLOOKUP($B52,'Data Vlaue (Cr)'!$C:$FB,67)</f>
        <v>2468</v>
      </c>
      <c r="O52" s="81">
        <f>VLOOKUP($B52,'Data Vlaue (Cr)'!$C:$FB,68)</f>
        <v>2745</v>
      </c>
      <c r="P52" s="81">
        <f t="shared" ref="P52:P68" si="21">(N52-O52)/N52*100</f>
        <v>-11.223662884927066</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2173.4</v>
      </c>
      <c r="D53" s="82">
        <f>VLOOKUP($B53,'Data shares'!$C:$FB,98)</f>
        <v>10832625</v>
      </c>
      <c r="E53" s="165">
        <f>VLOOKUP(B53,'Snapshot (Volume)'!$A$7:$G$168,7,0)</f>
        <v>10051875</v>
      </c>
      <c r="F53" s="165">
        <f t="shared" si="18"/>
        <v>780750</v>
      </c>
      <c r="G53" s="166">
        <f t="shared" si="19"/>
        <v>7.7672076105204255E-2</v>
      </c>
      <c r="H53" s="165">
        <f>VLOOKUP($B53,'Data shares'!$C:$FB,66)</f>
        <v>4935825</v>
      </c>
      <c r="I53" s="165">
        <f>VLOOKUP($B53,'Data shares'!$C:$FB,67)</f>
        <v>5532075</v>
      </c>
      <c r="J53" s="81">
        <f t="shared" si="20"/>
        <v>-10.778053442876317</v>
      </c>
      <c r="K53" s="5">
        <f>VLOOKUP($B53,'Data Vlaue (Cr)'!$C:$FB,99)</f>
        <v>2356</v>
      </c>
      <c r="L53" s="81">
        <f>VLOOKUP(B53,'OI(Value)'!$A$7:$C$226,3,0)</f>
        <v>170</v>
      </c>
      <c r="M53" s="33">
        <f t="shared" si="12"/>
        <v>7.2156196943972839</v>
      </c>
      <c r="N53" s="5">
        <f>VLOOKUP($B53,'Data Vlaue (Cr)'!$C:$FB,67)</f>
        <v>1073</v>
      </c>
      <c r="O53" s="5">
        <f>VLOOKUP($B53,'Data Vlaue (Cr)'!$C:$FB,68)</f>
        <v>1203</v>
      </c>
      <c r="P53" s="5">
        <f t="shared" si="21"/>
        <v>-12.115563839701771</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515.15</v>
      </c>
      <c r="D54" s="82">
        <f>VLOOKUP($B54,'Data shares'!$C:$FB,98)</f>
        <v>55351250</v>
      </c>
      <c r="E54" s="165">
        <f>VLOOKUP(B54,'Snapshot (Volume)'!$A$7:$G$168,7,0)</f>
        <v>54842500</v>
      </c>
      <c r="F54" s="165">
        <f t="shared" si="18"/>
        <v>508750</v>
      </c>
      <c r="G54" s="166">
        <f t="shared" si="19"/>
        <v>9.2765647080275335E-3</v>
      </c>
      <c r="H54" s="165">
        <f>VLOOKUP($B54,'Data shares'!$C:$FB,66)</f>
        <v>9900000</v>
      </c>
      <c r="I54" s="165">
        <f>VLOOKUP($B54,'Data shares'!$C:$FB,67)</f>
        <v>15033750</v>
      </c>
      <c r="J54" s="81">
        <f t="shared" si="20"/>
        <v>-34.148166625093538</v>
      </c>
      <c r="K54" s="5">
        <f>VLOOKUP($B54,'Data Vlaue (Cr)'!$C:$FB,99)</f>
        <v>2855</v>
      </c>
      <c r="L54" s="81">
        <f>VLOOKUP(B54,'OI(Value)'!$A$7:$C$226,3,0)</f>
        <v>26</v>
      </c>
      <c r="M54" s="33">
        <f t="shared" si="12"/>
        <v>0.91068301225919435</v>
      </c>
      <c r="N54" s="5">
        <f>VLOOKUP($B54,'Data Vlaue (Cr)'!$C:$FB,67)</f>
        <v>511</v>
      </c>
      <c r="O54" s="5">
        <f>VLOOKUP($B54,'Data Vlaue (Cr)'!$C:$FB,68)</f>
        <v>775</v>
      </c>
      <c r="P54" s="5">
        <f t="shared" si="21"/>
        <v>-51.663405088062618</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266.04000000000002</v>
      </c>
      <c r="D55" s="82">
        <f>VLOOKUP($B55,'Data shares'!$C:$FB,98)</f>
        <v>89100000</v>
      </c>
      <c r="E55" s="165">
        <f>VLOOKUP(B55,'Snapshot (Volume)'!$A$7:$G$168,7,0)</f>
        <v>90262800</v>
      </c>
      <c r="F55" s="165">
        <f t="shared" si="18"/>
        <v>-1162800</v>
      </c>
      <c r="G55" s="166">
        <f t="shared" si="19"/>
        <v>-1.2882383440354165E-2</v>
      </c>
      <c r="H55" s="165">
        <f>VLOOKUP($B55,'Data shares'!$C:$FB,66)</f>
        <v>37668600</v>
      </c>
      <c r="I55" s="165">
        <f>VLOOKUP($B55,'Data shares'!$C:$FB,67)</f>
        <v>53640000</v>
      </c>
      <c r="J55" s="81">
        <f t="shared" si="20"/>
        <v>-29.775167785234903</v>
      </c>
      <c r="K55" s="5">
        <f>VLOOKUP($B55,'Data Vlaue (Cr)'!$C:$FB,99)</f>
        <v>2374</v>
      </c>
      <c r="L55" s="81">
        <f>VLOOKUP(B55,'OI(Value)'!$A$7:$C$226,3,0)</f>
        <v>-31</v>
      </c>
      <c r="M55" s="33">
        <f t="shared" si="12"/>
        <v>-1.3058129738837405</v>
      </c>
      <c r="N55" s="5">
        <f>VLOOKUP($B55,'Data Vlaue (Cr)'!$C:$FB,67)</f>
        <v>1004</v>
      </c>
      <c r="O55" s="5">
        <f>VLOOKUP($B55,'Data Vlaue (Cr)'!$C:$FB,68)</f>
        <v>1429</v>
      </c>
      <c r="P55" s="5">
        <f t="shared" si="21"/>
        <v>-42.330677290836654</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4363.2</v>
      </c>
      <c r="D56" s="82">
        <f>VLOOKUP($B56,'Data shares'!$C:$FB,98)</f>
        <v>5587200</v>
      </c>
      <c r="E56" s="165">
        <f>VLOOKUP(B56,'Snapshot (Volume)'!$A$7:$G$168,7,0)</f>
        <v>5608000</v>
      </c>
      <c r="F56" s="165">
        <f t="shared" si="18"/>
        <v>-20800</v>
      </c>
      <c r="G56" s="166">
        <f t="shared" si="19"/>
        <v>-3.7089871611982882E-3</v>
      </c>
      <c r="H56" s="165">
        <f>VLOOKUP($B56,'Data shares'!$C:$FB,66)</f>
        <v>3769600</v>
      </c>
      <c r="I56" s="165">
        <f>VLOOKUP($B56,'Data shares'!$C:$FB,67)</f>
        <v>3478400</v>
      </c>
      <c r="J56" s="81">
        <f t="shared" si="20"/>
        <v>8.3716651333946643</v>
      </c>
      <c r="K56" s="5">
        <f>VLOOKUP($B56,'Data Vlaue (Cr)'!$C:$FB,99)</f>
        <v>2445</v>
      </c>
      <c r="L56" s="81">
        <f>VLOOKUP(B56,'OI(Value)'!$A$7:$C$226,3,0)</f>
        <v>-9</v>
      </c>
      <c r="M56" s="33">
        <f t="shared" si="12"/>
        <v>-0.36809815950920244</v>
      </c>
      <c r="N56" s="5">
        <f>VLOOKUP($B56,'Data Vlaue (Cr)'!$C:$FB,67)</f>
        <v>1650</v>
      </c>
      <c r="O56" s="5">
        <f>VLOOKUP($B56,'Data Vlaue (Cr)'!$C:$FB,68)</f>
        <v>1522</v>
      </c>
      <c r="P56" s="5">
        <f t="shared" si="21"/>
        <v>7.7575757575757578</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522.35</v>
      </c>
      <c r="D57" s="82">
        <f>VLOOKUP($B57,'Data shares'!$C:$FB,98)</f>
        <v>46253750</v>
      </c>
      <c r="E57" s="165">
        <f>VLOOKUP(B57,'Snapshot (Volume)'!$A$7:$G$168,7,0)</f>
        <v>46082500</v>
      </c>
      <c r="F57" s="165">
        <f t="shared" si="18"/>
        <v>171250</v>
      </c>
      <c r="G57" s="166">
        <f t="shared" si="19"/>
        <v>3.7161612325720176E-3</v>
      </c>
      <c r="H57" s="165">
        <f>VLOOKUP($B57,'Data shares'!$C:$FB,66)</f>
        <v>21225000</v>
      </c>
      <c r="I57" s="165">
        <f>VLOOKUP($B57,'Data shares'!$C:$FB,67)</f>
        <v>19337500</v>
      </c>
      <c r="J57" s="81">
        <f t="shared" si="20"/>
        <v>9.7608274078862323</v>
      </c>
      <c r="K57" s="5">
        <f>VLOOKUP($B57,'Data Vlaue (Cr)'!$C:$FB,99)</f>
        <v>2420</v>
      </c>
      <c r="L57" s="81">
        <f>VLOOKUP(B57,'OI(Value)'!$A$7:$C$226,3,0)</f>
        <v>9</v>
      </c>
      <c r="M57" s="33">
        <f t="shared" si="12"/>
        <v>0.37190082644628097</v>
      </c>
      <c r="N57" s="5">
        <f>VLOOKUP($B57,'Data Vlaue (Cr)'!$C:$FB,67)</f>
        <v>1111</v>
      </c>
      <c r="O57" s="5">
        <f>VLOOKUP($B57,'Data Vlaue (Cr)'!$C:$FB,68)</f>
        <v>1012</v>
      </c>
      <c r="P57" s="5">
        <f t="shared" si="21"/>
        <v>8.9108910891089099</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2175.1999999999998</v>
      </c>
      <c r="D58" s="82">
        <f>VLOOKUP($B58,'Data shares'!$C:$FB,98)</f>
        <v>5489900</v>
      </c>
      <c r="E58" s="165">
        <f>VLOOKUP(B58,'Snapshot (Volume)'!$A$7:$G$168,7,0)</f>
        <v>5318300</v>
      </c>
      <c r="F58" s="165">
        <f t="shared" si="18"/>
        <v>171600</v>
      </c>
      <c r="G58" s="166">
        <f t="shared" si="19"/>
        <v>3.2265949645563431E-2</v>
      </c>
      <c r="H58" s="165">
        <f>VLOOKUP($B58,'Data shares'!$C:$FB,66)</f>
        <v>1100125</v>
      </c>
      <c r="I58" s="165">
        <f>VLOOKUP($B58,'Data shares'!$C:$FB,67)</f>
        <v>1517750</v>
      </c>
      <c r="J58" s="81">
        <f t="shared" si="20"/>
        <v>-27.51605995717345</v>
      </c>
      <c r="K58" s="5">
        <f>VLOOKUP($B58,'Data Vlaue (Cr)'!$C:$FB,99)</f>
        <v>1198</v>
      </c>
      <c r="L58" s="81">
        <f>VLOOKUP(B58,'OI(Value)'!$A$7:$C$226,3,0)</f>
        <v>37</v>
      </c>
      <c r="M58" s="33">
        <f t="shared" si="12"/>
        <v>3.0884808013355594</v>
      </c>
      <c r="N58" s="5">
        <f>VLOOKUP($B58,'Data Vlaue (Cr)'!$C:$FB,67)</f>
        <v>240</v>
      </c>
      <c r="O58" s="5">
        <f>VLOOKUP($B58,'Data Vlaue (Cr)'!$C:$FB,68)</f>
        <v>331</v>
      </c>
      <c r="P58" s="5">
        <f t="shared" si="21"/>
        <v>-37.916666666666664</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429.5</v>
      </c>
      <c r="D59" s="82">
        <f>VLOOKUP($B59,'Data shares'!$C:$FB,98)</f>
        <v>41599600</v>
      </c>
      <c r="E59" s="165">
        <f>VLOOKUP(B59,'Snapshot (Volume)'!$A$7:$G$168,7,0)</f>
        <v>41155550</v>
      </c>
      <c r="F59" s="165">
        <f t="shared" si="18"/>
        <v>444050</v>
      </c>
      <c r="G59" s="166">
        <f t="shared" si="19"/>
        <v>1.0789553292326308E-2</v>
      </c>
      <c r="H59" s="165">
        <f>VLOOKUP($B59,'Data shares'!$C:$FB,66)</f>
        <v>19702125</v>
      </c>
      <c r="I59" s="165">
        <f>VLOOKUP($B59,'Data shares'!$C:$FB,67)</f>
        <v>26740525</v>
      </c>
      <c r="J59" s="81">
        <f t="shared" si="20"/>
        <v>-26.32109878171801</v>
      </c>
      <c r="K59" s="5">
        <f>VLOOKUP($B59,'Data Vlaue (Cr)'!$C:$FB,99)</f>
        <v>1789</v>
      </c>
      <c r="L59" s="81">
        <f>VLOOKUP(B59,'OI(Value)'!$A$7:$C$226,3,0)</f>
        <v>19</v>
      </c>
      <c r="M59" s="33">
        <f t="shared" si="12"/>
        <v>1.0620458356623812</v>
      </c>
      <c r="N59" s="5">
        <f>VLOOKUP($B59,'Data Vlaue (Cr)'!$C:$FB,67)</f>
        <v>847</v>
      </c>
      <c r="O59" s="5">
        <f>VLOOKUP($B59,'Data Vlaue (Cr)'!$C:$FB,68)</f>
        <v>1150</v>
      </c>
      <c r="P59" s="5">
        <f t="shared" si="21"/>
        <v>-35.773317591499406</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6386.5</v>
      </c>
      <c r="D60" s="82">
        <f>VLOOKUP($B60,'Data shares'!$C:$FB,98)</f>
        <v>6431800</v>
      </c>
      <c r="E60" s="165">
        <f>VLOOKUP(B60,'Snapshot (Volume)'!$A$7:$G$168,7,0)</f>
        <v>5672000</v>
      </c>
      <c r="F60" s="165">
        <f t="shared" si="18"/>
        <v>759800</v>
      </c>
      <c r="G60" s="166">
        <f t="shared" si="19"/>
        <v>0.13395627644569816</v>
      </c>
      <c r="H60" s="165">
        <f>VLOOKUP($B60,'Data shares'!$C:$FB,66)</f>
        <v>22926000</v>
      </c>
      <c r="I60" s="165">
        <f>VLOOKUP($B60,'Data shares'!$C:$FB,67)</f>
        <v>3547900</v>
      </c>
      <c r="J60" s="81">
        <f t="shared" si="20"/>
        <v>546.18506722286429</v>
      </c>
      <c r="K60" s="5">
        <f>VLOOKUP($B60,'Data Vlaue (Cr)'!$C:$FB,99)</f>
        <v>4093</v>
      </c>
      <c r="L60" s="81">
        <f>VLOOKUP(B60,'OI(Value)'!$A$7:$C$226,3,0)</f>
        <v>483</v>
      </c>
      <c r="M60" s="33">
        <f t="shared" si="12"/>
        <v>11.800635230881994</v>
      </c>
      <c r="N60" s="5">
        <f>VLOOKUP($B60,'Data Vlaue (Cr)'!$C:$FB,67)</f>
        <v>14588</v>
      </c>
      <c r="O60" s="5">
        <f>VLOOKUP($B60,'Data Vlaue (Cr)'!$C:$FB,68)</f>
        <v>2258</v>
      </c>
      <c r="P60" s="5">
        <f t="shared" si="21"/>
        <v>84.521524540718389</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11741</v>
      </c>
      <c r="D61" s="82">
        <f>VLOOKUP($B61,'Data shares'!$C:$FB,98)</f>
        <v>6258750</v>
      </c>
      <c r="E61" s="165">
        <f>VLOOKUP(B61,'Snapshot (Volume)'!$A$7:$G$168,7,0)</f>
        <v>6283800</v>
      </c>
      <c r="F61" s="165">
        <f t="shared" si="18"/>
        <v>-25050</v>
      </c>
      <c r="G61" s="166">
        <f t="shared" si="19"/>
        <v>-3.9864413253127085E-3</v>
      </c>
      <c r="H61" s="165">
        <f>VLOOKUP($B61,'Data shares'!$C:$FB,66)</f>
        <v>5444800</v>
      </c>
      <c r="I61" s="165">
        <f>VLOOKUP($B61,'Data shares'!$C:$FB,67)</f>
        <v>5500900</v>
      </c>
      <c r="J61" s="81">
        <f t="shared" si="20"/>
        <v>-1.0198331182170191</v>
      </c>
      <c r="K61" s="5">
        <f>VLOOKUP($B61,'Data Vlaue (Cr)'!$C:$FB,99)</f>
        <v>7370</v>
      </c>
      <c r="L61" s="81">
        <f>VLOOKUP(B61,'OI(Value)'!$A$7:$C$226,3,0)</f>
        <v>-29</v>
      </c>
      <c r="M61" s="33">
        <f t="shared" si="12"/>
        <v>-0.39348710990502034</v>
      </c>
      <c r="N61" s="5">
        <f>VLOOKUP($B61,'Data Vlaue (Cr)'!$C:$FB,67)</f>
        <v>6412</v>
      </c>
      <c r="O61" s="5">
        <f>VLOOKUP($B61,'Data Vlaue (Cr)'!$C:$FB,68)</f>
        <v>6478</v>
      </c>
      <c r="P61" s="5">
        <f t="shared" si="21"/>
        <v>-1.0293200249532126</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672.05</v>
      </c>
      <c r="D62" s="82">
        <f>VLOOKUP($B62,'Data shares'!$C:$FB,98)</f>
        <v>76020450</v>
      </c>
      <c r="E62" s="165">
        <f>VLOOKUP(B62,'Snapshot (Volume)'!$A$7:$G$168,7,0)</f>
        <v>75956925</v>
      </c>
      <c r="F62" s="165">
        <f t="shared" si="18"/>
        <v>63525</v>
      </c>
      <c r="G62" s="166"/>
      <c r="H62" s="165">
        <f>VLOOKUP($B62,'Data shares'!$C:$FB,66)</f>
        <v>23698125</v>
      </c>
      <c r="I62" s="165">
        <f>VLOOKUP($B62,'Data shares'!$C:$FB,67)</f>
        <v>22531575</v>
      </c>
      <c r="J62" s="81"/>
      <c r="K62" s="5">
        <f>VLOOKUP($B62,'Data Vlaue (Cr)'!$C:$FB,99)</f>
        <v>5113</v>
      </c>
      <c r="L62" s="81">
        <f>VLOOKUP(B62,'OI(Value)'!$A$7:$C$226,3,0)</f>
        <v>4</v>
      </c>
      <c r="M62" s="33"/>
      <c r="N62" s="5">
        <f>VLOOKUP($B62,'Data Vlaue (Cr)'!$C:$FB,67)</f>
        <v>1594</v>
      </c>
      <c r="O62" s="5">
        <f>VLOOKUP($B62,'Data Vlaue (Cr)'!$C:$FB,68)</f>
        <v>1515</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4003.7</v>
      </c>
      <c r="D63" s="82">
        <f>VLOOKUP($B63,'Data shares'!$C:$FB,98)</f>
        <v>8968050</v>
      </c>
      <c r="E63" s="165">
        <f>VLOOKUP(B63,'Snapshot (Volume)'!$A$7:$G$168,7,0)</f>
        <v>8755500</v>
      </c>
      <c r="F63" s="165">
        <f t="shared" si="18"/>
        <v>212550</v>
      </c>
      <c r="G63" s="166">
        <f t="shared" si="19"/>
        <v>2.4276169265033409E-2</v>
      </c>
      <c r="H63" s="165">
        <f>VLOOKUP($B63,'Data shares'!$C:$FB,66)</f>
        <v>2650200</v>
      </c>
      <c r="I63" s="165">
        <f>VLOOKUP($B63,'Data shares'!$C:$FB,67)</f>
        <v>6068700</v>
      </c>
      <c r="J63" s="81">
        <f t="shared" si="20"/>
        <v>-56.330021256611793</v>
      </c>
      <c r="K63" s="5">
        <f>VLOOKUP($B63,'Data Vlaue (Cr)'!$C:$FB,99)</f>
        <v>3577</v>
      </c>
      <c r="L63" s="81">
        <f>VLOOKUP(B63,'OI(Value)'!$A$7:$C$226,3,0)</f>
        <v>85</v>
      </c>
      <c r="M63" s="33">
        <f t="shared" si="12"/>
        <v>2.3762929829466031</v>
      </c>
      <c r="N63" s="5">
        <f>VLOOKUP($B63,'Data Vlaue (Cr)'!$C:$FB,67)</f>
        <v>1057</v>
      </c>
      <c r="O63" s="5">
        <f>VLOOKUP($B63,'Data Vlaue (Cr)'!$C:$FB,68)</f>
        <v>2420</v>
      </c>
      <c r="P63" s="5">
        <f t="shared" si="21"/>
        <v>-128.94985808893094</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1270.3</v>
      </c>
      <c r="D64" s="82">
        <f>VLOOKUP($B64,'Data shares'!$C:$FB,98)</f>
        <v>27778750</v>
      </c>
      <c r="E64" s="165">
        <f>VLOOKUP(B64,'Snapshot (Volume)'!$A$7:$G$168,7,0)</f>
        <v>28153750</v>
      </c>
      <c r="F64" s="165">
        <f t="shared" si="18"/>
        <v>-375000</v>
      </c>
      <c r="G64" s="166">
        <f t="shared" si="19"/>
        <v>-1.3319717621986414E-2</v>
      </c>
      <c r="H64" s="165">
        <f>VLOOKUP($B64,'Data shares'!$C:$FB,66)</f>
        <v>13271875</v>
      </c>
      <c r="I64" s="165">
        <f>VLOOKUP($B64,'Data shares'!$C:$FB,67)</f>
        <v>17793750</v>
      </c>
      <c r="J64" s="81">
        <f t="shared" si="20"/>
        <v>-25.412715138742538</v>
      </c>
      <c r="K64" s="5">
        <f>VLOOKUP($B64,'Data Vlaue (Cr)'!$C:$FB,99)</f>
        <v>3531</v>
      </c>
      <c r="L64" s="81">
        <f>VLOOKUP(B64,'OI(Value)'!$A$7:$C$226,3,0)</f>
        <v>-48</v>
      </c>
      <c r="M64" s="33">
        <f t="shared" si="12"/>
        <v>-1.3593882752761257</v>
      </c>
      <c r="N64" s="5">
        <f>VLOOKUP($B64,'Data Vlaue (Cr)'!$C:$FB,67)</f>
        <v>1687</v>
      </c>
      <c r="O64" s="5">
        <f>VLOOKUP($B64,'Data Vlaue (Cr)'!$C:$FB,68)</f>
        <v>2262</v>
      </c>
      <c r="P64" s="5">
        <f t="shared" si="21"/>
        <v>-34.084173088322466</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7771</v>
      </c>
      <c r="D65" s="82">
        <f>VLOOKUP($B65,'Data shares'!$C:$FB,98)</f>
        <v>8754100</v>
      </c>
      <c r="E65" s="165">
        <f>VLOOKUP(B65,'Snapshot (Volume)'!$A$7:$G$168,7,0)</f>
        <v>6373200</v>
      </c>
      <c r="F65" s="165">
        <f t="shared" si="18"/>
        <v>2380900</v>
      </c>
      <c r="G65" s="166">
        <f t="shared" si="19"/>
        <v>0.37357999121320529</v>
      </c>
      <c r="H65" s="165">
        <f>VLOOKUP($B65,'Data shares'!$C:$FB,66)</f>
        <v>44865900</v>
      </c>
      <c r="I65" s="165">
        <f>VLOOKUP($B65,'Data shares'!$C:$FB,67)</f>
        <v>7664700</v>
      </c>
      <c r="J65" s="81">
        <f t="shared" si="20"/>
        <v>485.35754824063571</v>
      </c>
      <c r="K65" s="5">
        <f>VLOOKUP($B65,'Data Vlaue (Cr)'!$C:$FB,99)</f>
        <v>6824</v>
      </c>
      <c r="L65" s="81">
        <f>VLOOKUP(B65,'OI(Value)'!$A$7:$C$226,3,0)</f>
        <v>1856</v>
      </c>
      <c r="M65" s="33">
        <f t="shared" si="12"/>
        <v>27.198124267291913</v>
      </c>
      <c r="N65" s="5">
        <f>VLOOKUP($B65,'Data Vlaue (Cr)'!$C:$FB,67)</f>
        <v>34975</v>
      </c>
      <c r="O65" s="5">
        <f>VLOOKUP($B65,'Data Vlaue (Cr)'!$C:$FB,68)</f>
        <v>5975</v>
      </c>
      <c r="P65" s="5">
        <f t="shared" si="21"/>
        <v>82.916368834882064</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300.7</v>
      </c>
      <c r="D66" s="82">
        <f>VLOOKUP($B66,'Data shares'!$C:$FB,98)</f>
        <v>386331600</v>
      </c>
      <c r="E66" s="165">
        <f>VLOOKUP(B66,'Snapshot (Volume)'!$A$7:$G$168,7,0)</f>
        <v>389471975</v>
      </c>
      <c r="F66" s="165">
        <f t="shared" si="18"/>
        <v>-3140375</v>
      </c>
      <c r="G66" s="166">
        <f t="shared" si="19"/>
        <v>-8.0631603852883132E-3</v>
      </c>
      <c r="H66" s="165">
        <f>VLOOKUP($B66,'Data shares'!$C:$FB,66)</f>
        <v>225854800</v>
      </c>
      <c r="I66" s="165">
        <f>VLOOKUP($B66,'Data shares'!$C:$FB,67)</f>
        <v>813672375</v>
      </c>
      <c r="J66" s="81">
        <f t="shared" si="20"/>
        <v>-72.242538036270432</v>
      </c>
      <c r="K66" s="5">
        <f>VLOOKUP($B66,'Data Vlaue (Cr)'!$C:$FB,99)</f>
        <v>11654</v>
      </c>
      <c r="L66" s="81">
        <f>VLOOKUP(B66,'OI(Value)'!$A$7:$C$226,3,0)</f>
        <v>-95</v>
      </c>
      <c r="M66" s="33">
        <f t="shared" ref="M66:M93" si="22">L66/K66*100</f>
        <v>-0.81517075682169204</v>
      </c>
      <c r="N66" s="5">
        <f>VLOOKUP($B66,'Data Vlaue (Cr)'!$C:$FB,67)</f>
        <v>6813</v>
      </c>
      <c r="O66" s="5">
        <f>VLOOKUP($B66,'Data Vlaue (Cr)'!$C:$FB,68)</f>
        <v>24544</v>
      </c>
      <c r="P66" s="5">
        <f t="shared" si="21"/>
        <v>-260.25245853515338</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341.1</v>
      </c>
      <c r="D67" s="82">
        <f>VLOOKUP($B67,'Data shares'!$C:$FB,98)</f>
        <v>65145600</v>
      </c>
      <c r="E67" s="165">
        <f>VLOOKUP(B67,'Snapshot (Volume)'!$A$7:$G$168,7,0)</f>
        <v>64960200</v>
      </c>
      <c r="F67" s="165">
        <f t="shared" si="18"/>
        <v>185400</v>
      </c>
      <c r="G67" s="166">
        <f t="shared" si="19"/>
        <v>2.8540552522929425E-3</v>
      </c>
      <c r="H67" s="165">
        <f>VLOOKUP($B67,'Data shares'!$C:$FB,66)</f>
        <v>14083200</v>
      </c>
      <c r="I67" s="165">
        <f>VLOOKUP($B67,'Data shares'!$C:$FB,67)</f>
        <v>19443600</v>
      </c>
      <c r="J67" s="81">
        <f t="shared" si="20"/>
        <v>-27.568968709498243</v>
      </c>
      <c r="K67" s="5">
        <f>VLOOKUP($B67,'Data Vlaue (Cr)'!$C:$FB,99)</f>
        <v>2224</v>
      </c>
      <c r="L67" s="81">
        <f>VLOOKUP(B67,'OI(Value)'!$A$7:$C$226,3,0)</f>
        <v>6</v>
      </c>
      <c r="M67" s="33">
        <f t="shared" si="22"/>
        <v>0.26978417266187049</v>
      </c>
      <c r="N67" s="5">
        <f>VLOOKUP($B67,'Data Vlaue (Cr)'!$C:$FB,67)</f>
        <v>481</v>
      </c>
      <c r="O67" s="5">
        <f>VLOOKUP($B67,'Data Vlaue (Cr)'!$C:$FB,68)</f>
        <v>664</v>
      </c>
      <c r="P67" s="5">
        <f t="shared" si="21"/>
        <v>-38.045738045738048</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290.5</v>
      </c>
      <c r="D68" s="82">
        <f>VLOOKUP($B68,'Data shares'!$C:$FB,98)</f>
        <v>138250000</v>
      </c>
      <c r="E68" s="165">
        <f>VLOOKUP(B68,'Snapshot (Volume)'!$A$7:$G$168,7,0)</f>
        <v>128950000</v>
      </c>
      <c r="F68" s="165">
        <f t="shared" si="18"/>
        <v>9300000</v>
      </c>
      <c r="G68" s="166">
        <f t="shared" si="19"/>
        <v>7.2120977122915861E-2</v>
      </c>
      <c r="H68" s="165">
        <f>VLOOKUP($B68,'Data shares'!$C:$FB,66)</f>
        <v>314900000</v>
      </c>
      <c r="I68" s="165">
        <f>VLOOKUP($B68,'Data shares'!$C:$FB,67)</f>
        <v>95745000</v>
      </c>
      <c r="J68" s="81">
        <f t="shared" si="20"/>
        <v>228.89445924069142</v>
      </c>
      <c r="K68" s="5">
        <f>VLOOKUP($B68,'Data Vlaue (Cr)'!$C:$FB,99)</f>
        <v>4030</v>
      </c>
      <c r="L68" s="81">
        <f>VLOOKUP(B68,'OI(Value)'!$A$7:$C$226,3,0)</f>
        <v>271</v>
      </c>
      <c r="M68" s="33">
        <f t="shared" si="22"/>
        <v>6.7245657568238206</v>
      </c>
      <c r="N68" s="5">
        <f>VLOOKUP($B68,'Data Vlaue (Cr)'!$C:$FB,67)</f>
        <v>9179</v>
      </c>
      <c r="O68" s="5">
        <f>VLOOKUP($B68,'Data Vlaue (Cr)'!$C:$FB,68)</f>
        <v>2791</v>
      </c>
      <c r="P68" s="5">
        <f t="shared" si="21"/>
        <v>69.59363765116025</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28276.95</v>
      </c>
      <c r="D69" s="165">
        <f>VLOOKUP($B69,'Data shares'!$C:$FB,98)</f>
        <v>1859700</v>
      </c>
      <c r="E69" s="165">
        <f>VLOOKUP(B69,'Snapshot (Volume)'!$A$7:$G$168,7,0)</f>
        <v>1700100</v>
      </c>
      <c r="F69" s="165">
        <f t="shared" ref="F69:F85" si="23">D69-E69</f>
        <v>159600</v>
      </c>
      <c r="G69" s="166">
        <f t="shared" ref="G69:G85" si="24">F69/E69</f>
        <v>9.3876830774660316E-2</v>
      </c>
      <c r="H69" s="165">
        <f>VLOOKUP($B69,'Data shares'!$C:$FB,66)</f>
        <v>2727420</v>
      </c>
      <c r="I69" s="165">
        <f>VLOOKUP($B69,'Data shares'!$C:$FB,67)</f>
        <v>2553660</v>
      </c>
      <c r="J69" s="81">
        <f t="shared" ref="J69:J85" si="25">(H69-I69)/I69*100</f>
        <v>6.8043514015178221</v>
      </c>
      <c r="K69" s="81">
        <f>VLOOKUP($B69,'Data Vlaue (Cr)'!$C:$FB,99)</f>
        <v>5260</v>
      </c>
      <c r="L69" s="81">
        <f>VLOOKUP(B69,'OI(Value)'!$A$7:$C$226,3,0)</f>
        <v>451</v>
      </c>
      <c r="M69" s="81">
        <f t="shared" si="22"/>
        <v>8.5741444866920151</v>
      </c>
      <c r="N69" s="81">
        <f>VLOOKUP($B69,'Data Vlaue (Cr)'!$C:$FB,67)</f>
        <v>7715</v>
      </c>
      <c r="O69" s="81">
        <f>VLOOKUP($B69,'Data Vlaue (Cr)'!$C:$FB,68)</f>
        <v>7223</v>
      </c>
      <c r="P69" s="81">
        <f t="shared" ref="P69:P85" si="26">(N69-O69)/N69*100</f>
        <v>6.3771872974724557</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918.85</v>
      </c>
      <c r="D70" s="165">
        <f>VLOOKUP($B70,'Data shares'!$C:$FB,98)</f>
        <v>20454575</v>
      </c>
      <c r="E70" s="165">
        <f>VLOOKUP(B70,'Snapshot (Volume)'!$A$7:$G$168,7,0)</f>
        <v>17191825</v>
      </c>
      <c r="F70" s="165">
        <f t="shared" si="23"/>
        <v>3262750</v>
      </c>
      <c r="G70" s="166">
        <f t="shared" si="24"/>
        <v>0.18978497047288465</v>
      </c>
      <c r="H70" s="165">
        <f>VLOOKUP($B70,'Data shares'!$C:$FB,66)</f>
        <v>50189775</v>
      </c>
      <c r="I70" s="165">
        <f>VLOOKUP($B70,'Data shares'!$C:$FB,67)</f>
        <v>6255025</v>
      </c>
      <c r="J70" s="81">
        <f t="shared" si="25"/>
        <v>702.39127741295999</v>
      </c>
      <c r="K70" s="81">
        <f>VLOOKUP($B70,'Data Vlaue (Cr)'!$C:$FB,99)</f>
        <v>1884</v>
      </c>
      <c r="L70" s="81">
        <f>VLOOKUP(B70,'OI(Value)'!$A$7:$C$226,3,0)</f>
        <v>301</v>
      </c>
      <c r="M70" s="81">
        <f t="shared" si="22"/>
        <v>15.97664543524416</v>
      </c>
      <c r="N70" s="81">
        <f>VLOOKUP($B70,'Data Vlaue (Cr)'!$C:$FB,67)</f>
        <v>4624</v>
      </c>
      <c r="O70" s="81">
        <f>VLOOKUP($B70,'Data Vlaue (Cr)'!$C:$FB,68)</f>
        <v>576</v>
      </c>
      <c r="P70" s="81">
        <f t="shared" si="26"/>
        <v>87.543252595155707</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163.47</v>
      </c>
      <c r="D71" s="82">
        <f>VLOOKUP($B71,'Data shares'!$C:$FB,98)</f>
        <v>190278900</v>
      </c>
      <c r="E71" s="165">
        <f>VLOOKUP(B71,'Snapshot (Volume)'!$A$7:$G$168,7,0)</f>
        <v>188458200</v>
      </c>
      <c r="F71" s="165">
        <f t="shared" si="23"/>
        <v>1820700</v>
      </c>
      <c r="G71" s="166">
        <f t="shared" si="24"/>
        <v>9.661028281072407E-3</v>
      </c>
      <c r="H71" s="165">
        <f>VLOOKUP($B71,'Data shares'!$C:$FB,66)</f>
        <v>36848700</v>
      </c>
      <c r="I71" s="165">
        <f>VLOOKUP($B71,'Data shares'!$C:$FB,67)</f>
        <v>77152950</v>
      </c>
      <c r="J71" s="81">
        <f t="shared" si="25"/>
        <v>-52.239415343159266</v>
      </c>
      <c r="K71" s="5">
        <f>VLOOKUP($B71,'Data Vlaue (Cr)'!$C:$FB,99)</f>
        <v>3121</v>
      </c>
      <c r="L71" s="81">
        <f>VLOOKUP(B71,'OI(Value)'!$A$7:$C$226,3,0)</f>
        <v>30</v>
      </c>
      <c r="M71" s="33">
        <f t="shared" si="22"/>
        <v>0.96123037487984619</v>
      </c>
      <c r="N71" s="5">
        <f>VLOOKUP($B71,'Data Vlaue (Cr)'!$C:$FB,67)</f>
        <v>604</v>
      </c>
      <c r="O71" s="5">
        <f>VLOOKUP($B71,'Data Vlaue (Cr)'!$C:$FB,68)</f>
        <v>1265</v>
      </c>
      <c r="P71" s="5">
        <f t="shared" si="26"/>
        <v>-109.43708609271523</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2015.2</v>
      </c>
      <c r="D72" s="82">
        <f>VLOOKUP($B72,'Data shares'!$C:$FB,98)</f>
        <v>15714000</v>
      </c>
      <c r="E72" s="165">
        <f>VLOOKUP(B72,'Snapshot (Volume)'!$A$7:$G$168,7,0)</f>
        <v>15631125</v>
      </c>
      <c r="F72" s="165">
        <f t="shared" si="23"/>
        <v>82875</v>
      </c>
      <c r="G72" s="166">
        <f t="shared" si="24"/>
        <v>5.3019216467144878E-3</v>
      </c>
      <c r="H72" s="165">
        <f>VLOOKUP($B72,'Data shares'!$C:$FB,66)</f>
        <v>7974375</v>
      </c>
      <c r="I72" s="165">
        <f>VLOOKUP($B72,'Data shares'!$C:$FB,67)</f>
        <v>3379875</v>
      </c>
      <c r="J72" s="81">
        <f t="shared" si="25"/>
        <v>135.93697991789637</v>
      </c>
      <c r="K72" s="5">
        <f>VLOOKUP($B72,'Data Vlaue (Cr)'!$C:$FB,99)</f>
        <v>3171</v>
      </c>
      <c r="L72" s="81">
        <f>VLOOKUP(B72,'OI(Value)'!$A$7:$C$226,3,0)</f>
        <v>17</v>
      </c>
      <c r="M72" s="33">
        <f t="shared" si="22"/>
        <v>0.53610848312835069</v>
      </c>
      <c r="N72" s="5">
        <f>VLOOKUP($B72,'Data Vlaue (Cr)'!$C:$FB,67)</f>
        <v>1609</v>
      </c>
      <c r="O72" s="5">
        <f>VLOOKUP($B72,'Data Vlaue (Cr)'!$C:$FB,68)</f>
        <v>682</v>
      </c>
      <c r="P72" s="5">
        <f t="shared" si="26"/>
        <v>57.613424487259167</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96.81</v>
      </c>
      <c r="D73" s="82">
        <f>VLOOKUP($B73,'Data shares'!$C:$FB,98)</f>
        <v>294059025</v>
      </c>
      <c r="E73" s="165">
        <f>VLOOKUP(B73,'Snapshot (Volume)'!$A$7:$G$168,7,0)</f>
        <v>286679475</v>
      </c>
      <c r="F73" s="165">
        <f t="shared" si="23"/>
        <v>7379550</v>
      </c>
      <c r="G73" s="166">
        <f t="shared" si="24"/>
        <v>2.574146614437605E-2</v>
      </c>
      <c r="H73" s="165">
        <f>VLOOKUP($B73,'Data shares'!$C:$FB,66)</f>
        <v>54391050</v>
      </c>
      <c r="I73" s="165">
        <f>VLOOKUP($B73,'Data shares'!$C:$FB,67)</f>
        <v>55304775</v>
      </c>
      <c r="J73" s="81">
        <f t="shared" si="25"/>
        <v>-1.6521629461470553</v>
      </c>
      <c r="K73" s="5">
        <f>VLOOKUP($B73,'Data Vlaue (Cr)'!$C:$FB,99)</f>
        <v>2855</v>
      </c>
      <c r="L73" s="81">
        <f>VLOOKUP(B73,'OI(Value)'!$A$7:$C$226,3,0)</f>
        <v>72</v>
      </c>
      <c r="M73" s="33">
        <f t="shared" si="22"/>
        <v>2.5218914185639227</v>
      </c>
      <c r="N73" s="5">
        <f>VLOOKUP($B73,'Data Vlaue (Cr)'!$C:$FB,67)</f>
        <v>528</v>
      </c>
      <c r="O73" s="5">
        <f>VLOOKUP($B73,'Data Vlaue (Cr)'!$C:$FB,68)</f>
        <v>537</v>
      </c>
      <c r="P73" s="5">
        <f t="shared" si="26"/>
        <v>-1.7045454545454544</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1208.5999999999999</v>
      </c>
      <c r="D74" s="82">
        <f>VLOOKUP($B74,'Data shares'!$C:$FB,98)</f>
        <v>13404000</v>
      </c>
      <c r="E74" s="165">
        <f>VLOOKUP(B74,'Snapshot (Volume)'!$A$7:$G$168,7,0)</f>
        <v>13452500</v>
      </c>
      <c r="F74" s="165">
        <f t="shared" si="23"/>
        <v>-48500</v>
      </c>
      <c r="G74" s="166">
        <f t="shared" si="24"/>
        <v>-3.6052778293997399E-3</v>
      </c>
      <c r="H74" s="165">
        <f>VLOOKUP($B74,'Data shares'!$C:$FB,66)</f>
        <v>4537000</v>
      </c>
      <c r="I74" s="165">
        <f>VLOOKUP($B74,'Data shares'!$C:$FB,67)</f>
        <v>6660000</v>
      </c>
      <c r="J74" s="81">
        <f t="shared" si="25"/>
        <v>-31.876876876876874</v>
      </c>
      <c r="K74" s="5">
        <f>VLOOKUP($B74,'Data Vlaue (Cr)'!$C:$FB,99)</f>
        <v>1624</v>
      </c>
      <c r="L74" s="81">
        <f>VLOOKUP(B74,'OI(Value)'!$A$7:$C$226,3,0)</f>
        <v>-6</v>
      </c>
      <c r="M74" s="33">
        <f t="shared" si="22"/>
        <v>-0.36945812807881773</v>
      </c>
      <c r="N74" s="5">
        <f>VLOOKUP($B74,'Data Vlaue (Cr)'!$C:$FB,67)</f>
        <v>550</v>
      </c>
      <c r="O74" s="5">
        <f>VLOOKUP($B74,'Data Vlaue (Cr)'!$C:$FB,68)</f>
        <v>807</v>
      </c>
      <c r="P74" s="5">
        <f t="shared" si="26"/>
        <v>-46.727272727272727</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1852.1</v>
      </c>
      <c r="D75" s="82">
        <f>VLOOKUP($B75,'Data shares'!$C:$FB,98)</f>
        <v>17708350</v>
      </c>
      <c r="E75" s="165">
        <f>VLOOKUP(B75,'Snapshot (Volume)'!$A$7:$G$168,7,0)</f>
        <v>18161275</v>
      </c>
      <c r="F75" s="165">
        <f t="shared" si="23"/>
        <v>-452925</v>
      </c>
      <c r="G75" s="166">
        <f t="shared" si="24"/>
        <v>-2.4939053012522524E-2</v>
      </c>
      <c r="H75" s="165">
        <f>VLOOKUP($B75,'Data shares'!$C:$FB,66)</f>
        <v>12094500</v>
      </c>
      <c r="I75" s="165">
        <f>VLOOKUP($B75,'Data shares'!$C:$FB,67)</f>
        <v>11552475</v>
      </c>
      <c r="J75" s="81">
        <f t="shared" si="25"/>
        <v>4.6918517460544171</v>
      </c>
      <c r="K75" s="5">
        <f>VLOOKUP($B75,'Data Vlaue (Cr)'!$C:$FB,99)</f>
        <v>3282</v>
      </c>
      <c r="L75" s="81">
        <f>VLOOKUP(B75,'OI(Value)'!$A$7:$C$226,3,0)</f>
        <v>-84</v>
      </c>
      <c r="M75" s="33">
        <f t="shared" si="22"/>
        <v>-2.5594149908592323</v>
      </c>
      <c r="N75" s="5">
        <f>VLOOKUP($B75,'Data Vlaue (Cr)'!$C:$FB,67)</f>
        <v>2242</v>
      </c>
      <c r="O75" s="5">
        <f>VLOOKUP($B75,'Data Vlaue (Cr)'!$C:$FB,68)</f>
        <v>2141</v>
      </c>
      <c r="P75" s="5">
        <f t="shared" si="26"/>
        <v>4.5049063336306876</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2932.6</v>
      </c>
      <c r="D76" s="82">
        <f>VLOOKUP($B76,'Data shares'!$C:$FB,98)</f>
        <v>21209000</v>
      </c>
      <c r="E76" s="165">
        <f>VLOOKUP(B76,'Snapshot (Volume)'!$A$7:$G$168,7,0)</f>
        <v>21333500</v>
      </c>
      <c r="F76" s="165">
        <f t="shared" si="23"/>
        <v>-124500</v>
      </c>
      <c r="G76" s="166">
        <f t="shared" si="24"/>
        <v>-5.8358919070944761E-3</v>
      </c>
      <c r="H76" s="165">
        <f>VLOOKUP($B76,'Data shares'!$C:$FB,66)</f>
        <v>16467750</v>
      </c>
      <c r="I76" s="165">
        <f>VLOOKUP($B76,'Data shares'!$C:$FB,67)</f>
        <v>12088750</v>
      </c>
      <c r="J76" s="81">
        <f t="shared" si="25"/>
        <v>36.223761761968767</v>
      </c>
      <c r="K76" s="5">
        <f>VLOOKUP($B76,'Data Vlaue (Cr)'!$C:$FB,99)</f>
        <v>6227</v>
      </c>
      <c r="L76" s="81">
        <f>VLOOKUP(B76,'OI(Value)'!$A$7:$C$226,3,0)</f>
        <v>-37</v>
      </c>
      <c r="M76" s="33">
        <f t="shared" si="22"/>
        <v>-0.59418660671270274</v>
      </c>
      <c r="N76" s="5">
        <f>VLOOKUP($B76,'Data Vlaue (Cr)'!$C:$FB,67)</f>
        <v>4835</v>
      </c>
      <c r="O76" s="5">
        <f>VLOOKUP($B76,'Data Vlaue (Cr)'!$C:$FB,68)</f>
        <v>3549</v>
      </c>
      <c r="P76" s="5">
        <f t="shared" si="26"/>
        <v>26.597724922440534</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4133</v>
      </c>
      <c r="D77" s="82">
        <f>VLOOKUP($B77,'Data shares'!$C:$FB,98)</f>
        <v>25715700</v>
      </c>
      <c r="E77" s="165">
        <f>VLOOKUP(B77,'Snapshot (Volume)'!$A$7:$G$168,7,0)</f>
        <v>25510350</v>
      </c>
      <c r="F77" s="165">
        <f t="shared" si="23"/>
        <v>205350</v>
      </c>
      <c r="G77" s="166">
        <f t="shared" si="24"/>
        <v>8.0496739558649725E-3</v>
      </c>
      <c r="H77" s="165">
        <f>VLOOKUP($B77,'Data shares'!$C:$FB,66)</f>
        <v>9493200</v>
      </c>
      <c r="I77" s="165">
        <f>VLOOKUP($B77,'Data shares'!$C:$FB,67)</f>
        <v>12153000</v>
      </c>
      <c r="J77" s="81">
        <f t="shared" si="25"/>
        <v>-21.885954085411012</v>
      </c>
      <c r="K77" s="5">
        <f>VLOOKUP($B77,'Data Vlaue (Cr)'!$C:$FB,99)</f>
        <v>10589</v>
      </c>
      <c r="L77" s="81">
        <f>VLOOKUP(B77,'OI(Value)'!$A$7:$C$226,3,0)</f>
        <v>85</v>
      </c>
      <c r="M77" s="33">
        <f t="shared" si="22"/>
        <v>0.80271980356974215</v>
      </c>
      <c r="N77" s="5">
        <f>VLOOKUP($B77,'Data Vlaue (Cr)'!$C:$FB,67)</f>
        <v>3909</v>
      </c>
      <c r="O77" s="5">
        <f>VLOOKUP($B77,'Data Vlaue (Cr)'!$C:$FB,68)</f>
        <v>5004</v>
      </c>
      <c r="P77" s="5">
        <f t="shared" si="26"/>
        <v>-28.012279355333845</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1383.8</v>
      </c>
      <c r="D78" s="82">
        <f>VLOOKUP($B78,'Data shares'!$C:$FB,98)</f>
        <v>15843000</v>
      </c>
      <c r="E78" s="165">
        <f>VLOOKUP(B78,'Snapshot (Volume)'!$A$7:$G$168,7,0)</f>
        <v>15814000</v>
      </c>
      <c r="F78" s="165">
        <f t="shared" si="23"/>
        <v>29000</v>
      </c>
      <c r="G78" s="166">
        <f t="shared" si="24"/>
        <v>1.8338181358290122E-3</v>
      </c>
      <c r="H78" s="165">
        <f>VLOOKUP($B78,'Data shares'!$C:$FB,66)</f>
        <v>4692500</v>
      </c>
      <c r="I78" s="165">
        <f>VLOOKUP($B78,'Data shares'!$C:$FB,67)</f>
        <v>6065000</v>
      </c>
      <c r="J78" s="81">
        <f t="shared" si="25"/>
        <v>-22.62984336356142</v>
      </c>
      <c r="K78" s="5">
        <f>VLOOKUP($B78,'Data Vlaue (Cr)'!$C:$FB,99)</f>
        <v>2198</v>
      </c>
      <c r="L78" s="81">
        <f>VLOOKUP(B78,'OI(Value)'!$A$7:$C$226,3,0)</f>
        <v>4</v>
      </c>
      <c r="M78" s="33">
        <f t="shared" si="22"/>
        <v>0.18198362147406735</v>
      </c>
      <c r="N78" s="5">
        <f>VLOOKUP($B78,'Data Vlaue (Cr)'!$C:$FB,67)</f>
        <v>651</v>
      </c>
      <c r="O78" s="5">
        <f>VLOOKUP($B78,'Data Vlaue (Cr)'!$C:$FB,68)</f>
        <v>841</v>
      </c>
      <c r="P78" s="5">
        <f t="shared" si="26"/>
        <v>-29.185867895545314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1551.6</v>
      </c>
      <c r="D79" s="82">
        <f>VLOOKUP($B79,'Data shares'!$C:$FB,98)</f>
        <v>35658000</v>
      </c>
      <c r="E79" s="165">
        <f>VLOOKUP(B79,'Snapshot (Volume)'!$A$7:$G$168,7,0)</f>
        <v>34394150</v>
      </c>
      <c r="F79" s="165">
        <f t="shared" si="23"/>
        <v>1263850</v>
      </c>
      <c r="G79" s="166">
        <f t="shared" si="24"/>
        <v>3.6746074550468612E-2</v>
      </c>
      <c r="H79" s="165">
        <f>VLOOKUP($B79,'Data shares'!$C:$FB,66)</f>
        <v>21196000</v>
      </c>
      <c r="I79" s="165">
        <f>VLOOKUP($B79,'Data shares'!$C:$FB,67)</f>
        <v>20867000</v>
      </c>
      <c r="J79" s="81">
        <f t="shared" si="25"/>
        <v>1.576652130157665</v>
      </c>
      <c r="K79" s="5">
        <f>VLOOKUP($B79,'Data Vlaue (Cr)'!$C:$FB,99)</f>
        <v>5539</v>
      </c>
      <c r="L79" s="81">
        <f>VLOOKUP(B79,'OI(Value)'!$A$7:$C$226,3,0)</f>
        <v>196</v>
      </c>
      <c r="M79" s="33">
        <f t="shared" si="22"/>
        <v>3.5385448636938079</v>
      </c>
      <c r="N79" s="5">
        <f>VLOOKUP($B79,'Data Vlaue (Cr)'!$C:$FB,67)</f>
        <v>3293</v>
      </c>
      <c r="O79" s="5">
        <f>VLOOKUP($B79,'Data Vlaue (Cr)'!$C:$FB,68)</f>
        <v>3242</v>
      </c>
      <c r="P79" s="5">
        <f t="shared" si="26"/>
        <v>1.5487397509869418</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2826.9</v>
      </c>
      <c r="D80" s="82">
        <f>VLOOKUP($B80,'Data shares'!$C:$FB,98)</f>
        <v>9884700</v>
      </c>
      <c r="E80" s="165">
        <f>VLOOKUP(B80,'Snapshot (Volume)'!$A$7:$G$168,7,0)</f>
        <v>9957300</v>
      </c>
      <c r="F80" s="165">
        <f t="shared" si="23"/>
        <v>-72600</v>
      </c>
      <c r="G80" s="166">
        <f t="shared" si="24"/>
        <v>-7.2911331385014013E-3</v>
      </c>
      <c r="H80" s="165">
        <f>VLOOKUP($B80,'Data shares'!$C:$FB,66)</f>
        <v>4146300</v>
      </c>
      <c r="I80" s="165">
        <f>VLOOKUP($B80,'Data shares'!$C:$FB,67)</f>
        <v>9772200</v>
      </c>
      <c r="J80" s="81">
        <f t="shared" si="25"/>
        <v>-57.570454964081783</v>
      </c>
      <c r="K80" s="5">
        <f>VLOOKUP($B80,'Data Vlaue (Cr)'!$C:$FB,99)</f>
        <v>2799</v>
      </c>
      <c r="L80" s="81">
        <f>VLOOKUP(B80,'OI(Value)'!$A$7:$C$226,3,0)</f>
        <v>-21</v>
      </c>
      <c r="M80" s="33">
        <f t="shared" si="22"/>
        <v>-0.75026795284030012</v>
      </c>
      <c r="N80" s="5">
        <f>VLOOKUP($B80,'Data Vlaue (Cr)'!$C:$FB,67)</f>
        <v>1174</v>
      </c>
      <c r="O80" s="5">
        <f>VLOOKUP($B80,'Data Vlaue (Cr)'!$C:$FB,68)</f>
        <v>2767</v>
      </c>
      <c r="P80" s="5">
        <f t="shared" si="26"/>
        <v>-135.68994889267464</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927.1</v>
      </c>
      <c r="D81" s="82">
        <f>VLOOKUP($B81,'Data shares'!$C:$FB,98)</f>
        <v>363347050</v>
      </c>
      <c r="E81" s="165">
        <f>VLOOKUP(B81,'Snapshot (Volume)'!$A$7:$G$168,7,0)</f>
        <v>352744700</v>
      </c>
      <c r="F81" s="165">
        <f t="shared" si="23"/>
        <v>10602350</v>
      </c>
      <c r="G81" s="166">
        <f t="shared" si="24"/>
        <v>3.005672374382946E-2</v>
      </c>
      <c r="H81" s="165">
        <f>VLOOKUP($B81,'Data shares'!$C:$FB,66)</f>
        <v>125980800</v>
      </c>
      <c r="I81" s="165">
        <f>VLOOKUP($B81,'Data shares'!$C:$FB,67)</f>
        <v>118824200</v>
      </c>
      <c r="J81" s="81">
        <f t="shared" si="25"/>
        <v>6.022847197793042</v>
      </c>
      <c r="K81" s="5">
        <f>VLOOKUP($B81,'Data Vlaue (Cr)'!$C:$FB,99)</f>
        <v>33817</v>
      </c>
      <c r="L81" s="81">
        <f>VLOOKUP(B81,'OI(Value)'!$A$7:$C$226,3,0)</f>
        <v>987</v>
      </c>
      <c r="M81" s="33">
        <f t="shared" si="22"/>
        <v>2.9186503829434898</v>
      </c>
      <c r="N81" s="5">
        <f>VLOOKUP($B81,'Data Vlaue (Cr)'!$C:$FB,67)</f>
        <v>11725</v>
      </c>
      <c r="O81" s="5">
        <f>VLOOKUP($B81,'Data Vlaue (Cr)'!$C:$FB,68)</f>
        <v>11059</v>
      </c>
      <c r="P81" s="5">
        <f t="shared" si="26"/>
        <v>5.6801705756929639</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701.1</v>
      </c>
      <c r="D82" s="82">
        <f>VLOOKUP($B82,'Data shares'!$C:$FB,98)</f>
        <v>61413000</v>
      </c>
      <c r="E82" s="165">
        <f>VLOOKUP(B82,'Snapshot (Volume)'!$A$7:$G$168,7,0)</f>
        <v>60097400</v>
      </c>
      <c r="F82" s="165">
        <f t="shared" si="23"/>
        <v>1315600</v>
      </c>
      <c r="G82" s="166">
        <f t="shared" si="24"/>
        <v>2.1891130065526961E-2</v>
      </c>
      <c r="H82" s="165">
        <f>VLOOKUP($B82,'Data shares'!$C:$FB,66)</f>
        <v>16855300</v>
      </c>
      <c r="I82" s="165">
        <f>VLOOKUP($B82,'Data shares'!$C:$FB,67)</f>
        <v>15790500</v>
      </c>
      <c r="J82" s="81">
        <f t="shared" si="25"/>
        <v>6.7432950191570873</v>
      </c>
      <c r="K82" s="5">
        <f>VLOOKUP($B82,'Data Vlaue (Cr)'!$C:$FB,99)</f>
        <v>4317</v>
      </c>
      <c r="L82" s="81">
        <f>VLOOKUP(B82,'OI(Value)'!$A$7:$C$226,3,0)</f>
        <v>92</v>
      </c>
      <c r="M82" s="33">
        <f t="shared" si="22"/>
        <v>2.1311095668288162</v>
      </c>
      <c r="N82" s="5">
        <f>VLOOKUP($B82,'Data Vlaue (Cr)'!$C:$FB,67)</f>
        <v>1185</v>
      </c>
      <c r="O82" s="5">
        <f>VLOOKUP($B82,'Data Vlaue (Cr)'!$C:$FB,68)</f>
        <v>1110</v>
      </c>
      <c r="P82" s="5">
        <f t="shared" si="26"/>
        <v>6.3291139240506329</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5682.5</v>
      </c>
      <c r="D83" s="82">
        <f>VLOOKUP($B83,'Data shares'!$C:$FB,98)</f>
        <v>8917200</v>
      </c>
      <c r="E83" s="165">
        <f>VLOOKUP(B83,'Snapshot (Volume)'!$A$7:$G$168,7,0)</f>
        <v>9427350</v>
      </c>
      <c r="F83" s="165">
        <f t="shared" si="23"/>
        <v>-510150</v>
      </c>
      <c r="G83" s="166">
        <f t="shared" si="24"/>
        <v>-5.4113828382313163E-2</v>
      </c>
      <c r="H83" s="165">
        <f>VLOOKUP($B83,'Data shares'!$C:$FB,66)</f>
        <v>13795050</v>
      </c>
      <c r="I83" s="165">
        <f>VLOOKUP($B83,'Data shares'!$C:$FB,67)</f>
        <v>9383850</v>
      </c>
      <c r="J83" s="81">
        <f t="shared" si="25"/>
        <v>47.008424047698973</v>
      </c>
      <c r="K83" s="5">
        <f>VLOOKUP($B83,'Data Vlaue (Cr)'!$C:$FB,99)</f>
        <v>5083</v>
      </c>
      <c r="L83" s="81">
        <f>VLOOKUP(B83,'OI(Value)'!$A$7:$C$226,3,0)</f>
        <v>-291</v>
      </c>
      <c r="M83" s="33">
        <f t="shared" si="22"/>
        <v>-5.724965571512886</v>
      </c>
      <c r="N83" s="5">
        <f>VLOOKUP($B83,'Data Vlaue (Cr)'!$C:$FB,67)</f>
        <v>7864</v>
      </c>
      <c r="O83" s="5">
        <f>VLOOKUP($B83,'Data Vlaue (Cr)'!$C:$FB,68)</f>
        <v>5349</v>
      </c>
      <c r="P83" s="5">
        <f t="shared" si="26"/>
        <v>31.981180061037641</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965.95</v>
      </c>
      <c r="D84" s="82">
        <f>VLOOKUP($B84,'Data shares'!$C:$FB,98)</f>
        <v>70389900</v>
      </c>
      <c r="E84" s="165">
        <f>VLOOKUP(B84,'Snapshot (Volume)'!$A$7:$G$168,7,0)</f>
        <v>67406500</v>
      </c>
      <c r="F84" s="165">
        <f t="shared" si="23"/>
        <v>2983400</v>
      </c>
      <c r="G84" s="166">
        <f t="shared" si="24"/>
        <v>4.4259826574588504E-2</v>
      </c>
      <c r="H84" s="165">
        <f>VLOOKUP($B84,'Data shares'!$C:$FB,66)</f>
        <v>49658000</v>
      </c>
      <c r="I84" s="165">
        <f>VLOOKUP($B84,'Data shares'!$C:$FB,67)</f>
        <v>26611200</v>
      </c>
      <c r="J84" s="81">
        <f t="shared" si="25"/>
        <v>86.605639730639723</v>
      </c>
      <c r="K84" s="5">
        <f>VLOOKUP($B84,'Data Vlaue (Cr)'!$C:$FB,99)</f>
        <v>6792</v>
      </c>
      <c r="L84" s="81">
        <f>VLOOKUP(B84,'OI(Value)'!$A$7:$C$226,3,0)</f>
        <v>288</v>
      </c>
      <c r="M84" s="33">
        <f t="shared" si="22"/>
        <v>4.2402826855123674</v>
      </c>
      <c r="N84" s="5">
        <f>VLOOKUP($B84,'Data Vlaue (Cr)'!$C:$FB,67)</f>
        <v>4791</v>
      </c>
      <c r="O84" s="5">
        <f>VLOOKUP($B84,'Data Vlaue (Cr)'!$C:$FB,68)</f>
        <v>2568</v>
      </c>
      <c r="P84" s="5">
        <f t="shared" si="26"/>
        <v>46.399499060738883</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461.75</v>
      </c>
      <c r="D85" s="82">
        <f>VLOOKUP($B85,'Data shares'!$C:$FB,98)</f>
        <v>65662650</v>
      </c>
      <c r="E85" s="165">
        <f>VLOOKUP(B85,'Snapshot (Volume)'!$A$7:$G$168,7,0)</f>
        <v>65439900</v>
      </c>
      <c r="F85" s="165">
        <f t="shared" si="23"/>
        <v>222750</v>
      </c>
      <c r="G85" s="166">
        <f t="shared" si="24"/>
        <v>3.4038866196311425E-3</v>
      </c>
      <c r="H85" s="165">
        <f>VLOOKUP($B85,'Data shares'!$C:$FB,66)</f>
        <v>23291550</v>
      </c>
      <c r="I85" s="165">
        <f>VLOOKUP($B85,'Data shares'!$C:$FB,67)</f>
        <v>22971600</v>
      </c>
      <c r="J85" s="81">
        <f t="shared" si="25"/>
        <v>1.3928067700987306</v>
      </c>
      <c r="K85" s="5">
        <f>VLOOKUP($B85,'Data Vlaue (Cr)'!$C:$FB,99)</f>
        <v>3034</v>
      </c>
      <c r="L85" s="81">
        <f>VLOOKUP(B85,'OI(Value)'!$A$7:$C$226,3,0)</f>
        <v>10</v>
      </c>
      <c r="M85" s="33">
        <f t="shared" si="22"/>
        <v>0.32959789057350031</v>
      </c>
      <c r="N85" s="5">
        <f>VLOOKUP($B85,'Data Vlaue (Cr)'!$C:$FB,67)</f>
        <v>1076</v>
      </c>
      <c r="O85" s="5">
        <f>VLOOKUP($B85,'Data Vlaue (Cr)'!$C:$FB,68)</f>
        <v>1062</v>
      </c>
      <c r="P85" s="5">
        <f t="shared" si="26"/>
        <v>1.3011152416356877</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2462.9</v>
      </c>
      <c r="D86" s="82">
        <f>VLOOKUP($B86,'Data shares'!$C:$FB,98)</f>
        <v>24653400</v>
      </c>
      <c r="E86" s="165">
        <f>VLOOKUP(B86,'Snapshot (Volume)'!$A$7:$G$168,7,0)</f>
        <v>24034800</v>
      </c>
      <c r="F86" s="165">
        <f t="shared" ref="F86:F96" si="27">D86-E86</f>
        <v>618600</v>
      </c>
      <c r="G86" s="166">
        <f t="shared" ref="G86:G96" si="28">F86/E86</f>
        <v>2.5737680363472966E-2</v>
      </c>
      <c r="H86" s="165">
        <f>VLOOKUP($B86,'Data shares'!$C:$FB,66)</f>
        <v>13492500</v>
      </c>
      <c r="I86" s="165">
        <f>VLOOKUP($B86,'Data shares'!$C:$FB,67)</f>
        <v>11323800</v>
      </c>
      <c r="J86" s="81">
        <f t="shared" ref="J86:J96" si="29">(H86-I86)/I86*100</f>
        <v>19.151698193186036</v>
      </c>
      <c r="K86" s="5">
        <f>VLOOKUP($B86,'Data Vlaue (Cr)'!$C:$FB,99)</f>
        <v>6087</v>
      </c>
      <c r="L86" s="81">
        <f>VLOOKUP(B86,'OI(Value)'!$A$7:$C$226,3,0)</f>
        <v>153</v>
      </c>
      <c r="M86" s="33">
        <f t="shared" si="22"/>
        <v>2.5135534746180386</v>
      </c>
      <c r="N86" s="5">
        <f>VLOOKUP($B86,'Data Vlaue (Cr)'!$C:$FB,67)</f>
        <v>3332</v>
      </c>
      <c r="O86" s="5">
        <f>VLOOKUP($B86,'Data Vlaue (Cr)'!$C:$FB,68)</f>
        <v>2796</v>
      </c>
      <c r="P86" s="5">
        <f t="shared" ref="P86:P96" si="30">(N86-O86)/N86*100</f>
        <v>16.086434573829532</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628.54999999999995</v>
      </c>
      <c r="D87" s="82">
        <f>VLOOKUP($B87,'Data shares'!$C:$FB,98)</f>
        <v>144107775</v>
      </c>
      <c r="E87" s="165">
        <f>VLOOKUP(B87,'Snapshot (Volume)'!$A$7:$G$168,7,0)</f>
        <v>147539000</v>
      </c>
      <c r="F87" s="165">
        <f t="shared" si="27"/>
        <v>-3431225</v>
      </c>
      <c r="G87" s="166">
        <f t="shared" si="28"/>
        <v>-2.3256393224842246E-2</v>
      </c>
      <c r="H87" s="165">
        <f>VLOOKUP($B87,'Data shares'!$C:$FB,66)</f>
        <v>74355050</v>
      </c>
      <c r="I87" s="165">
        <f>VLOOKUP($B87,'Data shares'!$C:$FB,67)</f>
        <v>80935750</v>
      </c>
      <c r="J87" s="81">
        <f t="shared" si="29"/>
        <v>-8.130770395035567</v>
      </c>
      <c r="K87" s="5">
        <f>VLOOKUP($B87,'Data Vlaue (Cr)'!$C:$FB,99)</f>
        <v>9092</v>
      </c>
      <c r="L87" s="81">
        <f>VLOOKUP(B87,'OI(Value)'!$A$7:$C$226,3,0)</f>
        <v>-216</v>
      </c>
      <c r="M87" s="33">
        <f t="shared" si="22"/>
        <v>-2.3757149142102949</v>
      </c>
      <c r="N87" s="5">
        <f>VLOOKUP($B87,'Data Vlaue (Cr)'!$C:$FB,67)</f>
        <v>4691</v>
      </c>
      <c r="O87" s="5">
        <f>VLOOKUP($B87,'Data Vlaue (Cr)'!$C:$FB,68)</f>
        <v>5106</v>
      </c>
      <c r="P87" s="5">
        <f t="shared" si="30"/>
        <v>-8.8467277765934771</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193.24</v>
      </c>
      <c r="D88" s="82">
        <f>VLOOKUP($B88,'Data shares'!$C:$FB,98)</f>
        <v>96084375</v>
      </c>
      <c r="E88" s="165">
        <f>VLOOKUP(B88,'Snapshot (Volume)'!$A$7:$G$168,7,0)</f>
        <v>95401725</v>
      </c>
      <c r="F88" s="165">
        <f t="shared" si="27"/>
        <v>682650</v>
      </c>
      <c r="G88" s="166">
        <f t="shared" si="28"/>
        <v>7.1555309927572065E-3</v>
      </c>
      <c r="H88" s="165">
        <f>VLOOKUP($B88,'Data shares'!$C:$FB,66)</f>
        <v>26978550</v>
      </c>
      <c r="I88" s="165">
        <f>VLOOKUP($B88,'Data shares'!$C:$FB,67)</f>
        <v>23365500</v>
      </c>
      <c r="J88" s="81">
        <f t="shared" si="29"/>
        <v>15.463182897862232</v>
      </c>
      <c r="K88" s="5">
        <f>VLOOKUP($B88,'Data Vlaue (Cr)'!$C:$FB,99)</f>
        <v>1863</v>
      </c>
      <c r="L88" s="81">
        <f>VLOOKUP(B88,'OI(Value)'!$A$7:$C$226,3,0)</f>
        <v>13</v>
      </c>
      <c r="M88" s="33">
        <f t="shared" si="22"/>
        <v>0.6977992485238862</v>
      </c>
      <c r="N88" s="5">
        <f>VLOOKUP($B88,'Data Vlaue (Cr)'!$C:$FB,67)</f>
        <v>523</v>
      </c>
      <c r="O88" s="5">
        <f>VLOOKUP($B88,'Data Vlaue (Cr)'!$C:$FB,68)</f>
        <v>453</v>
      </c>
      <c r="P88" s="5">
        <f t="shared" si="30"/>
        <v>13.384321223709369</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1406.1</v>
      </c>
      <c r="D89" s="82">
        <f>VLOOKUP($B89,'Data shares'!$C:$FB,98)</f>
        <v>183897000</v>
      </c>
      <c r="E89" s="165">
        <f>VLOOKUP(B89,'Snapshot (Volume)'!$A$7:$G$168,7,0)</f>
        <v>181811000</v>
      </c>
      <c r="F89" s="165">
        <f t="shared" si="27"/>
        <v>2086000</v>
      </c>
      <c r="G89" s="166">
        <f t="shared" si="28"/>
        <v>1.1473453201401456E-2</v>
      </c>
      <c r="H89" s="165">
        <f>VLOOKUP($B89,'Data shares'!$C:$FB,66)</f>
        <v>48216700</v>
      </c>
      <c r="I89" s="165">
        <f>VLOOKUP($B89,'Data shares'!$C:$FB,67)</f>
        <v>66976000</v>
      </c>
      <c r="J89" s="81">
        <f t="shared" si="29"/>
        <v>-28.008988294314381</v>
      </c>
      <c r="K89" s="5">
        <f>VLOOKUP($B89,'Data Vlaue (Cr)'!$C:$FB,99)</f>
        <v>25922</v>
      </c>
      <c r="L89" s="81">
        <f>VLOOKUP(B89,'OI(Value)'!$A$7:$C$226,3,0)</f>
        <v>294</v>
      </c>
      <c r="M89" s="33">
        <f t="shared" si="22"/>
        <v>1.1341717460072525</v>
      </c>
      <c r="N89" s="5">
        <f>VLOOKUP($B89,'Data Vlaue (Cr)'!$C:$FB,67)</f>
        <v>6797</v>
      </c>
      <c r="O89" s="5">
        <f>VLOOKUP($B89,'Data Vlaue (Cr)'!$C:$FB,68)</f>
        <v>9441</v>
      </c>
      <c r="P89" s="5">
        <f t="shared" si="30"/>
        <v>-38.899514491687512</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1931.7</v>
      </c>
      <c r="D90" s="82">
        <f>VLOOKUP($B90,'Data shares'!$C:$FB,98)</f>
        <v>8249150</v>
      </c>
      <c r="E90" s="165">
        <f>VLOOKUP(B90,'Snapshot (Volume)'!$A$7:$G$168,7,0)</f>
        <v>7955675</v>
      </c>
      <c r="F90" s="165">
        <f t="shared" si="27"/>
        <v>293475</v>
      </c>
      <c r="G90" s="166">
        <f t="shared" si="28"/>
        <v>3.6888761795824995E-2</v>
      </c>
      <c r="H90" s="165">
        <f>VLOOKUP($B90,'Data shares'!$C:$FB,66)</f>
        <v>2763150</v>
      </c>
      <c r="I90" s="165">
        <f>VLOOKUP($B90,'Data shares'!$C:$FB,67)</f>
        <v>5100550</v>
      </c>
      <c r="J90" s="81">
        <f t="shared" si="29"/>
        <v>-45.826430482987128</v>
      </c>
      <c r="K90" s="5">
        <f>VLOOKUP($B90,'Data Vlaue (Cr)'!$C:$FB,99)</f>
        <v>1586</v>
      </c>
      <c r="L90" s="81">
        <f>VLOOKUP(B90,'OI(Value)'!$A$7:$C$226,3,0)</f>
        <v>56</v>
      </c>
      <c r="M90" s="33">
        <f t="shared" si="22"/>
        <v>3.5308953341740232</v>
      </c>
      <c r="N90" s="5">
        <f>VLOOKUP($B90,'Data Vlaue (Cr)'!$C:$FB,67)</f>
        <v>531</v>
      </c>
      <c r="O90" s="5">
        <f>VLOOKUP($B90,'Data Vlaue (Cr)'!$C:$FB,68)</f>
        <v>980</v>
      </c>
      <c r="P90" s="5">
        <f t="shared" si="30"/>
        <v>-84.557438794726934</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640.95000000000005</v>
      </c>
      <c r="D91" s="82">
        <f>VLOOKUP($B91,'Data shares'!$C:$FB,98)</f>
        <v>20746825</v>
      </c>
      <c r="E91" s="165">
        <f>VLOOKUP(B91,'Snapshot (Volume)'!$A$7:$G$168,7,0)</f>
        <v>20844875</v>
      </c>
      <c r="F91" s="165">
        <f t="shared" si="27"/>
        <v>-98050</v>
      </c>
      <c r="G91" s="166">
        <f t="shared" si="28"/>
        <v>-4.7037940980696694E-3</v>
      </c>
      <c r="H91" s="165">
        <f>VLOOKUP($B91,'Data shares'!$C:$FB,66)</f>
        <v>4255000</v>
      </c>
      <c r="I91" s="165">
        <f>VLOOKUP($B91,'Data shares'!$C:$FB,67)</f>
        <v>8776400</v>
      </c>
      <c r="J91" s="81">
        <f t="shared" si="29"/>
        <v>-51.517706576728493</v>
      </c>
      <c r="K91" s="5">
        <f>VLOOKUP($B91,'Data Vlaue (Cr)'!$C:$FB,99)</f>
        <v>1334</v>
      </c>
      <c r="L91" s="81">
        <f>VLOOKUP(B91,'OI(Value)'!$A$7:$C$226,3,0)</f>
        <v>-6</v>
      </c>
      <c r="M91" s="33">
        <f t="shared" si="22"/>
        <v>-0.4497751124437781</v>
      </c>
      <c r="N91" s="5">
        <f>VLOOKUP($B91,'Data Vlaue (Cr)'!$C:$FB,67)</f>
        <v>274</v>
      </c>
      <c r="O91" s="5">
        <f>VLOOKUP($B91,'Data Vlaue (Cr)'!$C:$FB,68)</f>
        <v>564</v>
      </c>
      <c r="P91" s="5">
        <f t="shared" si="30"/>
        <v>-105.83941605839415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11.85</v>
      </c>
      <c r="D92" s="82">
        <f>VLOOKUP($B92,'Data shares'!$C:$FB,98)</f>
        <v>9926305050</v>
      </c>
      <c r="E92" s="165">
        <f>VLOOKUP(B92,'Snapshot (Volume)'!$A$7:$G$168,7,0)</f>
        <v>9943816425</v>
      </c>
      <c r="F92" s="165">
        <f t="shared" si="27"/>
        <v>-17511375</v>
      </c>
      <c r="G92" s="166">
        <f t="shared" si="28"/>
        <v>-1.761031605126399E-3</v>
      </c>
      <c r="H92" s="165">
        <f>VLOOKUP($B92,'Data shares'!$C:$FB,66)</f>
        <v>3670527150</v>
      </c>
      <c r="I92" s="165">
        <f>VLOOKUP($B92,'Data shares'!$C:$FB,67)</f>
        <v>1578596850</v>
      </c>
      <c r="J92" s="81">
        <f t="shared" si="29"/>
        <v>132.51833740831296</v>
      </c>
      <c r="K92" s="5">
        <f>VLOOKUP($B92,'Data Vlaue (Cr)'!$C:$FB,99)</f>
        <v>11763</v>
      </c>
      <c r="L92" s="81">
        <f>VLOOKUP(B92,'OI(Value)'!$A$7:$C$226,3,0)</f>
        <v>-21</v>
      </c>
      <c r="M92" s="33">
        <f t="shared" si="22"/>
        <v>-0.17852588625350677</v>
      </c>
      <c r="N92" s="5">
        <f>VLOOKUP($B92,'Data Vlaue (Cr)'!$C:$FB,67)</f>
        <v>4350</v>
      </c>
      <c r="O92" s="5">
        <f>VLOOKUP($B92,'Data Vlaue (Cr)'!$C:$FB,68)</f>
        <v>1871</v>
      </c>
      <c r="P92" s="5">
        <f t="shared" si="30"/>
        <v>56.988505747126439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82.56</v>
      </c>
      <c r="D93" s="82">
        <f>VLOOKUP($B93,'Data shares'!$C:$FB,98)</f>
        <v>530196100</v>
      </c>
      <c r="E93" s="165">
        <f>VLOOKUP(B93,'Snapshot (Volume)'!$A$7:$G$168,7,0)</f>
        <v>503122375</v>
      </c>
      <c r="F93" s="165">
        <f t="shared" si="27"/>
        <v>27073725</v>
      </c>
      <c r="G93" s="166">
        <f t="shared" si="28"/>
        <v>5.3811411189971424E-2</v>
      </c>
      <c r="H93" s="165">
        <f>VLOOKUP($B93,'Data shares'!$C:$FB,66)</f>
        <v>204513750</v>
      </c>
      <c r="I93" s="165">
        <f>VLOOKUP($B93,'Data shares'!$C:$FB,67)</f>
        <v>153696025</v>
      </c>
      <c r="J93" s="81">
        <f t="shared" si="29"/>
        <v>33.063786132399976</v>
      </c>
      <c r="K93" s="5">
        <f>VLOOKUP($B93,'Data Vlaue (Cr)'!$C:$FB,99)</f>
        <v>4386</v>
      </c>
      <c r="L93" s="81">
        <f>VLOOKUP(B93,'OI(Value)'!$A$7:$C$226,3,0)</f>
        <v>224</v>
      </c>
      <c r="M93" s="33">
        <f t="shared" si="22"/>
        <v>5.1071591427268581</v>
      </c>
      <c r="N93" s="5">
        <f>VLOOKUP($B93,'Data Vlaue (Cr)'!$C:$FB,67)</f>
        <v>1692</v>
      </c>
      <c r="O93" s="5">
        <f>VLOOKUP($B93,'Data Vlaue (Cr)'!$C:$FB,68)</f>
        <v>1272</v>
      </c>
      <c r="P93" s="5">
        <f t="shared" si="30"/>
        <v>24.822695035460992</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127.16</v>
      </c>
      <c r="D94" s="82">
        <f>VLOOKUP($B94,'Data shares'!$C:$FB,98)</f>
        <v>204697500</v>
      </c>
      <c r="E94" s="165">
        <f>VLOOKUP(B94,'Snapshot (Volume)'!$A$7:$G$168,7,0)</f>
        <v>202942500</v>
      </c>
      <c r="F94" s="165">
        <f t="shared" si="27"/>
        <v>1755000</v>
      </c>
      <c r="G94" s="166">
        <f t="shared" si="28"/>
        <v>8.6477696884585536E-3</v>
      </c>
      <c r="H94" s="165">
        <f>VLOOKUP($B94,'Data shares'!$C:$FB,66)</f>
        <v>64260000</v>
      </c>
      <c r="I94" s="165">
        <f>VLOOKUP($B94,'Data shares'!$C:$FB,67)</f>
        <v>54018750</v>
      </c>
      <c r="J94" s="81">
        <f t="shared" si="29"/>
        <v>18.958694897605</v>
      </c>
      <c r="K94" s="5">
        <f>VLOOKUP($B94,'Data Vlaue (Cr)'!$C:$FB,99)</f>
        <v>2613</v>
      </c>
      <c r="L94" s="81">
        <f>VLOOKUP(B94,'OI(Value)'!$A$7:$C$226,3,0)</f>
        <v>22</v>
      </c>
      <c r="M94" s="33">
        <f t="shared" ref="M94:M122" si="31">L94/K94*100</f>
        <v>0.84194412552621511</v>
      </c>
      <c r="N94" s="5">
        <f>VLOOKUP($B94,'Data Vlaue (Cr)'!$C:$FB,67)</f>
        <v>820</v>
      </c>
      <c r="O94" s="5">
        <f>VLOOKUP($B94,'Data Vlaue (Cr)'!$C:$FB,68)</f>
        <v>690</v>
      </c>
      <c r="P94" s="5">
        <f t="shared" si="30"/>
        <v>15.853658536585366</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Realty</v>
      </c>
      <c r="B95" s="79" t="str">
        <f>'Data shares'!C90</f>
        <v>INDHOTEL</v>
      </c>
      <c r="C95" s="4">
        <f>VLOOKUP($B95,'Data shares'!$C:$FB,7)</f>
        <v>707.55</v>
      </c>
      <c r="D95" s="82">
        <f>VLOOKUP($B95,'Data shares'!$C:$FB,98)</f>
        <v>44815000</v>
      </c>
      <c r="E95" s="165">
        <f>VLOOKUP(B95,'Snapshot (Volume)'!$A$7:$G$168,7,0)</f>
        <v>42403000</v>
      </c>
      <c r="F95" s="165">
        <f t="shared" si="27"/>
        <v>2412000</v>
      </c>
      <c r="G95" s="166">
        <f t="shared" si="28"/>
        <v>5.6882767728698443E-2</v>
      </c>
      <c r="H95" s="165">
        <f>VLOOKUP($B95,'Data shares'!$C:$FB,66)</f>
        <v>19321000</v>
      </c>
      <c r="I95" s="165">
        <f>VLOOKUP($B95,'Data shares'!$C:$FB,67)</f>
        <v>19264000</v>
      </c>
      <c r="J95" s="81">
        <f t="shared" si="29"/>
        <v>0.29588870431893688</v>
      </c>
      <c r="K95" s="5">
        <f>VLOOKUP($B95,'Data Vlaue (Cr)'!$C:$FB,99)</f>
        <v>3175</v>
      </c>
      <c r="L95" s="81">
        <f>VLOOKUP(B95,'OI(Value)'!$A$7:$C$226,3,0)</f>
        <v>171</v>
      </c>
      <c r="M95" s="33">
        <f t="shared" si="31"/>
        <v>5.3858267716535435</v>
      </c>
      <c r="N95" s="5">
        <f>VLOOKUP($B95,'Data Vlaue (Cr)'!$C:$FB,67)</f>
        <v>1369</v>
      </c>
      <c r="O95" s="5">
        <f>VLOOKUP($B95,'Data Vlaue (Cr)'!$C:$FB,68)</f>
        <v>1365</v>
      </c>
      <c r="P95" s="5">
        <f t="shared" si="30"/>
        <v>0.29218407596785978</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Banking</v>
      </c>
      <c r="B96" s="79" t="str">
        <f>'Data shares'!C91</f>
        <v>INDIANB</v>
      </c>
      <c r="C96" s="4">
        <f>VLOOKUP($B96,'Data shares'!$C:$FB,7)</f>
        <v>897.3</v>
      </c>
      <c r="D96" s="82">
        <f>VLOOKUP($B96,'Data shares'!$C:$FB,98)</f>
        <v>18753000</v>
      </c>
      <c r="E96" s="165">
        <f>VLOOKUP(B96,'Snapshot (Volume)'!$A$7:$G$168,7,0)</f>
        <v>18253000</v>
      </c>
      <c r="F96" s="165">
        <f t="shared" si="27"/>
        <v>500000</v>
      </c>
      <c r="G96" s="166">
        <f t="shared" si="28"/>
        <v>2.739275735495535E-2</v>
      </c>
      <c r="H96" s="165">
        <f>VLOOKUP($B96,'Data shares'!$C:$FB,66)</f>
        <v>21089000</v>
      </c>
      <c r="I96" s="165">
        <f>VLOOKUP($B96,'Data shares'!$C:$FB,67)</f>
        <v>10865000</v>
      </c>
      <c r="J96" s="81">
        <f t="shared" si="29"/>
        <v>94.100322135296821</v>
      </c>
      <c r="K96" s="5">
        <f>VLOOKUP($B96,'Data Vlaue (Cr)'!$C:$FB,99)</f>
        <v>1689</v>
      </c>
      <c r="L96" s="81">
        <f>VLOOKUP(B96,'OI(Value)'!$A$7:$C$226,3,0)</f>
        <v>45</v>
      </c>
      <c r="M96" s="33">
        <f t="shared" si="31"/>
        <v>2.6642984014209592</v>
      </c>
      <c r="N96" s="5">
        <f>VLOOKUP($B96,'Data Vlaue (Cr)'!$C:$FB,67)</f>
        <v>1899</v>
      </c>
      <c r="O96" s="5">
        <f>VLOOKUP($B96,'Data Vlaue (Cr)'!$C:$FB,68)</f>
        <v>978</v>
      </c>
      <c r="P96" s="5">
        <f t="shared" si="30"/>
        <v>48.499210110584521</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Index</v>
      </c>
      <c r="B97" s="79" t="str">
        <f>'Data shares'!C92</f>
        <v>INDIAVIX</v>
      </c>
      <c r="C97" s="4">
        <f>VLOOKUP($B97,'Data shares'!$C:$FB,7)</f>
        <v>11.55</v>
      </c>
      <c r="D97" s="82">
        <f>VLOOKUP($B97,'Data shares'!$C:$FB,98)</f>
        <v>0</v>
      </c>
      <c r="E97" s="165">
        <f>VLOOKUP(B97,'Snapshot (Volume)'!$A$7:$G$168,7,0)</f>
        <v>0</v>
      </c>
      <c r="F97" s="165">
        <f t="shared" ref="F97:F105" si="32">D97-E97</f>
        <v>0</v>
      </c>
      <c r="G97" s="166" t="e">
        <f t="shared" ref="G97:G105" si="33">F97/E97</f>
        <v>#DIV/0!</v>
      </c>
      <c r="H97" s="165">
        <f>VLOOKUP($B97,'Data shares'!$C:$FB,66)</f>
        <v>0</v>
      </c>
      <c r="I97" s="165">
        <f>VLOOKUP($B97,'Data shares'!$C:$FB,67)</f>
        <v>0</v>
      </c>
      <c r="J97" s="81" t="e">
        <f t="shared" ref="J97:J105" si="34">(H97-I97)/I97*100</f>
        <v>#DIV/0!</v>
      </c>
      <c r="K97" s="5">
        <f>VLOOKUP($B97,'Data Vlaue (Cr)'!$C:$FB,99)</f>
        <v>0</v>
      </c>
      <c r="L97" s="81">
        <f>VLOOKUP(B97,'OI(Value)'!$A$7:$C$226,3,0)</f>
        <v>0</v>
      </c>
      <c r="M97" s="33" t="e">
        <f t="shared" si="31"/>
        <v>#DIV/0!</v>
      </c>
      <c r="N97" s="5">
        <f>VLOOKUP($B97,'Data Vlaue (Cr)'!$C:$FB,67)</f>
        <v>0</v>
      </c>
      <c r="O97" s="5">
        <f>VLOOKUP($B97,'Data Vlaue (Cr)'!$C:$FB,68)</f>
        <v>0</v>
      </c>
      <c r="P97" s="5" t="e">
        <f t="shared" ref="P97:P105" si="35">(N97-O97)/N97*100</f>
        <v>#DIV/0!</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Infrastructure</v>
      </c>
      <c r="B98" s="79" t="str">
        <f>'Data shares'!C93</f>
        <v>INDIGO</v>
      </c>
      <c r="C98" s="4">
        <f>VLOOKUP($B98,'Data shares'!$C:$FB,7)</f>
        <v>5013.8</v>
      </c>
      <c r="D98" s="82">
        <f>VLOOKUP($B98,'Data shares'!$C:$FB,98)</f>
        <v>15203550</v>
      </c>
      <c r="E98" s="165">
        <f>VLOOKUP(B98,'Snapshot (Volume)'!$A$7:$G$168,7,0)</f>
        <v>14958300</v>
      </c>
      <c r="F98" s="165">
        <f t="shared" si="32"/>
        <v>245250</v>
      </c>
      <c r="G98" s="166">
        <f t="shared" si="33"/>
        <v>1.6395579711598243E-2</v>
      </c>
      <c r="H98" s="165">
        <f>VLOOKUP($B98,'Data shares'!$C:$FB,66)</f>
        <v>9909150</v>
      </c>
      <c r="I98" s="165">
        <f>VLOOKUP($B98,'Data shares'!$C:$FB,67)</f>
        <v>5215800</v>
      </c>
      <c r="J98" s="81">
        <f t="shared" si="34"/>
        <v>89.983319912573336</v>
      </c>
      <c r="K98" s="5">
        <f>VLOOKUP($B98,'Data Vlaue (Cr)'!$C:$FB,99)</f>
        <v>7629</v>
      </c>
      <c r="L98" s="81">
        <f>VLOOKUP(B98,'OI(Value)'!$A$7:$C$226,3,0)</f>
        <v>123</v>
      </c>
      <c r="M98" s="33">
        <f t="shared" si="31"/>
        <v>1.6122689736531655</v>
      </c>
      <c r="N98" s="5">
        <f>VLOOKUP($B98,'Data Vlaue (Cr)'!$C:$FB,67)</f>
        <v>4972</v>
      </c>
      <c r="O98" s="5">
        <f>VLOOKUP($B98,'Data Vlaue (Cr)'!$C:$FB,68)</f>
        <v>2617</v>
      </c>
      <c r="P98" s="5">
        <f t="shared" si="35"/>
        <v>47.365245374094933</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INDUSINDBK</v>
      </c>
      <c r="C99" s="4">
        <f>VLOOKUP($B99,'Data shares'!$C:$FB,7)</f>
        <v>925</v>
      </c>
      <c r="D99" s="82">
        <f>VLOOKUP($B99,'Data shares'!$C:$FB,98)</f>
        <v>50677900</v>
      </c>
      <c r="E99" s="165">
        <f>VLOOKUP(B99,'Snapshot (Volume)'!$A$7:$G$168,7,0)</f>
        <v>51611000</v>
      </c>
      <c r="F99" s="165">
        <f t="shared" si="32"/>
        <v>-933100</v>
      </c>
      <c r="G99" s="166">
        <f t="shared" si="33"/>
        <v>-1.8079479180794791E-2</v>
      </c>
      <c r="H99" s="165">
        <f>VLOOKUP($B99,'Data shares'!$C:$FB,66)</f>
        <v>13162800</v>
      </c>
      <c r="I99" s="165">
        <f>VLOOKUP($B99,'Data shares'!$C:$FB,67)</f>
        <v>14871500</v>
      </c>
      <c r="J99" s="81">
        <f t="shared" si="34"/>
        <v>-11.48976229701106</v>
      </c>
      <c r="K99" s="5">
        <f>VLOOKUP($B99,'Data Vlaue (Cr)'!$C:$FB,99)</f>
        <v>4676</v>
      </c>
      <c r="L99" s="81">
        <f>VLOOKUP(B99,'OI(Value)'!$A$7:$C$226,3,0)</f>
        <v>-86</v>
      </c>
      <c r="M99" s="33">
        <f t="shared" si="31"/>
        <v>-1.8391787852865698</v>
      </c>
      <c r="N99" s="5">
        <f>VLOOKUP($B99,'Data Vlaue (Cr)'!$C:$FB,67)</f>
        <v>1214</v>
      </c>
      <c r="O99" s="5">
        <f>VLOOKUP($B99,'Data Vlaue (Cr)'!$C:$FB,68)</f>
        <v>1372</v>
      </c>
      <c r="P99" s="5">
        <f t="shared" si="35"/>
        <v>-13.01482701812191</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Telecom</v>
      </c>
      <c r="B100" s="79" t="str">
        <f>'Data shares'!C95</f>
        <v>INDUSTOWER</v>
      </c>
      <c r="C100" s="4">
        <f>VLOOKUP($B100,'Data shares'!$C:$FB,7)</f>
        <v>467.05</v>
      </c>
      <c r="D100" s="82">
        <f>VLOOKUP($B100,'Data shares'!$C:$FB,98)</f>
        <v>121050200</v>
      </c>
      <c r="E100" s="165">
        <f>VLOOKUP(B100,'Snapshot (Volume)'!$A$7:$G$168,7,0)</f>
        <v>114957400</v>
      </c>
      <c r="F100" s="165">
        <f t="shared" si="32"/>
        <v>6092800</v>
      </c>
      <c r="G100" s="166">
        <f t="shared" si="33"/>
        <v>5.300050279494839E-2</v>
      </c>
      <c r="H100" s="165">
        <f>VLOOKUP($B100,'Data shares'!$C:$FB,66)</f>
        <v>123074900</v>
      </c>
      <c r="I100" s="165">
        <f>VLOOKUP($B100,'Data shares'!$C:$FB,67)</f>
        <v>96430800</v>
      </c>
      <c r="J100" s="81">
        <f t="shared" si="34"/>
        <v>27.630279952048515</v>
      </c>
      <c r="K100" s="5">
        <f>VLOOKUP($B100,'Data Vlaue (Cr)'!$C:$FB,99)</f>
        <v>5667</v>
      </c>
      <c r="L100" s="81">
        <f>VLOOKUP(B100,'OI(Value)'!$A$7:$C$226,3,0)</f>
        <v>285</v>
      </c>
      <c r="M100" s="33">
        <f t="shared" si="31"/>
        <v>5.0291159343568026</v>
      </c>
      <c r="N100" s="5">
        <f>VLOOKUP($B100,'Data Vlaue (Cr)'!$C:$FB,67)</f>
        <v>5762</v>
      </c>
      <c r="O100" s="5">
        <f>VLOOKUP($B100,'Data Vlaue (Cr)'!$C:$FB,68)</f>
        <v>4514</v>
      </c>
      <c r="P100" s="5">
        <f t="shared" si="35"/>
        <v>21.659146129816037</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Technology</v>
      </c>
      <c r="B101" s="79" t="str">
        <f>'Data shares'!C96</f>
        <v>INFY</v>
      </c>
      <c r="C101" s="4">
        <f>VLOOKUP($B101,'Data shares'!$C:$FB,7)</f>
        <v>1471.9</v>
      </c>
      <c r="D101" s="82">
        <f>VLOOKUP($B101,'Data shares'!$C:$FB,98)</f>
        <v>149304400</v>
      </c>
      <c r="E101" s="165">
        <f>VLOOKUP(B101,'Snapshot (Volume)'!$A$7:$G$168,7,0)</f>
        <v>147216400</v>
      </c>
      <c r="F101" s="165">
        <f t="shared" si="32"/>
        <v>2088000</v>
      </c>
      <c r="G101" s="166">
        <f t="shared" si="33"/>
        <v>1.4183202414948335E-2</v>
      </c>
      <c r="H101" s="165">
        <f>VLOOKUP($B101,'Data shares'!$C:$FB,66)</f>
        <v>102023200</v>
      </c>
      <c r="I101" s="165">
        <f>VLOOKUP($B101,'Data shares'!$C:$FB,67)</f>
        <v>87683600</v>
      </c>
      <c r="J101" s="81">
        <f t="shared" si="34"/>
        <v>16.353799342180295</v>
      </c>
      <c r="K101" s="5">
        <f>VLOOKUP($B101,'Data Vlaue (Cr)'!$C:$FB,99)</f>
        <v>21984</v>
      </c>
      <c r="L101" s="81">
        <f>VLOOKUP(B101,'OI(Value)'!$A$7:$C$226,3,0)</f>
        <v>307</v>
      </c>
      <c r="M101" s="33">
        <f t="shared" si="31"/>
        <v>1.3964701601164484</v>
      </c>
      <c r="N101" s="5">
        <f>VLOOKUP($B101,'Data Vlaue (Cr)'!$C:$FB,67)</f>
        <v>15022</v>
      </c>
      <c r="O101" s="5">
        <f>VLOOKUP($B101,'Data Vlaue (Cr)'!$C:$FB,68)</f>
        <v>12911</v>
      </c>
      <c r="P101" s="5">
        <f t="shared" si="35"/>
        <v>14.05272267341233</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Power</v>
      </c>
      <c r="B102" s="79" t="str">
        <f>'Data shares'!C97</f>
        <v>INOXWIND</v>
      </c>
      <c r="C102" s="4">
        <f>VLOOKUP($B102,'Data shares'!$C:$FB,7)</f>
        <v>110.42</v>
      </c>
      <c r="D102" s="82">
        <f>VLOOKUP($B102,'Data shares'!$C:$FB,98)</f>
        <v>146567850</v>
      </c>
      <c r="E102" s="165">
        <f>VLOOKUP(B102,'Snapshot (Volume)'!$A$7:$G$168,7,0)</f>
        <v>142485200</v>
      </c>
      <c r="F102" s="165">
        <f t="shared" si="32"/>
        <v>4082650</v>
      </c>
      <c r="G102" s="166">
        <f t="shared" si="33"/>
        <v>2.8653151344841428E-2</v>
      </c>
      <c r="H102" s="165">
        <f>VLOOKUP($B102,'Data shares'!$C:$FB,66)</f>
        <v>48062300</v>
      </c>
      <c r="I102" s="165">
        <f>VLOOKUP($B102,'Data shares'!$C:$FB,67)</f>
        <v>40851525</v>
      </c>
      <c r="J102" s="81">
        <f t="shared" si="34"/>
        <v>17.651177036842565</v>
      </c>
      <c r="K102" s="5">
        <f>VLOOKUP($B102,'Data Vlaue (Cr)'!$C:$FB,99)</f>
        <v>1621</v>
      </c>
      <c r="L102" s="81">
        <f>VLOOKUP(B102,'OI(Value)'!$A$7:$C$226,3,0)</f>
        <v>45</v>
      </c>
      <c r="M102" s="33">
        <f t="shared" si="31"/>
        <v>2.7760641579272054</v>
      </c>
      <c r="N102" s="5">
        <f>VLOOKUP($B102,'Data Vlaue (Cr)'!$C:$FB,67)</f>
        <v>532</v>
      </c>
      <c r="O102" s="5">
        <f>VLOOKUP($B102,'Data Vlaue (Cr)'!$C:$FB,68)</f>
        <v>452</v>
      </c>
      <c r="P102" s="5">
        <f t="shared" si="35"/>
        <v>15.037593984962406</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Oil_Gas</v>
      </c>
      <c r="B103" s="79" t="str">
        <f>'Data shares'!C98</f>
        <v>IOC</v>
      </c>
      <c r="C103" s="4">
        <f>VLOOKUP($B103,'Data shares'!$C:$FB,7)</f>
        <v>181.31</v>
      </c>
      <c r="D103" s="82">
        <f>VLOOKUP($B103,'Data shares'!$C:$FB,98)</f>
        <v>201649500</v>
      </c>
      <c r="E103" s="165">
        <f>VLOOKUP(B103,'Snapshot (Volume)'!$A$7:$G$168,7,0)</f>
        <v>210585375</v>
      </c>
      <c r="F103" s="165">
        <f t="shared" si="32"/>
        <v>-8935875</v>
      </c>
      <c r="G103" s="166">
        <f t="shared" si="33"/>
        <v>-4.2433502326550458E-2</v>
      </c>
      <c r="H103" s="165">
        <f>VLOOKUP($B103,'Data shares'!$C:$FB,66)</f>
        <v>153274875</v>
      </c>
      <c r="I103" s="165">
        <f>VLOOKUP($B103,'Data shares'!$C:$FB,67)</f>
        <v>88403250</v>
      </c>
      <c r="J103" s="81">
        <f t="shared" si="34"/>
        <v>73.381493327451196</v>
      </c>
      <c r="K103" s="5">
        <f>VLOOKUP($B103,'Data Vlaue (Cr)'!$C:$FB,99)</f>
        <v>3658</v>
      </c>
      <c r="L103" s="81">
        <f>VLOOKUP(B103,'OI(Value)'!$A$7:$C$226,3,0)</f>
        <v>-162</v>
      </c>
      <c r="M103" s="33">
        <f t="shared" si="31"/>
        <v>-4.4286495352651727</v>
      </c>
      <c r="N103" s="5">
        <f>VLOOKUP($B103,'Data Vlaue (Cr)'!$C:$FB,67)</f>
        <v>2780</v>
      </c>
      <c r="O103" s="5">
        <f>VLOOKUP($B103,'Data Vlaue (Cr)'!$C:$FB,68)</f>
        <v>1604</v>
      </c>
      <c r="P103" s="5">
        <f t="shared" si="35"/>
        <v>42.302158273381295</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Infrastructure</v>
      </c>
      <c r="B104" s="79" t="str">
        <f>'Data shares'!C99</f>
        <v>IRCTC</v>
      </c>
      <c r="C104" s="4">
        <f>VLOOKUP($B104,'Data shares'!$C:$FB,7)</f>
        <v>628.35</v>
      </c>
      <c r="D104" s="82">
        <f>VLOOKUP($B104,'Data shares'!$C:$FB,98)</f>
        <v>42609000</v>
      </c>
      <c r="E104" s="165">
        <f>VLOOKUP(B104,'Snapshot (Volume)'!$A$7:$G$168,7,0)</f>
        <v>41597500</v>
      </c>
      <c r="F104" s="165">
        <f t="shared" si="32"/>
        <v>1011500</v>
      </c>
      <c r="G104" s="166">
        <f t="shared" si="33"/>
        <v>2.431636516617585E-2</v>
      </c>
      <c r="H104" s="165">
        <f>VLOOKUP($B104,'Data shares'!$C:$FB,66)</f>
        <v>16672250</v>
      </c>
      <c r="I104" s="165">
        <f>VLOOKUP($B104,'Data shares'!$C:$FB,67)</f>
        <v>34286875</v>
      </c>
      <c r="J104" s="81">
        <f t="shared" si="34"/>
        <v>-51.374250350899572</v>
      </c>
      <c r="K104" s="5">
        <f>VLOOKUP($B104,'Data Vlaue (Cr)'!$C:$FB,99)</f>
        <v>2663</v>
      </c>
      <c r="L104" s="81">
        <f>VLOOKUP(B104,'OI(Value)'!$A$7:$C$226,3,0)</f>
        <v>63</v>
      </c>
      <c r="M104" s="33">
        <f t="shared" si="31"/>
        <v>2.365752910251596</v>
      </c>
      <c r="N104" s="5">
        <f>VLOOKUP($B104,'Data Vlaue (Cr)'!$C:$FB,67)</f>
        <v>1042</v>
      </c>
      <c r="O104" s="5">
        <f>VLOOKUP($B104,'Data Vlaue (Cr)'!$C:$FB,68)</f>
        <v>2143</v>
      </c>
      <c r="P104" s="5">
        <f t="shared" si="35"/>
        <v>-105.66218809980805</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Finance</v>
      </c>
      <c r="B105" s="79" t="str">
        <f>'Data shares'!C100</f>
        <v>IREDA</v>
      </c>
      <c r="C105" s="4">
        <f>VLOOKUP($B105,'Data shares'!$C:$FB,7)</f>
        <v>126.67</v>
      </c>
      <c r="D105" s="82">
        <f>VLOOKUP($B105,'Data shares'!$C:$FB,98)</f>
        <v>148563900</v>
      </c>
      <c r="E105" s="165">
        <f>VLOOKUP(B105,'Snapshot (Volume)'!$A$7:$G$168,7,0)</f>
        <v>135136500</v>
      </c>
      <c r="F105" s="165">
        <f t="shared" si="32"/>
        <v>13427400</v>
      </c>
      <c r="G105" s="166">
        <f t="shared" si="33"/>
        <v>9.93617564462599E-2</v>
      </c>
      <c r="H105" s="165">
        <f>VLOOKUP($B105,'Data shares'!$C:$FB,66)</f>
        <v>82251450</v>
      </c>
      <c r="I105" s="165">
        <f>VLOOKUP($B105,'Data shares'!$C:$FB,67)</f>
        <v>30932700</v>
      </c>
      <c r="J105" s="81">
        <f t="shared" si="34"/>
        <v>165.90452821771134</v>
      </c>
      <c r="K105" s="5">
        <f>VLOOKUP($B105,'Data Vlaue (Cr)'!$C:$FB,99)</f>
        <v>1858</v>
      </c>
      <c r="L105" s="81">
        <f>VLOOKUP(B105,'OI(Value)'!$A$7:$C$226,3,0)</f>
        <v>168</v>
      </c>
      <c r="M105" s="33">
        <f t="shared" si="31"/>
        <v>9.041980624327234</v>
      </c>
      <c r="N105" s="5">
        <f>VLOOKUP($B105,'Data Vlaue (Cr)'!$C:$FB,67)</f>
        <v>1029</v>
      </c>
      <c r="O105" s="5">
        <f>VLOOKUP($B105,'Data Vlaue (Cr)'!$C:$FB,68)</f>
        <v>387</v>
      </c>
      <c r="P105" s="5">
        <f t="shared" si="35"/>
        <v>62.390670553935855</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IRFC</v>
      </c>
      <c r="C106" s="79">
        <f>VLOOKUP($B106,'Data shares'!$C:$FB,7)</f>
        <v>114.33</v>
      </c>
      <c r="D106" s="80">
        <f>VLOOKUP($B106,'Data shares'!$C:$FB,98)</f>
        <v>222874250</v>
      </c>
      <c r="E106" s="165">
        <f>VLOOKUP(B106,'Snapshot (Volume)'!$A$7:$G$168,7,0)</f>
        <v>219470000</v>
      </c>
      <c r="F106" s="165">
        <f t="shared" ref="F106:F114" si="36">D106-E106</f>
        <v>3404250</v>
      </c>
      <c r="G106" s="166">
        <f t="shared" ref="G106:G114" si="37">F106/E106</f>
        <v>1.5511231603408211E-2</v>
      </c>
      <c r="H106" s="165">
        <f>VLOOKUP($B106,'Data shares'!$C:$FB,66)</f>
        <v>95650500</v>
      </c>
      <c r="I106" s="165">
        <f>VLOOKUP($B106,'Data shares'!$C:$FB,67)</f>
        <v>92560750</v>
      </c>
      <c r="J106" s="81">
        <f t="shared" ref="J106:J114" si="38">(H106-I106)/I106*100</f>
        <v>3.3380779650121677</v>
      </c>
      <c r="K106" s="81">
        <f>VLOOKUP($B106,'Data Vlaue (Cr)'!$C:$FB,99)</f>
        <v>2547</v>
      </c>
      <c r="L106" s="81">
        <f>VLOOKUP(B106,'OI(Value)'!$A$7:$C$226,3,0)</f>
        <v>39</v>
      </c>
      <c r="M106" s="81">
        <f t="shared" si="31"/>
        <v>1.5312131919905771</v>
      </c>
      <c r="N106" s="81">
        <f>VLOOKUP($B106,'Data Vlaue (Cr)'!$C:$FB,67)</f>
        <v>1093</v>
      </c>
      <c r="O106" s="81">
        <f>VLOOKUP($B106,'Data Vlaue (Cr)'!$C:$FB,68)</f>
        <v>1058</v>
      </c>
      <c r="P106" s="81">
        <f t="shared" ref="P106:P114" si="39">(N106-O106)/N106*100</f>
        <v>3.2021957913998174</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FMCG</v>
      </c>
      <c r="B107" s="79" t="str">
        <f>'Data shares'!C102</f>
        <v>ITC</v>
      </c>
      <c r="C107" s="79">
        <f>VLOOKUP($B107,'Data shares'!$C:$FB,7)</f>
        <v>318.25</v>
      </c>
      <c r="D107" s="80">
        <f>VLOOKUP($B107,'Data shares'!$C:$FB,98)</f>
        <v>486958400</v>
      </c>
      <c r="E107" s="165">
        <f>VLOOKUP(B107,'Snapshot (Volume)'!$A$7:$G$168,7,0)</f>
        <v>476147200</v>
      </c>
      <c r="F107" s="165">
        <f t="shared" si="36"/>
        <v>10811200</v>
      </c>
      <c r="G107" s="166">
        <f t="shared" si="37"/>
        <v>2.2705583483426973E-2</v>
      </c>
      <c r="H107" s="165">
        <f>VLOOKUP($B107,'Data shares'!$C:$FB,66)</f>
        <v>250953600</v>
      </c>
      <c r="I107" s="165">
        <f>VLOOKUP($B107,'Data shares'!$C:$FB,67)</f>
        <v>183904000</v>
      </c>
      <c r="J107" s="81">
        <f t="shared" si="38"/>
        <v>36.459022098486166</v>
      </c>
      <c r="K107" s="81">
        <f>VLOOKUP($B107,'Data Vlaue (Cr)'!$C:$FB,99)</f>
        <v>15541</v>
      </c>
      <c r="L107" s="81">
        <f>VLOOKUP(B107,'OI(Value)'!$A$7:$C$226,3,0)</f>
        <v>345</v>
      </c>
      <c r="M107" s="81">
        <f t="shared" si="31"/>
        <v>2.2199343671578404</v>
      </c>
      <c r="N107" s="81">
        <f>VLOOKUP($B107,'Data Vlaue (Cr)'!$C:$FB,67)</f>
        <v>8009</v>
      </c>
      <c r="O107" s="81">
        <f>VLOOKUP($B107,'Data Vlaue (Cr)'!$C:$FB,68)</f>
        <v>5869</v>
      </c>
      <c r="P107" s="81">
        <f t="shared" si="39"/>
        <v>26.719940067424147</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Metals</v>
      </c>
      <c r="B108" s="79" t="str">
        <f>'Data shares'!C103</f>
        <v>JINDALSTEL</v>
      </c>
      <c r="C108" s="4">
        <f>VLOOKUP($B108,'Data shares'!$C:$FB,7)</f>
        <v>1190.5</v>
      </c>
      <c r="D108" s="82">
        <f>VLOOKUP($B108,'Data shares'!$C:$FB,98)</f>
        <v>20226250</v>
      </c>
      <c r="E108" s="165">
        <f>VLOOKUP(B108,'Snapshot (Volume)'!$A$7:$G$168,7,0)</f>
        <v>20573125</v>
      </c>
      <c r="F108" s="165">
        <f t="shared" si="36"/>
        <v>-346875</v>
      </c>
      <c r="G108" s="166">
        <f t="shared" si="37"/>
        <v>-1.6860588753531611E-2</v>
      </c>
      <c r="H108" s="165">
        <f>VLOOKUP($B108,'Data shares'!$C:$FB,66)</f>
        <v>7601875</v>
      </c>
      <c r="I108" s="165">
        <f>VLOOKUP($B108,'Data shares'!$C:$FB,67)</f>
        <v>7369375</v>
      </c>
      <c r="J108" s="81">
        <f t="shared" si="38"/>
        <v>3.1549486896785681</v>
      </c>
      <c r="K108" s="5">
        <f>VLOOKUP($B108,'Data Vlaue (Cr)'!$C:$FB,99)</f>
        <v>2416</v>
      </c>
      <c r="L108" s="81">
        <f>VLOOKUP(B108,'OI(Value)'!$A$7:$C$226,3,0)</f>
        <v>-41</v>
      </c>
      <c r="M108" s="33">
        <f t="shared" si="31"/>
        <v>-1.6970198675496688</v>
      </c>
      <c r="N108" s="5">
        <f>VLOOKUP($B108,'Data Vlaue (Cr)'!$C:$FB,67)</f>
        <v>908</v>
      </c>
      <c r="O108" s="5">
        <f>VLOOKUP($B108,'Data Vlaue (Cr)'!$C:$FB,68)</f>
        <v>880</v>
      </c>
      <c r="P108" s="5">
        <f t="shared" si="39"/>
        <v>3.0837004405286343</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Finance</v>
      </c>
      <c r="B109" s="79" t="str">
        <f>'Data shares'!C104</f>
        <v>JIOFIN</v>
      </c>
      <c r="C109" s="4">
        <f>VLOOKUP($B109,'Data shares'!$C:$FB,7)</f>
        <v>270.3</v>
      </c>
      <c r="D109" s="82">
        <f>VLOOKUP($B109,'Data shares'!$C:$FB,98)</f>
        <v>299907000</v>
      </c>
      <c r="E109" s="165">
        <f>VLOOKUP(B109,'Snapshot (Volume)'!$A$7:$G$168,7,0)</f>
        <v>304489500</v>
      </c>
      <c r="F109" s="165">
        <f t="shared" si="36"/>
        <v>-4582500</v>
      </c>
      <c r="G109" s="166">
        <f t="shared" si="37"/>
        <v>-1.5049780041676314E-2</v>
      </c>
      <c r="H109" s="165">
        <f>VLOOKUP($B109,'Data shares'!$C:$FB,66)</f>
        <v>78339600</v>
      </c>
      <c r="I109" s="165">
        <f>VLOOKUP($B109,'Data shares'!$C:$FB,67)</f>
        <v>108038900</v>
      </c>
      <c r="J109" s="81">
        <f t="shared" si="38"/>
        <v>-27.489450559011612</v>
      </c>
      <c r="K109" s="5">
        <f>VLOOKUP($B109,'Data Vlaue (Cr)'!$C:$FB,99)</f>
        <v>8123</v>
      </c>
      <c r="L109" s="81">
        <f>VLOOKUP(B109,'OI(Value)'!$A$7:$C$226,3,0)</f>
        <v>-124</v>
      </c>
      <c r="M109" s="33">
        <f t="shared" si="31"/>
        <v>-1.5265296072879477</v>
      </c>
      <c r="N109" s="5">
        <f>VLOOKUP($B109,'Data Vlaue (Cr)'!$C:$FB,67)</f>
        <v>2122</v>
      </c>
      <c r="O109" s="5">
        <f>VLOOKUP($B109,'Data Vlaue (Cr)'!$C:$FB,68)</f>
        <v>2926</v>
      </c>
      <c r="P109" s="5">
        <f t="shared" si="39"/>
        <v>-37.888784165881248</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Power</v>
      </c>
      <c r="B110" s="79" t="str">
        <f>'Data shares'!C105</f>
        <v>JSWENERGY</v>
      </c>
      <c r="C110" s="4">
        <f>VLOOKUP($B110,'Data shares'!$C:$FB,7)</f>
        <v>482.35</v>
      </c>
      <c r="D110" s="82">
        <f>VLOOKUP($B110,'Data shares'!$C:$FB,98)</f>
        <v>48586000</v>
      </c>
      <c r="E110" s="165">
        <f>VLOOKUP(B110,'Snapshot (Volume)'!$A$7:$G$168,7,0)</f>
        <v>47752000</v>
      </c>
      <c r="F110" s="165">
        <f t="shared" si="36"/>
        <v>834000</v>
      </c>
      <c r="G110" s="166">
        <f t="shared" si="37"/>
        <v>1.746523705813369E-2</v>
      </c>
      <c r="H110" s="165">
        <f>VLOOKUP($B110,'Data shares'!$C:$FB,66)</f>
        <v>9381000</v>
      </c>
      <c r="I110" s="165">
        <f>VLOOKUP($B110,'Data shares'!$C:$FB,67)</f>
        <v>13675000</v>
      </c>
      <c r="J110" s="81">
        <f t="shared" si="38"/>
        <v>-31.400365630712979</v>
      </c>
      <c r="K110" s="5">
        <f>VLOOKUP($B110,'Data Vlaue (Cr)'!$C:$FB,99)</f>
        <v>2346</v>
      </c>
      <c r="L110" s="81">
        <f>VLOOKUP(B110,'OI(Value)'!$A$7:$C$226,3,0)</f>
        <v>40</v>
      </c>
      <c r="M110" s="33">
        <f t="shared" si="31"/>
        <v>1.7050298380221656</v>
      </c>
      <c r="N110" s="5">
        <f>VLOOKUP($B110,'Data Vlaue (Cr)'!$C:$FB,67)</f>
        <v>453</v>
      </c>
      <c r="O110" s="5">
        <f>VLOOKUP($B110,'Data Vlaue (Cr)'!$C:$FB,68)</f>
        <v>660</v>
      </c>
      <c r="P110" s="5">
        <f t="shared" si="39"/>
        <v>-45.695364238410598</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JSWSTEEL</v>
      </c>
      <c r="C111" s="4">
        <f>VLOOKUP($B111,'Data shares'!$C:$FB,7)</f>
        <v>1249.2</v>
      </c>
      <c r="D111" s="82">
        <f>VLOOKUP($B111,'Data shares'!$C:$FB,98)</f>
        <v>65612700</v>
      </c>
      <c r="E111" s="165">
        <f>VLOOKUP(B111,'Snapshot (Volume)'!$A$7:$G$168,7,0)</f>
        <v>65943450</v>
      </c>
      <c r="F111" s="165">
        <f t="shared" si="36"/>
        <v>-330750</v>
      </c>
      <c r="G111" s="166">
        <f t="shared" si="37"/>
        <v>-5.0156611460273918E-3</v>
      </c>
      <c r="H111" s="165">
        <f>VLOOKUP($B111,'Data shares'!$C:$FB,66)</f>
        <v>9447300</v>
      </c>
      <c r="I111" s="165">
        <f>VLOOKUP($B111,'Data shares'!$C:$FB,67)</f>
        <v>20181150</v>
      </c>
      <c r="J111" s="81">
        <f t="shared" si="38"/>
        <v>-53.18750418088166</v>
      </c>
      <c r="K111" s="5">
        <f>VLOOKUP($B111,'Data Vlaue (Cr)'!$C:$FB,99)</f>
        <v>8205</v>
      </c>
      <c r="L111" s="81">
        <f>VLOOKUP(B111,'OI(Value)'!$A$7:$C$226,3,0)</f>
        <v>-41</v>
      </c>
      <c r="M111" s="33">
        <f t="shared" si="31"/>
        <v>-0.49969530773918347</v>
      </c>
      <c r="N111" s="5">
        <f>VLOOKUP($B111,'Data Vlaue (Cr)'!$C:$FB,67)</f>
        <v>1181</v>
      </c>
      <c r="O111" s="5">
        <f>VLOOKUP($B111,'Data Vlaue (Cr)'!$C:$FB,68)</f>
        <v>2524</v>
      </c>
      <c r="P111" s="5">
        <f t="shared" si="39"/>
        <v>-113.71718882303132</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FMCG</v>
      </c>
      <c r="B112" s="79" t="str">
        <f>'Data shares'!C107</f>
        <v>JUBLFOOD</v>
      </c>
      <c r="C112" s="4">
        <f>VLOOKUP($B112,'Data shares'!$C:$FB,7)</f>
        <v>547</v>
      </c>
      <c r="D112" s="82">
        <f>VLOOKUP($B112,'Data shares'!$C:$FB,98)</f>
        <v>52853750</v>
      </c>
      <c r="E112" s="165">
        <f>VLOOKUP(B112,'Snapshot (Volume)'!$A$7:$G$168,7,0)</f>
        <v>38361250</v>
      </c>
      <c r="F112" s="165">
        <f t="shared" si="36"/>
        <v>14492500</v>
      </c>
      <c r="G112" s="166">
        <f t="shared" si="37"/>
        <v>0.37779008765355665</v>
      </c>
      <c r="H112" s="165">
        <f>VLOOKUP($B112,'Data shares'!$C:$FB,66)</f>
        <v>124232500</v>
      </c>
      <c r="I112" s="165">
        <f>VLOOKUP($B112,'Data shares'!$C:$FB,67)</f>
        <v>30991250</v>
      </c>
      <c r="J112" s="81">
        <f t="shared" si="38"/>
        <v>300.86314685596739</v>
      </c>
      <c r="K112" s="5">
        <f>VLOOKUP($B112,'Data Vlaue (Cr)'!$C:$FB,99)</f>
        <v>2881</v>
      </c>
      <c r="L112" s="81">
        <f>VLOOKUP(B112,'OI(Value)'!$A$7:$C$226,3,0)</f>
        <v>790</v>
      </c>
      <c r="M112" s="33">
        <f t="shared" si="31"/>
        <v>27.421034363068379</v>
      </c>
      <c r="N112" s="5">
        <f>VLOOKUP($B112,'Data Vlaue (Cr)'!$C:$FB,67)</f>
        <v>6771</v>
      </c>
      <c r="O112" s="5">
        <f>VLOOKUP($B112,'Data Vlaue (Cr)'!$C:$FB,68)</f>
        <v>1689</v>
      </c>
      <c r="P112" s="5">
        <f t="shared" si="39"/>
        <v>75.055383252104562</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FMCG</v>
      </c>
      <c r="B113" s="79" t="str">
        <f>'Data shares'!C108</f>
        <v>KALYANKJIL</v>
      </c>
      <c r="C113" s="4">
        <f>VLOOKUP($B113,'Data shares'!$C:$FB,7)</f>
        <v>426.95</v>
      </c>
      <c r="D113" s="82">
        <f>VLOOKUP($B113,'Data shares'!$C:$FB,98)</f>
        <v>73902800</v>
      </c>
      <c r="E113" s="165">
        <f>VLOOKUP(B113,'Snapshot (Volume)'!$A$7:$G$168,7,0)</f>
        <v>77096450</v>
      </c>
      <c r="F113" s="165">
        <f t="shared" si="36"/>
        <v>-3193650</v>
      </c>
      <c r="G113" s="166">
        <f t="shared" si="37"/>
        <v>-4.1424086323040815E-2</v>
      </c>
      <c r="H113" s="165">
        <f>VLOOKUP($B113,'Data shares'!$C:$FB,66)</f>
        <v>61601725</v>
      </c>
      <c r="I113" s="165">
        <f>VLOOKUP($B113,'Data shares'!$C:$FB,67)</f>
        <v>137554900</v>
      </c>
      <c r="J113" s="81">
        <f t="shared" si="38"/>
        <v>-55.216626234325346</v>
      </c>
      <c r="K113" s="5">
        <f>VLOOKUP($B113,'Data Vlaue (Cr)'!$C:$FB,99)</f>
        <v>3159</v>
      </c>
      <c r="L113" s="81">
        <f>VLOOKUP(B113,'OI(Value)'!$A$7:$C$226,3,0)</f>
        <v>-137</v>
      </c>
      <c r="M113" s="33">
        <f t="shared" si="31"/>
        <v>-4.3368154479265595</v>
      </c>
      <c r="N113" s="5">
        <f>VLOOKUP($B113,'Data Vlaue (Cr)'!$C:$FB,67)</f>
        <v>2633</v>
      </c>
      <c r="O113" s="5">
        <f>VLOOKUP($B113,'Data Vlaue (Cr)'!$C:$FB,68)</f>
        <v>5880</v>
      </c>
      <c r="P113" s="5">
        <f t="shared" si="39"/>
        <v>-123.31940751993923</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Capital_Goods</v>
      </c>
      <c r="B114" s="79" t="str">
        <f>'Data shares'!C109</f>
        <v>KAYNES</v>
      </c>
      <c r="C114" s="4">
        <f>VLOOKUP($B114,'Data shares'!$C:$FB,7)</f>
        <v>4154.7</v>
      </c>
      <c r="D114" s="82">
        <f>VLOOKUP($B114,'Data shares'!$C:$FB,98)</f>
        <v>8717200</v>
      </c>
      <c r="E114" s="165">
        <f>VLOOKUP(B114,'Snapshot (Volume)'!$A$7:$G$168,7,0)</f>
        <v>8122500</v>
      </c>
      <c r="F114" s="165">
        <f t="shared" si="36"/>
        <v>594700</v>
      </c>
      <c r="G114" s="166">
        <f t="shared" si="37"/>
        <v>7.3216374269005846E-2</v>
      </c>
      <c r="H114" s="165">
        <f>VLOOKUP($B114,'Data shares'!$C:$FB,66)</f>
        <v>21797700</v>
      </c>
      <c r="I114" s="165">
        <f>VLOOKUP($B114,'Data shares'!$C:$FB,67)</f>
        <v>14258300</v>
      </c>
      <c r="J114" s="81">
        <f t="shared" si="38"/>
        <v>52.877271483977751</v>
      </c>
      <c r="K114" s="5">
        <f>VLOOKUP($B114,'Data Vlaue (Cr)'!$C:$FB,99)</f>
        <v>3634</v>
      </c>
      <c r="L114" s="81">
        <f>VLOOKUP(B114,'OI(Value)'!$A$7:$C$226,3,0)</f>
        <v>248</v>
      </c>
      <c r="M114" s="33">
        <f t="shared" si="31"/>
        <v>6.8244358833241607</v>
      </c>
      <c r="N114" s="5">
        <f>VLOOKUP($B114,'Data Vlaue (Cr)'!$C:$FB,67)</f>
        <v>9088</v>
      </c>
      <c r="O114" s="5">
        <f>VLOOKUP($B114,'Data Vlaue (Cr)'!$C:$FB,68)</f>
        <v>5944</v>
      </c>
      <c r="P114" s="5">
        <f t="shared" si="39"/>
        <v>34.595070422535215</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Power</v>
      </c>
      <c r="B115" s="79" t="str">
        <f>'Data shares'!C110</f>
        <v>KEI</v>
      </c>
      <c r="C115" s="79">
        <f>VLOOKUP($B115,'Data shares'!$C:$FB,7)</f>
        <v>4605.8999999999996</v>
      </c>
      <c r="D115" s="80">
        <f>VLOOKUP($B115,'Data shares'!$C:$FB,98)</f>
        <v>2997925</v>
      </c>
      <c r="E115" s="165">
        <f>VLOOKUP(B115,'Snapshot (Volume)'!$A$7:$G$168,7,0)</f>
        <v>2972550</v>
      </c>
      <c r="F115" s="165">
        <f t="shared" ref="F115:F126" si="40">D115-E115</f>
        <v>25375</v>
      </c>
      <c r="G115" s="166">
        <f t="shared" ref="G115:G126" si="41">F115/E115</f>
        <v>8.536441775579889E-3</v>
      </c>
      <c r="H115" s="165">
        <f>VLOOKUP($B115,'Data shares'!$C:$FB,66)</f>
        <v>1535975</v>
      </c>
      <c r="I115" s="165">
        <f>VLOOKUP($B115,'Data shares'!$C:$FB,67)</f>
        <v>1998150</v>
      </c>
      <c r="J115" s="81">
        <f t="shared" ref="J115:J126" si="42">(H115-I115)/I115*100</f>
        <v>-23.130145384480645</v>
      </c>
      <c r="K115" s="81">
        <f>VLOOKUP($B115,'Data Vlaue (Cr)'!$C:$FB,99)</f>
        <v>1385</v>
      </c>
      <c r="L115" s="81">
        <f>VLOOKUP(B115,'OI(Value)'!$A$7:$C$226,3,0)</f>
        <v>12</v>
      </c>
      <c r="M115" s="81">
        <f t="shared" si="31"/>
        <v>0.86642599277978338</v>
      </c>
      <c r="N115" s="81">
        <f>VLOOKUP($B115,'Data Vlaue (Cr)'!$C:$FB,67)</f>
        <v>710</v>
      </c>
      <c r="O115" s="81">
        <f>VLOOKUP($B115,'Data Vlaue (Cr)'!$C:$FB,68)</f>
        <v>923</v>
      </c>
      <c r="P115" s="81">
        <f t="shared" ref="P115:P126" si="43">(N115-O115)/N115*100</f>
        <v>-30</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Finance</v>
      </c>
      <c r="B116" s="79" t="str">
        <f>'Data shares'!C111</f>
        <v>KFINTECH</v>
      </c>
      <c r="C116" s="4">
        <f>VLOOKUP($B116,'Data shares'!$C:$FB,7)</f>
        <v>1022.5</v>
      </c>
      <c r="D116" s="82">
        <f>VLOOKUP($B116,'Data shares'!$C:$FB,98)</f>
        <v>8923500</v>
      </c>
      <c r="E116" s="165">
        <f>VLOOKUP(B116,'Snapshot (Volume)'!$A$7:$G$168,7,0)</f>
        <v>8398000</v>
      </c>
      <c r="F116" s="165">
        <f t="shared" si="40"/>
        <v>525500</v>
      </c>
      <c r="G116" s="166">
        <f t="shared" si="41"/>
        <v>6.2574422481543227E-2</v>
      </c>
      <c r="H116" s="165">
        <f>VLOOKUP($B116,'Data shares'!$C:$FB,66)</f>
        <v>2678500</v>
      </c>
      <c r="I116" s="165">
        <f>VLOOKUP($B116,'Data shares'!$C:$FB,67)</f>
        <v>15942500</v>
      </c>
      <c r="J116" s="81">
        <f t="shared" si="42"/>
        <v>-83.198996393288382</v>
      </c>
      <c r="K116" s="5">
        <f>VLOOKUP($B116,'Data Vlaue (Cr)'!$C:$FB,99)</f>
        <v>910</v>
      </c>
      <c r="L116" s="81">
        <f>VLOOKUP(B116,'OI(Value)'!$A$7:$C$226,3,0)</f>
        <v>54</v>
      </c>
      <c r="M116" s="33">
        <f t="shared" si="31"/>
        <v>5.9340659340659334</v>
      </c>
      <c r="N116" s="5">
        <f>VLOOKUP($B116,'Data Vlaue (Cr)'!$C:$FB,67)</f>
        <v>273</v>
      </c>
      <c r="O116" s="5">
        <f>VLOOKUP($B116,'Data Vlaue (Cr)'!$C:$FB,68)</f>
        <v>1625</v>
      </c>
      <c r="P116" s="5">
        <f t="shared" si="43"/>
        <v>-495.23809523809524</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Banking</v>
      </c>
      <c r="B117" s="79" t="str">
        <f>'Data shares'!C112</f>
        <v>KOTAKBANK</v>
      </c>
      <c r="C117" s="4">
        <f>VLOOKUP($B117,'Data shares'!$C:$FB,7)</f>
        <v>429.55</v>
      </c>
      <c r="D117" s="82">
        <f>VLOOKUP($B117,'Data shares'!$C:$FB,98)</f>
        <v>274856000</v>
      </c>
      <c r="E117" s="165">
        <f>VLOOKUP(B117,'Snapshot (Volume)'!$A$7:$G$168,7,0)</f>
        <v>279042000</v>
      </c>
      <c r="F117" s="165">
        <f t="shared" si="40"/>
        <v>-4186000</v>
      </c>
      <c r="G117" s="166">
        <f t="shared" si="41"/>
        <v>-1.5001325965266878E-2</v>
      </c>
      <c r="H117" s="165">
        <f>VLOOKUP($B117,'Data shares'!$C:$FB,66)</f>
        <v>52644000</v>
      </c>
      <c r="I117" s="165">
        <f>VLOOKUP($B117,'Data shares'!$C:$FB,67)</f>
        <v>78022000</v>
      </c>
      <c r="J117" s="81">
        <f t="shared" si="42"/>
        <v>-32.526723231908946</v>
      </c>
      <c r="K117" s="5">
        <f>VLOOKUP($B117,'Data Vlaue (Cr)'!$C:$FB,99)</f>
        <v>11816</v>
      </c>
      <c r="L117" s="81">
        <f>VLOOKUP(B117,'OI(Value)'!$A$7:$C$226,3,0)</f>
        <v>-180</v>
      </c>
      <c r="M117" s="33">
        <f t="shared" si="31"/>
        <v>-1.5233581584292486</v>
      </c>
      <c r="N117" s="5">
        <f>VLOOKUP($B117,'Data Vlaue (Cr)'!$C:$FB,67)</f>
        <v>2263</v>
      </c>
      <c r="O117" s="5">
        <f>VLOOKUP($B117,'Data Vlaue (Cr)'!$C:$FB,68)</f>
        <v>3354</v>
      </c>
      <c r="P117" s="5">
        <f t="shared" si="43"/>
        <v>-48.210340256296952</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Technology</v>
      </c>
      <c r="B118" s="79" t="str">
        <f>'Data shares'!C113</f>
        <v>KPITTECH</v>
      </c>
      <c r="C118" s="4">
        <f>VLOOKUP($B118,'Data shares'!$C:$FB,7)</f>
        <v>959.4</v>
      </c>
      <c r="D118" s="82">
        <f>VLOOKUP($B118,'Data shares'!$C:$FB,98)</f>
        <v>12962500</v>
      </c>
      <c r="E118" s="165">
        <f>VLOOKUP(B118,'Snapshot (Volume)'!$A$7:$G$168,7,0)</f>
        <v>12589775</v>
      </c>
      <c r="F118" s="165">
        <f t="shared" si="40"/>
        <v>372725</v>
      </c>
      <c r="G118" s="166">
        <f t="shared" si="41"/>
        <v>2.9605374202477806E-2</v>
      </c>
      <c r="H118" s="165">
        <f>VLOOKUP($B118,'Data shares'!$C:$FB,66)</f>
        <v>3879825</v>
      </c>
      <c r="I118" s="165">
        <f>VLOOKUP($B118,'Data shares'!$C:$FB,67)</f>
        <v>8967075</v>
      </c>
      <c r="J118" s="81">
        <f t="shared" si="42"/>
        <v>-56.73254656618797</v>
      </c>
      <c r="K118" s="5">
        <f>VLOOKUP($B118,'Data Vlaue (Cr)'!$C:$FB,99)</f>
        <v>1247</v>
      </c>
      <c r="L118" s="81">
        <f>VLOOKUP(B118,'OI(Value)'!$A$7:$C$226,3,0)</f>
        <v>36</v>
      </c>
      <c r="M118" s="33">
        <f t="shared" si="31"/>
        <v>2.8869286287089011</v>
      </c>
      <c r="N118" s="5">
        <f>VLOOKUP($B118,'Data Vlaue (Cr)'!$C:$FB,67)</f>
        <v>373</v>
      </c>
      <c r="O118" s="5">
        <f>VLOOKUP($B118,'Data Vlaue (Cr)'!$C:$FB,68)</f>
        <v>863</v>
      </c>
      <c r="P118" s="5">
        <f t="shared" si="43"/>
        <v>-131.36729222520108</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Pharma</v>
      </c>
      <c r="B119" s="79" t="str">
        <f>'Data shares'!C114</f>
        <v>LAURUSLABS</v>
      </c>
      <c r="C119" s="4">
        <f>VLOOKUP($B119,'Data shares'!$C:$FB,7)</f>
        <v>1013.65</v>
      </c>
      <c r="D119" s="82">
        <f>VLOOKUP($B119,'Data shares'!$C:$FB,98)</f>
        <v>38451450</v>
      </c>
      <c r="E119" s="165">
        <f>VLOOKUP(B119,'Snapshot (Volume)'!$A$7:$G$168,7,0)</f>
        <v>37594650</v>
      </c>
      <c r="F119" s="165">
        <f t="shared" si="40"/>
        <v>856800</v>
      </c>
      <c r="G119" s="166">
        <f t="shared" si="41"/>
        <v>2.2790476836464763E-2</v>
      </c>
      <c r="H119" s="165">
        <f>VLOOKUP($B119,'Data shares'!$C:$FB,66)</f>
        <v>41859100</v>
      </c>
      <c r="I119" s="165">
        <f>VLOOKUP($B119,'Data shares'!$C:$FB,67)</f>
        <v>10427800</v>
      </c>
      <c r="J119" s="81">
        <f t="shared" si="42"/>
        <v>301.41832409520703</v>
      </c>
      <c r="K119" s="5">
        <f>VLOOKUP($B119,'Data Vlaue (Cr)'!$C:$FB,99)</f>
        <v>3905</v>
      </c>
      <c r="L119" s="81">
        <f>VLOOKUP(B119,'OI(Value)'!$A$7:$C$226,3,0)</f>
        <v>87</v>
      </c>
      <c r="M119" s="33">
        <f t="shared" si="31"/>
        <v>2.2279129321382842</v>
      </c>
      <c r="N119" s="5">
        <f>VLOOKUP($B119,'Data Vlaue (Cr)'!$C:$FB,67)</f>
        <v>4251</v>
      </c>
      <c r="O119" s="5">
        <f>VLOOKUP($B119,'Data Vlaue (Cr)'!$C:$FB,68)</f>
        <v>1059</v>
      </c>
      <c r="P119" s="5">
        <f t="shared" si="43"/>
        <v>75.088214537755832</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Finance</v>
      </c>
      <c r="B120" s="79" t="str">
        <f>'Data shares'!C115</f>
        <v>LICHSGFIN</v>
      </c>
      <c r="C120" s="4">
        <f>VLOOKUP($B120,'Data shares'!$C:$FB,7)</f>
        <v>525.54999999999995</v>
      </c>
      <c r="D120" s="82">
        <f>VLOOKUP($B120,'Data shares'!$C:$FB,98)</f>
        <v>52803000</v>
      </c>
      <c r="E120" s="165">
        <f>VLOOKUP(B120,'Snapshot (Volume)'!$A$7:$G$168,7,0)</f>
        <v>52376000</v>
      </c>
      <c r="F120" s="165">
        <f t="shared" si="40"/>
        <v>427000</v>
      </c>
      <c r="G120" s="166">
        <f t="shared" si="41"/>
        <v>8.1525889720482671E-3</v>
      </c>
      <c r="H120" s="165">
        <f>VLOOKUP($B120,'Data shares'!$C:$FB,66)</f>
        <v>12422000</v>
      </c>
      <c r="I120" s="165">
        <f>VLOOKUP($B120,'Data shares'!$C:$FB,67)</f>
        <v>7311000</v>
      </c>
      <c r="J120" s="81">
        <f t="shared" si="42"/>
        <v>69.908357269867324</v>
      </c>
      <c r="K120" s="5">
        <f>VLOOKUP($B120,'Data Vlaue (Cr)'!$C:$FB,99)</f>
        <v>2777</v>
      </c>
      <c r="L120" s="81">
        <f>VLOOKUP(B120,'OI(Value)'!$A$7:$C$226,3,0)</f>
        <v>22</v>
      </c>
      <c r="M120" s="33">
        <f t="shared" si="31"/>
        <v>0.79222182211019088</v>
      </c>
      <c r="N120" s="5">
        <f>VLOOKUP($B120,'Data Vlaue (Cr)'!$C:$FB,67)</f>
        <v>653</v>
      </c>
      <c r="O120" s="5">
        <f>VLOOKUP($B120,'Data Vlaue (Cr)'!$C:$FB,68)</f>
        <v>385</v>
      </c>
      <c r="P120" s="5">
        <f t="shared" si="43"/>
        <v>41.04134762633997</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Finance</v>
      </c>
      <c r="B121" s="79" t="str">
        <f>'Data shares'!C116</f>
        <v>LICI</v>
      </c>
      <c r="C121" s="4">
        <f>VLOOKUP($B121,'Data shares'!$C:$FB,7)</f>
        <v>875.3</v>
      </c>
      <c r="D121" s="82">
        <f>VLOOKUP($B121,'Data shares'!$C:$FB,98)</f>
        <v>30218300</v>
      </c>
      <c r="E121" s="165">
        <f>VLOOKUP(B121,'Snapshot (Volume)'!$A$7:$G$168,7,0)</f>
        <v>29610700</v>
      </c>
      <c r="F121" s="165">
        <f t="shared" si="40"/>
        <v>607600</v>
      </c>
      <c r="G121" s="166">
        <f t="shared" si="41"/>
        <v>2.051960946549727E-2</v>
      </c>
      <c r="H121" s="165">
        <f>VLOOKUP($B121,'Data shares'!$C:$FB,66)</f>
        <v>31278100</v>
      </c>
      <c r="I121" s="165">
        <f>VLOOKUP($B121,'Data shares'!$C:$FB,67)</f>
        <v>16597000</v>
      </c>
      <c r="J121" s="81">
        <f t="shared" si="42"/>
        <v>88.456347532686635</v>
      </c>
      <c r="K121" s="5">
        <f>VLOOKUP($B121,'Data Vlaue (Cr)'!$C:$FB,99)</f>
        <v>2646</v>
      </c>
      <c r="L121" s="81">
        <f>VLOOKUP(B121,'OI(Value)'!$A$7:$C$226,3,0)</f>
        <v>53</v>
      </c>
      <c r="M121" s="33">
        <f t="shared" si="31"/>
        <v>2.0030234315948601</v>
      </c>
      <c r="N121" s="5">
        <f>VLOOKUP($B121,'Data Vlaue (Cr)'!$C:$FB,67)</f>
        <v>2739</v>
      </c>
      <c r="O121" s="5">
        <f>VLOOKUP($B121,'Data Vlaue (Cr)'!$C:$FB,68)</f>
        <v>1453</v>
      </c>
      <c r="P121" s="5">
        <f t="shared" si="43"/>
        <v>46.95144213216502</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Realty</v>
      </c>
      <c r="B122" s="79" t="str">
        <f>'Data shares'!C117</f>
        <v>LODHA</v>
      </c>
      <c r="C122" s="4">
        <f>VLOOKUP($B122,'Data shares'!$C:$FB,7)</f>
        <v>1094.9000000000001</v>
      </c>
      <c r="D122" s="82">
        <f>VLOOKUP($B122,'Data shares'!$C:$FB,98)</f>
        <v>14924250</v>
      </c>
      <c r="E122" s="165">
        <f>VLOOKUP(B122,'Snapshot (Volume)'!$A$7:$G$168,7,0)</f>
        <v>14955300</v>
      </c>
      <c r="F122" s="165">
        <f t="shared" si="40"/>
        <v>-31050</v>
      </c>
      <c r="G122" s="166">
        <f t="shared" si="41"/>
        <v>-2.0761870373713666E-3</v>
      </c>
      <c r="H122" s="165">
        <f>VLOOKUP($B122,'Data shares'!$C:$FB,66)</f>
        <v>3957300</v>
      </c>
      <c r="I122" s="165">
        <f>VLOOKUP($B122,'Data shares'!$C:$FB,67)</f>
        <v>7909650</v>
      </c>
      <c r="J122" s="81">
        <f t="shared" si="42"/>
        <v>-49.968709108494053</v>
      </c>
      <c r="K122" s="5">
        <f>VLOOKUP($B122,'Data Vlaue (Cr)'!$C:$FB,99)</f>
        <v>1635</v>
      </c>
      <c r="L122" s="81">
        <f>VLOOKUP(B122,'OI(Value)'!$A$7:$C$226,3,0)</f>
        <v>-3</v>
      </c>
      <c r="M122" s="33">
        <f t="shared" si="31"/>
        <v>-0.1834862385321101</v>
      </c>
      <c r="N122" s="5">
        <f>VLOOKUP($B122,'Data Vlaue (Cr)'!$C:$FB,67)</f>
        <v>434</v>
      </c>
      <c r="O122" s="5">
        <f>VLOOKUP($B122,'Data Vlaue (Cr)'!$C:$FB,68)</f>
        <v>867</v>
      </c>
      <c r="P122" s="5">
        <f t="shared" si="43"/>
        <v>-99.769585253456214</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Capital_Goods</v>
      </c>
      <c r="B123" s="79" t="str">
        <f>'Data shares'!C118</f>
        <v>LT</v>
      </c>
      <c r="C123" s="4">
        <f>VLOOKUP($B123,'Data shares'!$C:$FB,7)</f>
        <v>4170.3999999999996</v>
      </c>
      <c r="D123" s="82">
        <f>VLOOKUP($B123,'Data shares'!$C:$FB,98)</f>
        <v>30440375</v>
      </c>
      <c r="E123" s="165">
        <f>VLOOKUP(B123,'Snapshot (Volume)'!$A$7:$G$168,7,0)</f>
        <v>29974175</v>
      </c>
      <c r="F123" s="165">
        <f t="shared" si="40"/>
        <v>466200</v>
      </c>
      <c r="G123" s="166">
        <f t="shared" si="41"/>
        <v>1.5553388875590404E-2</v>
      </c>
      <c r="H123" s="165">
        <f>VLOOKUP($B123,'Data shares'!$C:$FB,66)</f>
        <v>15338925</v>
      </c>
      <c r="I123" s="165">
        <f>VLOOKUP($B123,'Data shares'!$C:$FB,67)</f>
        <v>16003225</v>
      </c>
      <c r="J123" s="81">
        <f t="shared" si="42"/>
        <v>-4.1510383063413778</v>
      </c>
      <c r="K123" s="5">
        <f>VLOOKUP($B123,'Data Vlaue (Cr)'!$C:$FB,99)</f>
        <v>12696</v>
      </c>
      <c r="L123" s="81">
        <f>VLOOKUP(B123,'OI(Value)'!$A$7:$C$226,3,0)</f>
        <v>194</v>
      </c>
      <c r="M123" s="33">
        <f t="shared" ref="M123:M144" si="44">L123/K123*100</f>
        <v>1.5280403276622558</v>
      </c>
      <c r="N123" s="5">
        <f>VLOOKUP($B123,'Data Vlaue (Cr)'!$C:$FB,67)</f>
        <v>6398</v>
      </c>
      <c r="O123" s="5">
        <f>VLOOKUP($B123,'Data Vlaue (Cr)'!$C:$FB,68)</f>
        <v>6675</v>
      </c>
      <c r="P123" s="5">
        <f t="shared" si="43"/>
        <v>-4.3294779618630823</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LTF</v>
      </c>
      <c r="C124" s="4">
        <f>VLOOKUP($B124,'Data shares'!$C:$FB,7)</f>
        <v>288.3</v>
      </c>
      <c r="D124" s="82">
        <f>VLOOKUP($B124,'Data shares'!$C:$FB,98)</f>
        <v>112214250</v>
      </c>
      <c r="E124" s="165">
        <f>VLOOKUP(B124,'Snapshot (Volume)'!$A$7:$G$168,7,0)</f>
        <v>99227250</v>
      </c>
      <c r="F124" s="165">
        <f t="shared" si="40"/>
        <v>12987000</v>
      </c>
      <c r="G124" s="166">
        <f t="shared" si="41"/>
        <v>0.13088138590961657</v>
      </c>
      <c r="H124" s="165">
        <f>VLOOKUP($B124,'Data shares'!$C:$FB,66)</f>
        <v>76304250</v>
      </c>
      <c r="I124" s="165">
        <f>VLOOKUP($B124,'Data shares'!$C:$FB,67)</f>
        <v>50919750</v>
      </c>
      <c r="J124" s="81">
        <f t="shared" si="42"/>
        <v>49.851972957447749</v>
      </c>
      <c r="K124" s="5">
        <f>VLOOKUP($B124,'Data Vlaue (Cr)'!$C:$FB,99)</f>
        <v>3232</v>
      </c>
      <c r="L124" s="81">
        <f>VLOOKUP(B124,'OI(Value)'!$A$7:$C$226,3,0)</f>
        <v>374</v>
      </c>
      <c r="M124" s="33">
        <f t="shared" si="44"/>
        <v>11.571782178217822</v>
      </c>
      <c r="N124" s="5">
        <f>VLOOKUP($B124,'Data Vlaue (Cr)'!$C:$FB,67)</f>
        <v>2198</v>
      </c>
      <c r="O124" s="5">
        <f>VLOOKUP($B124,'Data Vlaue (Cr)'!$C:$FB,68)</f>
        <v>1467</v>
      </c>
      <c r="P124" s="5">
        <f t="shared" si="43"/>
        <v>33.257506824385807</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Technology</v>
      </c>
      <c r="B125" s="79" t="str">
        <f>'Data shares'!C120</f>
        <v>LTIM</v>
      </c>
      <c r="C125" s="4">
        <f>VLOOKUP($B125,'Data shares'!$C:$FB,7)</f>
        <v>5515.5</v>
      </c>
      <c r="D125" s="82">
        <f>VLOOKUP($B125,'Data shares'!$C:$FB,98)</f>
        <v>4591650</v>
      </c>
      <c r="E125" s="165">
        <f>VLOOKUP(B125,'Snapshot (Volume)'!$A$7:$G$168,7,0)</f>
        <v>4204200</v>
      </c>
      <c r="F125" s="165">
        <f t="shared" si="40"/>
        <v>387450</v>
      </c>
      <c r="G125" s="166">
        <f t="shared" si="41"/>
        <v>9.215784215784216E-2</v>
      </c>
      <c r="H125" s="165">
        <f>VLOOKUP($B125,'Data shares'!$C:$FB,66)</f>
        <v>3277950</v>
      </c>
      <c r="I125" s="165">
        <f>VLOOKUP($B125,'Data shares'!$C:$FB,67)</f>
        <v>2556900</v>
      </c>
      <c r="J125" s="81">
        <f t="shared" si="42"/>
        <v>28.200164261410304</v>
      </c>
      <c r="K125" s="5">
        <f>VLOOKUP($B125,'Data Vlaue (Cr)'!$C:$FB,99)</f>
        <v>2540</v>
      </c>
      <c r="L125" s="81">
        <f>VLOOKUP(B125,'OI(Value)'!$A$7:$C$226,3,0)</f>
        <v>214</v>
      </c>
      <c r="M125" s="33">
        <f t="shared" si="44"/>
        <v>8.4251968503937018</v>
      </c>
      <c r="N125" s="5">
        <f>VLOOKUP($B125,'Data Vlaue (Cr)'!$C:$FB,67)</f>
        <v>1813</v>
      </c>
      <c r="O125" s="5">
        <f>VLOOKUP($B125,'Data Vlaue (Cr)'!$C:$FB,68)</f>
        <v>1414</v>
      </c>
      <c r="P125" s="5">
        <f t="shared" si="43"/>
        <v>22.007722007722009</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Pharma</v>
      </c>
      <c r="B126" s="79" t="str">
        <f>'Data shares'!C121</f>
        <v>LUPIN</v>
      </c>
      <c r="C126" s="4">
        <f>VLOOKUP($B126,'Data shares'!$C:$FB,7)</f>
        <v>2209.1</v>
      </c>
      <c r="D126" s="82">
        <f>VLOOKUP($B126,'Data shares'!$C:$FB,98)</f>
        <v>14693525</v>
      </c>
      <c r="E126" s="165">
        <f>VLOOKUP(B126,'Snapshot (Volume)'!$A$7:$G$168,7,0)</f>
        <v>13391325</v>
      </c>
      <c r="F126" s="165">
        <f t="shared" si="40"/>
        <v>1302200</v>
      </c>
      <c r="G126" s="166">
        <f t="shared" si="41"/>
        <v>9.7242057824748485E-2</v>
      </c>
      <c r="H126" s="165">
        <f>VLOOKUP($B126,'Data shares'!$C:$FB,66)</f>
        <v>11468200</v>
      </c>
      <c r="I126" s="165">
        <f>VLOOKUP($B126,'Data shares'!$C:$FB,67)</f>
        <v>11919550</v>
      </c>
      <c r="J126" s="81">
        <f t="shared" si="42"/>
        <v>-3.7866362404620983</v>
      </c>
      <c r="K126" s="5">
        <f>VLOOKUP($B126,'Data Vlaue (Cr)'!$C:$FB,99)</f>
        <v>3254</v>
      </c>
      <c r="L126" s="81">
        <f>VLOOKUP(B126,'OI(Value)'!$A$7:$C$226,3,0)</f>
        <v>288</v>
      </c>
      <c r="M126" s="33">
        <f t="shared" si="44"/>
        <v>8.8506453595574666</v>
      </c>
      <c r="N126" s="5">
        <f>VLOOKUP($B126,'Data Vlaue (Cr)'!$C:$FB,67)</f>
        <v>2540</v>
      </c>
      <c r="O126" s="5">
        <f>VLOOKUP($B126,'Data Vlaue (Cr)'!$C:$FB,68)</f>
        <v>2639</v>
      </c>
      <c r="P126" s="5">
        <f t="shared" si="43"/>
        <v>-3.8976377952755907</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Automobile</v>
      </c>
      <c r="B127" s="79" t="str">
        <f>'Data shares'!C122</f>
        <v>M&amp;M</v>
      </c>
      <c r="C127" s="4">
        <f>VLOOKUP($B127,'Data shares'!$C:$FB,7)</f>
        <v>3674.9</v>
      </c>
      <c r="D127" s="82">
        <f>VLOOKUP($B127,'Data shares'!$C:$FB,98)</f>
        <v>33439600</v>
      </c>
      <c r="E127" s="165">
        <f>VLOOKUP(B127,'Snapshot (Volume)'!$A$7:$G$168,7,0)</f>
        <v>28180800</v>
      </c>
      <c r="F127" s="165">
        <f>D127-E127</f>
        <v>5258800</v>
      </c>
      <c r="G127" s="166">
        <f>F127/E127</f>
        <v>0.18660932265939931</v>
      </c>
      <c r="H127" s="165">
        <f>VLOOKUP($B127,'Data shares'!$C:$FB,66)</f>
        <v>101391000</v>
      </c>
      <c r="I127" s="165">
        <f>VLOOKUP($B127,'Data shares'!$C:$FB,67)</f>
        <v>21190800</v>
      </c>
      <c r="J127" s="81">
        <f>(H127-I127)/I127*100</f>
        <v>378.46707061555014</v>
      </c>
      <c r="K127" s="5">
        <f>VLOOKUP($B127,'Data Vlaue (Cr)'!$C:$FB,99)</f>
        <v>12308</v>
      </c>
      <c r="L127" s="81">
        <f>VLOOKUP(B127,'OI(Value)'!$A$7:$C$226,3,0)</f>
        <v>1936</v>
      </c>
      <c r="M127" s="33">
        <f t="shared" si="44"/>
        <v>15.729606759831006</v>
      </c>
      <c r="N127" s="5">
        <f>VLOOKUP($B127,'Data Vlaue (Cr)'!$C:$FB,67)</f>
        <v>37319</v>
      </c>
      <c r="O127" s="5">
        <f>VLOOKUP($B127,'Data Vlaue (Cr)'!$C:$FB,68)</f>
        <v>7800</v>
      </c>
      <c r="P127" s="5">
        <f>(N127-O127)/N127*100</f>
        <v>79.099118411532999</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Finance</v>
      </c>
      <c r="B128" s="79" t="str">
        <f>'Data shares'!C123</f>
        <v>MANAPPURAM</v>
      </c>
      <c r="C128" s="4">
        <f>VLOOKUP($B128,'Data shares'!$C:$FB,7)</f>
        <v>302.55</v>
      </c>
      <c r="D128" s="82">
        <f>VLOOKUP($B128,'Data shares'!$C:$FB,98)</f>
        <v>92697000</v>
      </c>
      <c r="E128" s="165">
        <f>VLOOKUP(B128,'Snapshot (Volume)'!$A$7:$G$168,7,0)</f>
        <v>90420000</v>
      </c>
      <c r="F128" s="165">
        <f>D128-E128</f>
        <v>2277000</v>
      </c>
      <c r="G128" s="166">
        <f>F128/E128</f>
        <v>2.5182481751824817E-2</v>
      </c>
      <c r="H128" s="165">
        <f>VLOOKUP($B128,'Data shares'!$C:$FB,66)</f>
        <v>85254000</v>
      </c>
      <c r="I128" s="165">
        <f>VLOOKUP($B128,'Data shares'!$C:$FB,67)</f>
        <v>66567000</v>
      </c>
      <c r="J128" s="81">
        <f>(H128-I128)/I128*100</f>
        <v>28.072468340168548</v>
      </c>
      <c r="K128" s="5">
        <f>VLOOKUP($B128,'Data Vlaue (Cr)'!$C:$FB,99)</f>
        <v>2808</v>
      </c>
      <c r="L128" s="81">
        <f>VLOOKUP(B128,'OI(Value)'!$A$7:$C$226,3,0)</f>
        <v>69</v>
      </c>
      <c r="M128" s="33">
        <f t="shared" si="44"/>
        <v>2.4572649572649574</v>
      </c>
      <c r="N128" s="5">
        <f>VLOOKUP($B128,'Data Vlaue (Cr)'!$C:$FB,67)</f>
        <v>2583</v>
      </c>
      <c r="O128" s="5">
        <f>VLOOKUP($B128,'Data Vlaue (Cr)'!$C:$FB,68)</f>
        <v>2017</v>
      </c>
      <c r="P128" s="5">
        <f>(N128-O128)/N128*100</f>
        <v>21.912504839334108</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MANKIND</v>
      </c>
      <c r="C129" s="4">
        <f>VLOOKUP($B129,'Data shares'!$C:$FB,7)</f>
        <v>2087</v>
      </c>
      <c r="D129" s="82">
        <f>VLOOKUP($B129,'Data shares'!$C:$FB,98)</f>
        <v>5134500</v>
      </c>
      <c r="E129" s="165">
        <f>VLOOKUP(B129,'Snapshot (Volume)'!$A$7:$G$168,7,0)</f>
        <v>5154075</v>
      </c>
      <c r="F129" s="165">
        <f>D129-E129</f>
        <v>-19575</v>
      </c>
      <c r="G129" s="166">
        <f>F129/E129</f>
        <v>-3.7979656873444799E-3</v>
      </c>
      <c r="H129" s="165">
        <f>VLOOKUP($B129,'Data shares'!$C:$FB,66)</f>
        <v>1362150</v>
      </c>
      <c r="I129" s="165">
        <f>VLOOKUP($B129,'Data shares'!$C:$FB,67)</f>
        <v>1155150</v>
      </c>
      <c r="J129" s="81">
        <f>(H129-I129)/I129*100</f>
        <v>17.919750681729646</v>
      </c>
      <c r="K129" s="5">
        <f>VLOOKUP($B129,'Data Vlaue (Cr)'!$C:$FB,99)</f>
        <v>1071</v>
      </c>
      <c r="L129" s="81">
        <f>VLOOKUP(B129,'OI(Value)'!$A$7:$C$226,3,0)</f>
        <v>-4</v>
      </c>
      <c r="M129" s="33">
        <f t="shared" si="44"/>
        <v>-0.3734827264239029</v>
      </c>
      <c r="N129" s="5">
        <f>VLOOKUP($B129,'Data Vlaue (Cr)'!$C:$FB,67)</f>
        <v>284</v>
      </c>
      <c r="O129" s="5">
        <f>VLOOKUP($B129,'Data Vlaue (Cr)'!$C:$FB,68)</f>
        <v>241</v>
      </c>
      <c r="P129" s="5">
        <f>(N129-O129)/N129*100</f>
        <v>15.140845070422534</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FMCG</v>
      </c>
      <c r="B130" s="79" t="str">
        <f>'Data shares'!C125</f>
        <v>MARICO</v>
      </c>
      <c r="C130" s="4">
        <f>VLOOKUP($B130,'Data shares'!$C:$FB,7)</f>
        <v>770.4</v>
      </c>
      <c r="D130" s="82">
        <f>VLOOKUP($B130,'Data shares'!$C:$FB,98)</f>
        <v>38026800</v>
      </c>
      <c r="E130" s="165">
        <f>VLOOKUP(B130,'Snapshot (Volume)'!$A$7:$G$168,7,0)</f>
        <v>37881600</v>
      </c>
      <c r="F130" s="165">
        <f>D130-E130</f>
        <v>145200</v>
      </c>
      <c r="G130" s="166">
        <f>F130/E130</f>
        <v>3.8329954384186517E-3</v>
      </c>
      <c r="H130" s="165">
        <f>VLOOKUP($B130,'Data shares'!$C:$FB,66)</f>
        <v>16827600</v>
      </c>
      <c r="I130" s="165">
        <f>VLOOKUP($B130,'Data shares'!$C:$FB,67)</f>
        <v>14114400</v>
      </c>
      <c r="J130" s="81">
        <f>(H130-I130)/I130*100</f>
        <v>19.222921271892535</v>
      </c>
      <c r="K130" s="5">
        <f>VLOOKUP($B130,'Data Vlaue (Cr)'!$C:$FB,99)</f>
        <v>2931</v>
      </c>
      <c r="L130" s="81">
        <f>VLOOKUP(B130,'OI(Value)'!$A$7:$C$226,3,0)</f>
        <v>11</v>
      </c>
      <c r="M130" s="33">
        <f t="shared" si="44"/>
        <v>0.37529853292391674</v>
      </c>
      <c r="N130" s="5">
        <f>VLOOKUP($B130,'Data Vlaue (Cr)'!$C:$FB,67)</f>
        <v>1297</v>
      </c>
      <c r="O130" s="5">
        <f>VLOOKUP($B130,'Data Vlaue (Cr)'!$C:$FB,68)</f>
        <v>1088</v>
      </c>
      <c r="P130" s="5">
        <f>(N130-O130)/N130*100</f>
        <v>16.114109483423285</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Automobile</v>
      </c>
      <c r="B131" s="79" t="str">
        <f>'Data shares'!C126</f>
        <v>MARUTI</v>
      </c>
      <c r="C131" s="4">
        <f>VLOOKUP($B131,'Data shares'!$C:$FB,7)</f>
        <v>15412</v>
      </c>
      <c r="D131" s="82">
        <f>VLOOKUP($B131,'Data shares'!$C:$FB,98)</f>
        <v>7710050</v>
      </c>
      <c r="E131" s="165">
        <f>VLOOKUP(B131,'Snapshot (Volume)'!$A$7:$G$168,7,0)</f>
        <v>7661300</v>
      </c>
      <c r="F131" s="165">
        <f>D131-E131</f>
        <v>48750</v>
      </c>
      <c r="G131" s="166">
        <f>F131/E131</f>
        <v>6.3631498570738644E-3</v>
      </c>
      <c r="H131" s="165">
        <f>VLOOKUP($B131,'Data shares'!$C:$FB,66)</f>
        <v>11361850</v>
      </c>
      <c r="I131" s="165">
        <f>VLOOKUP($B131,'Data shares'!$C:$FB,67)</f>
        <v>12636000</v>
      </c>
      <c r="J131" s="81">
        <f>(H131-I131)/I131*100</f>
        <v>-10.083491611269389</v>
      </c>
      <c r="K131" s="5">
        <f>VLOOKUP($B131,'Data Vlaue (Cr)'!$C:$FB,99)</f>
        <v>11887</v>
      </c>
      <c r="L131" s="81">
        <f>VLOOKUP(B131,'OI(Value)'!$A$7:$C$226,3,0)</f>
        <v>75</v>
      </c>
      <c r="M131" s="33">
        <f t="shared" si="44"/>
        <v>0.63094136451585769</v>
      </c>
      <c r="N131" s="5">
        <f>VLOOKUP($B131,'Data Vlaue (Cr)'!$C:$FB,67)</f>
        <v>17518</v>
      </c>
      <c r="O131" s="5">
        <f>VLOOKUP($B131,'Data Vlaue (Cr)'!$C:$FB,68)</f>
        <v>19482</v>
      </c>
      <c r="P131" s="5">
        <f>(N131-O131)/N131*100</f>
        <v>-11.211325493777828</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MAXHEALTH</v>
      </c>
      <c r="C132" s="79">
        <f>VLOOKUP($B132,'Data shares'!$C:$FB,7)</f>
        <v>1055.1500000000001</v>
      </c>
      <c r="D132" s="165">
        <f>VLOOKUP($B132,'Data shares'!$C:$FB,98)</f>
        <v>23437575</v>
      </c>
      <c r="E132" s="165">
        <f>VLOOKUP(B132,'Snapshot (Volume)'!$A$7:$G$168,7,0)</f>
        <v>22098825</v>
      </c>
      <c r="F132" s="165">
        <f t="shared" ref="F132:F139" si="45">D132-E132</f>
        <v>1338750</v>
      </c>
      <c r="G132" s="166">
        <f t="shared" ref="G132:G139" si="46">F132/E132</f>
        <v>6.0580143966930365E-2</v>
      </c>
      <c r="H132" s="165">
        <f>VLOOKUP($B132,'Data shares'!$C:$FB,66)</f>
        <v>34741350</v>
      </c>
      <c r="I132" s="165">
        <f>VLOOKUP($B132,'Data shares'!$C:$FB,67)</f>
        <v>8402625</v>
      </c>
      <c r="J132" s="81">
        <f t="shared" ref="J132:J139" si="47">(H132-I132)/I132*100</f>
        <v>313.45829428303654</v>
      </c>
      <c r="K132" s="81">
        <f>VLOOKUP($B132,'Data Vlaue (Cr)'!$C:$FB,99)</f>
        <v>2474</v>
      </c>
      <c r="L132" s="81">
        <f>VLOOKUP(B132,'OI(Value)'!$A$7:$C$226,3,0)</f>
        <v>141</v>
      </c>
      <c r="M132" s="81">
        <f t="shared" si="44"/>
        <v>5.699272433306386</v>
      </c>
      <c r="N132" s="81">
        <f>VLOOKUP($B132,'Data Vlaue (Cr)'!$C:$FB,67)</f>
        <v>3668</v>
      </c>
      <c r="O132" s="81">
        <f>VLOOKUP($B132,'Data Vlaue (Cr)'!$C:$FB,68)</f>
        <v>887</v>
      </c>
      <c r="P132" s="81">
        <f t="shared" ref="P132:P139" si="48">(N132-O132)/N132*100</f>
        <v>75.817884405670668</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Infrastructure</v>
      </c>
      <c r="B133" s="79" t="str">
        <f>'Data shares'!C128</f>
        <v>MAZDOCK</v>
      </c>
      <c r="C133" s="79">
        <f>VLOOKUP($B133,'Data shares'!$C:$FB,7)</f>
        <v>2430.6</v>
      </c>
      <c r="D133" s="165">
        <f>VLOOKUP($B133,'Data shares'!$C:$FB,98)</f>
        <v>11001400</v>
      </c>
      <c r="E133" s="165">
        <f>VLOOKUP(B133,'Snapshot (Volume)'!$A$7:$G$168,7,0)</f>
        <v>10919600</v>
      </c>
      <c r="F133" s="165">
        <f t="shared" si="45"/>
        <v>81800</v>
      </c>
      <c r="G133" s="166">
        <f t="shared" si="46"/>
        <v>7.4911168907285984E-3</v>
      </c>
      <c r="H133" s="165">
        <f>VLOOKUP($B133,'Data shares'!$C:$FB,66)</f>
        <v>3742200</v>
      </c>
      <c r="I133" s="165">
        <f>VLOOKUP($B133,'Data shares'!$C:$FB,67)</f>
        <v>4413200</v>
      </c>
      <c r="J133" s="81">
        <f t="shared" si="47"/>
        <v>-15.204386839481554</v>
      </c>
      <c r="K133" s="81">
        <f>VLOOKUP($B133,'Data Vlaue (Cr)'!$C:$FB,99)</f>
        <v>2675</v>
      </c>
      <c r="L133" s="81">
        <f>VLOOKUP(B133,'OI(Value)'!$A$7:$C$226,3,0)</f>
        <v>20</v>
      </c>
      <c r="M133" s="81">
        <f t="shared" si="44"/>
        <v>0.74766355140186924</v>
      </c>
      <c r="N133" s="81">
        <f>VLOOKUP($B133,'Data Vlaue (Cr)'!$C:$FB,67)</f>
        <v>910</v>
      </c>
      <c r="O133" s="81">
        <f>VLOOKUP($B133,'Data Vlaue (Cr)'!$C:$FB,68)</f>
        <v>1073</v>
      </c>
      <c r="P133" s="81">
        <f t="shared" si="48"/>
        <v>-17.912087912087912</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Finance</v>
      </c>
      <c r="B134" s="79" t="str">
        <f>'Data shares'!C129</f>
        <v>MCX</v>
      </c>
      <c r="C134" s="4">
        <f>VLOOKUP($B134,'Data shares'!$C:$FB,7)</f>
        <v>2372.8000000000002</v>
      </c>
      <c r="D134" s="82">
        <f>VLOOKUP($B134,'Data shares'!$C:$FB,98)</f>
        <v>43411250</v>
      </c>
      <c r="E134" s="165">
        <f>VLOOKUP(B134,'Snapshot (Volume)'!$A$7:$G$168,7,0)</f>
        <v>40465000</v>
      </c>
      <c r="F134" s="165">
        <f t="shared" si="45"/>
        <v>2946250</v>
      </c>
      <c r="G134" s="166">
        <f t="shared" si="46"/>
        <v>7.2809835660447297E-2</v>
      </c>
      <c r="H134" s="165">
        <f>VLOOKUP($B134,'Data shares'!$C:$FB,66)</f>
        <v>54276875</v>
      </c>
      <c r="I134" s="165">
        <f>VLOOKUP($B134,'Data shares'!$C:$FB,67)</f>
        <v>33227500</v>
      </c>
      <c r="J134" s="81">
        <f t="shared" si="47"/>
        <v>63.349258896997974</v>
      </c>
      <c r="K134" s="5">
        <f>VLOOKUP($B134,'Data Vlaue (Cr)'!$C:$FB,99)</f>
        <v>10297</v>
      </c>
      <c r="L134" s="81">
        <f>VLOOKUP(B134,'OI(Value)'!$A$7:$C$226,3,0)</f>
        <v>699</v>
      </c>
      <c r="M134" s="33">
        <f t="shared" si="44"/>
        <v>6.7883849664950953</v>
      </c>
      <c r="N134" s="5">
        <f>VLOOKUP($B134,'Data Vlaue (Cr)'!$C:$FB,67)</f>
        <v>12874</v>
      </c>
      <c r="O134" s="5">
        <f>VLOOKUP($B134,'Data Vlaue (Cr)'!$C:$FB,68)</f>
        <v>7882</v>
      </c>
      <c r="P134" s="5">
        <f t="shared" si="48"/>
        <v>38.77582724871835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Finance</v>
      </c>
      <c r="B135" s="79" t="str">
        <f>'Data shares'!C130</f>
        <v>MFSL</v>
      </c>
      <c r="C135" s="4">
        <f>VLOOKUP($B135,'Data shares'!$C:$FB,7)</f>
        <v>1734.1</v>
      </c>
      <c r="D135" s="82">
        <f>VLOOKUP($B135,'Data shares'!$C:$FB,98)</f>
        <v>13657600</v>
      </c>
      <c r="E135" s="165">
        <f>VLOOKUP(B135,'Snapshot (Volume)'!$A$7:$G$168,7,0)</f>
        <v>12515600</v>
      </c>
      <c r="F135" s="165">
        <f t="shared" si="45"/>
        <v>1142000</v>
      </c>
      <c r="G135" s="166">
        <f t="shared" si="46"/>
        <v>9.1246124836204423E-2</v>
      </c>
      <c r="H135" s="165">
        <f>VLOOKUP($B135,'Data shares'!$C:$FB,66)</f>
        <v>10097600</v>
      </c>
      <c r="I135" s="165">
        <f>VLOOKUP($B135,'Data shares'!$C:$FB,67)</f>
        <v>4605200</v>
      </c>
      <c r="J135" s="81">
        <f t="shared" si="47"/>
        <v>119.26517849387648</v>
      </c>
      <c r="K135" s="5">
        <f>VLOOKUP($B135,'Data Vlaue (Cr)'!$C:$FB,99)</f>
        <v>2374</v>
      </c>
      <c r="L135" s="81">
        <f>VLOOKUP(B135,'OI(Value)'!$A$7:$C$226,3,0)</f>
        <v>199</v>
      </c>
      <c r="M135" s="33">
        <f t="shared" si="44"/>
        <v>8.3824768323504628</v>
      </c>
      <c r="N135" s="5">
        <f>VLOOKUP($B135,'Data Vlaue (Cr)'!$C:$FB,67)</f>
        <v>1755</v>
      </c>
      <c r="O135" s="5">
        <f>VLOOKUP($B135,'Data Vlaue (Cr)'!$C:$FB,68)</f>
        <v>801</v>
      </c>
      <c r="P135" s="5">
        <f t="shared" si="48"/>
        <v>54.358974358974358</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Index</v>
      </c>
      <c r="B136" s="79" t="str">
        <f>'Data shares'!C131</f>
        <v>MIDCPNIFTY</v>
      </c>
      <c r="C136" s="4">
        <f>VLOOKUP($B136,'Data shares'!$C:$FB,7)</f>
        <v>13952.8</v>
      </c>
      <c r="D136" s="82">
        <f>VLOOKUP($B136,'Data shares'!$C:$FB,98)</f>
        <v>17191800</v>
      </c>
      <c r="E136" s="165">
        <f>VLOOKUP(B136,'Snapshot (Volume)'!$A$7:$G$168,7,0)</f>
        <v>16706640</v>
      </c>
      <c r="F136" s="165">
        <f t="shared" si="45"/>
        <v>485160</v>
      </c>
      <c r="G136" s="166">
        <f t="shared" si="46"/>
        <v>2.9039950582522876E-2</v>
      </c>
      <c r="H136" s="165">
        <f>VLOOKUP($B136,'Data shares'!$C:$FB,66)</f>
        <v>25361400</v>
      </c>
      <c r="I136" s="165">
        <f>VLOOKUP($B136,'Data shares'!$C:$FB,67)</f>
        <v>27109440</v>
      </c>
      <c r="J136" s="81">
        <f t="shared" si="47"/>
        <v>-6.4480859803817419</v>
      </c>
      <c r="K136" s="5">
        <f>VLOOKUP($B136,'Data Vlaue (Cr)'!$C:$FB,99)</f>
        <v>23983</v>
      </c>
      <c r="L136" s="81">
        <f>VLOOKUP(B136,'OI(Value)'!$A$7:$C$226,3,0)</f>
        <v>677</v>
      </c>
      <c r="M136" s="33">
        <f t="shared" si="44"/>
        <v>2.8228328399282825</v>
      </c>
      <c r="N136" s="5">
        <f>VLOOKUP($B136,'Data Vlaue (Cr)'!$C:$FB,67)</f>
        <v>35380</v>
      </c>
      <c r="O136" s="5">
        <f>VLOOKUP($B136,'Data Vlaue (Cr)'!$C:$FB,68)</f>
        <v>37818</v>
      </c>
      <c r="P136" s="5">
        <f t="shared" si="48"/>
        <v>-6.8908988128886381</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Automobile</v>
      </c>
      <c r="B137" s="79" t="str">
        <f>'Data shares'!C132</f>
        <v>MOTHERSON</v>
      </c>
      <c r="C137" s="4">
        <f>VLOOKUP($B137,'Data shares'!$C:$FB,7)</f>
        <v>130.16999999999999</v>
      </c>
      <c r="D137" s="82">
        <f>VLOOKUP($B137,'Data shares'!$C:$FB,98)</f>
        <v>304191300</v>
      </c>
      <c r="E137" s="165">
        <f>VLOOKUP(B137,'Snapshot (Volume)'!$A$7:$G$168,7,0)</f>
        <v>288674850</v>
      </c>
      <c r="F137" s="165">
        <f t="shared" si="45"/>
        <v>15516450</v>
      </c>
      <c r="G137" s="166">
        <f t="shared" si="46"/>
        <v>5.3750612497070666E-2</v>
      </c>
      <c r="H137" s="165">
        <f>VLOOKUP($B137,'Data shares'!$C:$FB,66)</f>
        <v>593124450</v>
      </c>
      <c r="I137" s="165">
        <f>VLOOKUP($B137,'Data shares'!$C:$FB,67)</f>
        <v>657355050</v>
      </c>
      <c r="J137" s="81">
        <f t="shared" si="47"/>
        <v>-9.7710666404707762</v>
      </c>
      <c r="K137" s="5">
        <f>VLOOKUP($B137,'Data Vlaue (Cr)'!$C:$FB,99)</f>
        <v>3965</v>
      </c>
      <c r="L137" s="81">
        <f>VLOOKUP(B137,'OI(Value)'!$A$7:$C$226,3,0)</f>
        <v>202</v>
      </c>
      <c r="M137" s="33">
        <f t="shared" si="44"/>
        <v>5.0945775535939468</v>
      </c>
      <c r="N137" s="5">
        <f>VLOOKUP($B137,'Data Vlaue (Cr)'!$C:$FB,67)</f>
        <v>7731</v>
      </c>
      <c r="O137" s="5">
        <f>VLOOKUP($B137,'Data Vlaue (Cr)'!$C:$FB,68)</f>
        <v>8568</v>
      </c>
      <c r="P137" s="5">
        <f t="shared" si="48"/>
        <v>-10.826542491268917</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Technology</v>
      </c>
      <c r="B138" s="79" t="str">
        <f>'Data shares'!C133</f>
        <v>MPHASIS</v>
      </c>
      <c r="C138" s="4">
        <f>VLOOKUP($B138,'Data shares'!$C:$FB,7)</f>
        <v>2588.1999999999998</v>
      </c>
      <c r="D138" s="82">
        <f>VLOOKUP($B138,'Data shares'!$C:$FB,98)</f>
        <v>7586975</v>
      </c>
      <c r="E138" s="165">
        <f>VLOOKUP(B138,'Snapshot (Volume)'!$A$7:$G$168,7,0)</f>
        <v>7328200</v>
      </c>
      <c r="F138" s="165">
        <f t="shared" si="45"/>
        <v>258775</v>
      </c>
      <c r="G138" s="166">
        <f t="shared" si="46"/>
        <v>3.5312218552987093E-2</v>
      </c>
      <c r="H138" s="165">
        <f>VLOOKUP($B138,'Data shares'!$C:$FB,66)</f>
        <v>3919850</v>
      </c>
      <c r="I138" s="165">
        <f>VLOOKUP($B138,'Data shares'!$C:$FB,67)</f>
        <v>2554200</v>
      </c>
      <c r="J138" s="81">
        <f t="shared" si="47"/>
        <v>53.466838931955209</v>
      </c>
      <c r="K138" s="5">
        <f>VLOOKUP($B138,'Data Vlaue (Cr)'!$C:$FB,99)</f>
        <v>1968</v>
      </c>
      <c r="L138" s="81">
        <f>VLOOKUP(B138,'OI(Value)'!$A$7:$C$226,3,0)</f>
        <v>67</v>
      </c>
      <c r="M138" s="33">
        <f t="shared" si="44"/>
        <v>3.404471544715447</v>
      </c>
      <c r="N138" s="5">
        <f>VLOOKUP($B138,'Data Vlaue (Cr)'!$C:$FB,67)</f>
        <v>1017</v>
      </c>
      <c r="O138" s="5">
        <f>VLOOKUP($B138,'Data Vlaue (Cr)'!$C:$FB,68)</f>
        <v>663</v>
      </c>
      <c r="P138" s="5">
        <f t="shared" si="48"/>
        <v>34.80825958702065</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Finance</v>
      </c>
      <c r="B139" s="79" t="str">
        <f>'Data shares'!C134</f>
        <v>MUTHOOTFIN</v>
      </c>
      <c r="C139" s="4">
        <f>VLOOKUP($B139,'Data shares'!$C:$FB,7)</f>
        <v>3933.2</v>
      </c>
      <c r="D139" s="82">
        <f>VLOOKUP($B139,'Data shares'!$C:$FB,98)</f>
        <v>10980200</v>
      </c>
      <c r="E139" s="165">
        <f>VLOOKUP(B139,'Snapshot (Volume)'!$A$7:$G$168,7,0)</f>
        <v>9765250</v>
      </c>
      <c r="F139" s="165">
        <f t="shared" si="45"/>
        <v>1214950</v>
      </c>
      <c r="G139" s="166">
        <f t="shared" si="46"/>
        <v>0.12441565756125035</v>
      </c>
      <c r="H139" s="165">
        <f>VLOOKUP($B139,'Data shares'!$C:$FB,66)</f>
        <v>10541300</v>
      </c>
      <c r="I139" s="165">
        <f>VLOOKUP($B139,'Data shares'!$C:$FB,67)</f>
        <v>11313500</v>
      </c>
      <c r="J139" s="81">
        <f t="shared" si="47"/>
        <v>-6.8254739912493925</v>
      </c>
      <c r="K139" s="5">
        <f>VLOOKUP($B139,'Data Vlaue (Cr)'!$C:$FB,99)</f>
        <v>4322</v>
      </c>
      <c r="L139" s="81">
        <f>VLOOKUP(B139,'OI(Value)'!$A$7:$C$226,3,0)</f>
        <v>478</v>
      </c>
      <c r="M139" s="33">
        <f t="shared" si="44"/>
        <v>11.059694585839889</v>
      </c>
      <c r="N139" s="5">
        <f>VLOOKUP($B139,'Data Vlaue (Cr)'!$C:$FB,67)</f>
        <v>4149</v>
      </c>
      <c r="O139" s="5">
        <f>VLOOKUP($B139,'Data Vlaue (Cr)'!$C:$FB,68)</f>
        <v>4453</v>
      </c>
      <c r="P139" s="5">
        <f t="shared" si="48"/>
        <v>-7.3270667630754405</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Metals</v>
      </c>
      <c r="B140" s="79" t="str">
        <f>'Data shares'!C135</f>
        <v>NATIONALUM</v>
      </c>
      <c r="C140" s="79">
        <f>VLOOKUP($B140,'Data shares'!$C:$FB,7)</f>
        <v>367.7</v>
      </c>
      <c r="D140" s="165">
        <f>VLOOKUP($B140,'Data shares'!$C:$FB,98)</f>
        <v>150360000</v>
      </c>
      <c r="E140" s="165">
        <f>VLOOKUP(B140,'Snapshot (Volume)'!$A$7:$G$168,7,0)</f>
        <v>152088750</v>
      </c>
      <c r="F140" s="165">
        <f>D140-E140</f>
        <v>-1728750</v>
      </c>
      <c r="G140" s="166">
        <f>F140/E140</f>
        <v>-1.1366718445644401E-2</v>
      </c>
      <c r="H140" s="165">
        <f>VLOOKUP($B140,'Data shares'!$C:$FB,66)</f>
        <v>85638750</v>
      </c>
      <c r="I140" s="165">
        <f>VLOOKUP($B140,'Data shares'!$C:$FB,67)</f>
        <v>72078750</v>
      </c>
      <c r="J140" s="81">
        <f>(H140-I140)/I140*100</f>
        <v>18.812756880495289</v>
      </c>
      <c r="K140" s="81">
        <f>VLOOKUP($B140,'Data Vlaue (Cr)'!$C:$FB,99)</f>
        <v>5551</v>
      </c>
      <c r="L140" s="81">
        <f>VLOOKUP(B140,'OI(Value)'!$A$7:$C$226,3,0)</f>
        <v>-64</v>
      </c>
      <c r="M140" s="81">
        <f t="shared" si="44"/>
        <v>-1.1529454152404972</v>
      </c>
      <c r="N140" s="81">
        <f>VLOOKUP($B140,'Data Vlaue (Cr)'!$C:$FB,67)</f>
        <v>3161</v>
      </c>
      <c r="O140" s="81">
        <f>VLOOKUP($B140,'Data Vlaue (Cr)'!$C:$FB,68)</f>
        <v>2661</v>
      </c>
      <c r="P140" s="81">
        <f>(N140-O140)/N140*100</f>
        <v>15.817779183802594</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New_Age</v>
      </c>
      <c r="B141" s="79" t="str">
        <f>'Data shares'!C136</f>
        <v>NAUKRI</v>
      </c>
      <c r="C141" s="4">
        <f>VLOOKUP($B141,'Data shares'!$C:$FB,7)</f>
        <v>1171.7</v>
      </c>
      <c r="D141" s="82">
        <f>VLOOKUP($B141,'Data shares'!$C:$FB,98)</f>
        <v>17344500</v>
      </c>
      <c r="E141" s="165">
        <f>VLOOKUP(B141,'Snapshot (Volume)'!$A$7:$G$168,7,0)</f>
        <v>16665375</v>
      </c>
      <c r="F141" s="165">
        <f>D141-E141</f>
        <v>679125</v>
      </c>
      <c r="G141" s="166">
        <f>F141/E141</f>
        <v>4.075065817600864E-2</v>
      </c>
      <c r="H141" s="165">
        <f>VLOOKUP($B141,'Data shares'!$C:$FB,66)</f>
        <v>13886625</v>
      </c>
      <c r="I141" s="165">
        <f>VLOOKUP($B141,'Data shares'!$C:$FB,67)</f>
        <v>9424125</v>
      </c>
      <c r="J141" s="81">
        <f>(H141-I141)/I141*100</f>
        <v>47.351876168875094</v>
      </c>
      <c r="K141" s="5">
        <f>VLOOKUP($B141,'Data Vlaue (Cr)'!$C:$FB,99)</f>
        <v>2033</v>
      </c>
      <c r="L141" s="81">
        <f>VLOOKUP(B141,'OI(Value)'!$A$7:$C$226,3,0)</f>
        <v>80</v>
      </c>
      <c r="M141" s="33">
        <f t="shared" si="44"/>
        <v>3.9350713231677323</v>
      </c>
      <c r="N141" s="5">
        <f>VLOOKUP($B141,'Data Vlaue (Cr)'!$C:$FB,67)</f>
        <v>1628</v>
      </c>
      <c r="O141" s="5">
        <f>VLOOKUP($B141,'Data Vlaue (Cr)'!$C:$FB,68)</f>
        <v>1105</v>
      </c>
      <c r="P141" s="5">
        <f>(N141-O141)/N141*100</f>
        <v>32.125307125307124</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Realty</v>
      </c>
      <c r="B142" s="79" t="str">
        <f>'Data shares'!C137</f>
        <v>NBCC</v>
      </c>
      <c r="C142" s="4">
        <f>VLOOKUP($B142,'Data shares'!$C:$FB,7)</f>
        <v>101.68</v>
      </c>
      <c r="D142" s="82">
        <f>VLOOKUP($B142,'Data shares'!$C:$FB,98)</f>
        <v>157163500</v>
      </c>
      <c r="E142" s="165">
        <f>VLOOKUP(B142,'Snapshot (Volume)'!$A$7:$G$168,7,0)</f>
        <v>152451000</v>
      </c>
      <c r="F142" s="165">
        <f>D142-E142</f>
        <v>4712500</v>
      </c>
      <c r="G142" s="166">
        <f>F142/E142</f>
        <v>3.091157158693613E-2</v>
      </c>
      <c r="H142" s="165">
        <f>VLOOKUP($B142,'Data shares'!$C:$FB,66)</f>
        <v>45825000</v>
      </c>
      <c r="I142" s="165">
        <f>VLOOKUP($B142,'Data shares'!$C:$FB,67)</f>
        <v>35360000</v>
      </c>
      <c r="J142" s="81">
        <f>(H142-I142)/I142*100</f>
        <v>29.59558823529412</v>
      </c>
      <c r="K142" s="5">
        <f>VLOOKUP($B142,'Data Vlaue (Cr)'!$C:$FB,99)</f>
        <v>1603</v>
      </c>
      <c r="L142" s="81">
        <f>VLOOKUP(B142,'OI(Value)'!$A$7:$C$226,3,0)</f>
        <v>48</v>
      </c>
      <c r="M142" s="33">
        <f t="shared" si="44"/>
        <v>2.9943855271366187</v>
      </c>
      <c r="N142" s="5">
        <f>VLOOKUP($B142,'Data Vlaue (Cr)'!$C:$FB,67)</f>
        <v>467</v>
      </c>
      <c r="O142" s="5">
        <f>VLOOKUP($B142,'Data Vlaue (Cr)'!$C:$FB,68)</f>
        <v>361</v>
      </c>
      <c r="P142" s="5">
        <f>(N142-O142)/N142*100</f>
        <v>22.698072805139187</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FMCG</v>
      </c>
      <c r="B143" s="79" t="str">
        <f>'Data shares'!C138</f>
        <v>NESTLEIND</v>
      </c>
      <c r="C143" s="4">
        <f>VLOOKUP($B143,'Data shares'!$C:$FB,7)</f>
        <v>1305.3</v>
      </c>
      <c r="D143" s="82">
        <f>VLOOKUP($B143,'Data shares'!$C:$FB,98)</f>
        <v>24767000</v>
      </c>
      <c r="E143" s="165">
        <f>VLOOKUP(B143,'Snapshot (Volume)'!$A$7:$G$168,7,0)</f>
        <v>24883000</v>
      </c>
      <c r="F143" s="165">
        <f>D143-E143</f>
        <v>-116000</v>
      </c>
      <c r="G143" s="166">
        <f>F143/E143</f>
        <v>-4.6618173049873405E-3</v>
      </c>
      <c r="H143" s="165">
        <f>VLOOKUP($B143,'Data shares'!$C:$FB,66)</f>
        <v>9836000</v>
      </c>
      <c r="I143" s="165">
        <f>VLOOKUP($B143,'Data shares'!$C:$FB,67)</f>
        <v>6410500</v>
      </c>
      <c r="J143" s="81">
        <f>(H143-I143)/I143*100</f>
        <v>53.435769440761248</v>
      </c>
      <c r="K143" s="5">
        <f>VLOOKUP($B143,'Data Vlaue (Cr)'!$C:$FB,99)</f>
        <v>3234</v>
      </c>
      <c r="L143" s="81">
        <f>VLOOKUP(B143,'OI(Value)'!$A$7:$C$226,3,0)</f>
        <v>-15</v>
      </c>
      <c r="M143" s="33">
        <f t="shared" si="44"/>
        <v>-0.463821892393321</v>
      </c>
      <c r="N143" s="5">
        <f>VLOOKUP($B143,'Data Vlaue (Cr)'!$C:$FB,67)</f>
        <v>1284</v>
      </c>
      <c r="O143" s="5">
        <f>VLOOKUP($B143,'Data Vlaue (Cr)'!$C:$FB,68)</f>
        <v>837</v>
      </c>
      <c r="P143" s="5">
        <f>(N143-O143)/N143*100</f>
        <v>34.813084112149532</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Power</v>
      </c>
      <c r="B144" s="79" t="str">
        <f>'Data shares'!C139</f>
        <v>NHPC</v>
      </c>
      <c r="C144" s="4">
        <f>VLOOKUP($B144,'Data shares'!$C:$FB,7)</f>
        <v>77.58</v>
      </c>
      <c r="D144" s="82">
        <f>VLOOKUP($B144,'Data shares'!$C:$FB,98)</f>
        <v>170585600</v>
      </c>
      <c r="E144" s="165">
        <f>VLOOKUP(B144,'Snapshot (Volume)'!$A$7:$G$168,7,0)</f>
        <v>172723200</v>
      </c>
      <c r="F144" s="165">
        <f>D144-E144</f>
        <v>-2137600</v>
      </c>
      <c r="G144" s="166">
        <f>F144/E144</f>
        <v>-1.2375870757373647E-2</v>
      </c>
      <c r="H144" s="165">
        <f>VLOOKUP($B144,'Data shares'!$C:$FB,66)</f>
        <v>60832000</v>
      </c>
      <c r="I144" s="165">
        <f>VLOOKUP($B144,'Data shares'!$C:$FB,67)</f>
        <v>54771200</v>
      </c>
      <c r="J144" s="81">
        <f>(H144-I144)/I144*100</f>
        <v>11.065669548960038</v>
      </c>
      <c r="K144" s="5">
        <f>VLOOKUP($B144,'Data Vlaue (Cr)'!$C:$FB,99)</f>
        <v>1328</v>
      </c>
      <c r="L144" s="81">
        <f>VLOOKUP(B144,'OI(Value)'!$A$7:$C$226,3,0)</f>
        <v>-17</v>
      </c>
      <c r="M144" s="33">
        <f t="shared" si="44"/>
        <v>-1.2801204819277108</v>
      </c>
      <c r="N144" s="5">
        <f>VLOOKUP($B144,'Data Vlaue (Cr)'!$C:$FB,67)</f>
        <v>474</v>
      </c>
      <c r="O144" s="5">
        <f>VLOOKUP($B144,'Data Vlaue (Cr)'!$C:$FB,68)</f>
        <v>426</v>
      </c>
      <c r="P144" s="5">
        <f>(N144-O144)/N144*100</f>
        <v>10.126582278481013</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Index</v>
      </c>
      <c r="B145" s="79" t="str">
        <f>'Data shares'!C140</f>
        <v>NIFTY</v>
      </c>
      <c r="C145" s="4">
        <f>VLOOKUP($B145,'Data shares'!$C:$FB,7)</f>
        <v>25953.85</v>
      </c>
      <c r="D145" s="82">
        <f>VLOOKUP($B145,'Data shares'!$C:$FB,98)</f>
        <v>417519510</v>
      </c>
      <c r="E145" s="165">
        <f>VLOOKUP(B145,'Snapshot (Volume)'!$A$7:$G$168,7,0)</f>
        <v>667617640</v>
      </c>
      <c r="F145" s="165">
        <f t="shared" ref="F145:F152" si="49">D145-E145</f>
        <v>-250098130</v>
      </c>
      <c r="G145" s="166">
        <f t="shared" ref="G145:G153" si="50">F145/E145</f>
        <v>-0.37461282478995012</v>
      </c>
      <c r="H145" s="165">
        <f>VLOOKUP($B145,'Data shares'!$C:$FB,66)</f>
        <v>3318049280</v>
      </c>
      <c r="I145" s="165">
        <f>VLOOKUP($B145,'Data shares'!$C:$FB,67)</f>
        <v>22717567665</v>
      </c>
      <c r="J145" s="81">
        <f t="shared" ref="J145:J153" si="51">(H145-I145)/I145*100</f>
        <v>-85.394346221704097</v>
      </c>
      <c r="K145" s="5">
        <f>VLOOKUP($B145,'Data Vlaue (Cr)'!$C:$FB,99)</f>
        <v>1085309</v>
      </c>
      <c r="L145" s="81">
        <f>VLOOKUP(B145,'OI(Value)'!$A$7:$C$226,3,0)</f>
        <v>-650110</v>
      </c>
      <c r="M145" s="33">
        <f t="shared" ref="M145:M153" si="52">L145/K145*100</f>
        <v>-59.900913011870351</v>
      </c>
      <c r="N145" s="5">
        <f>VLOOKUP($B145,'Data Vlaue (Cr)'!$C:$FB,67)</f>
        <v>8625004</v>
      </c>
      <c r="O145" s="5">
        <f>VLOOKUP($B145,'Data Vlaue (Cr)'!$C:$FB,68)</f>
        <v>59052500</v>
      </c>
      <c r="P145" s="5">
        <f t="shared" ref="P145:P152" si="53">(N145-O145)/N145*100</f>
        <v>-584.66634914024394</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Index</v>
      </c>
      <c r="B146" s="79" t="str">
        <f>'Data shares'!C141</f>
        <v>NIFTYNXT50</v>
      </c>
      <c r="C146" s="4">
        <f>VLOOKUP($B146,'Data shares'!$C:$FB,7)</f>
        <v>70216.55</v>
      </c>
      <c r="D146" s="82">
        <f>VLOOKUP($B146,'Data shares'!$C:$FB,98)</f>
        <v>44600</v>
      </c>
      <c r="E146" s="165">
        <f>VLOOKUP(B146,'Snapshot (Volume)'!$A$7:$G$168,7,0)</f>
        <v>40275</v>
      </c>
      <c r="F146" s="165">
        <f t="shared" si="49"/>
        <v>4325</v>
      </c>
      <c r="G146" s="166">
        <f t="shared" si="50"/>
        <v>0.10738671632526381</v>
      </c>
      <c r="H146" s="165">
        <f>VLOOKUP($B146,'Data shares'!$C:$FB,66)</f>
        <v>27375</v>
      </c>
      <c r="I146" s="165">
        <f>VLOOKUP($B146,'Data shares'!$C:$FB,67)</f>
        <v>15750</v>
      </c>
      <c r="J146" s="81">
        <f t="shared" si="51"/>
        <v>73.80952380952381</v>
      </c>
      <c r="K146" s="5">
        <f>VLOOKUP($B146,'Data Vlaue (Cr)'!$C:$FB,99)</f>
        <v>313</v>
      </c>
      <c r="L146" s="81">
        <f>VLOOKUP(B146,'OI(Value)'!$A$7:$C$226,3,0)</f>
        <v>30</v>
      </c>
      <c r="M146" s="33">
        <f t="shared" si="52"/>
        <v>9.5846645367412133</v>
      </c>
      <c r="N146" s="5">
        <f>VLOOKUP($B146,'Data Vlaue (Cr)'!$C:$FB,67)</f>
        <v>192</v>
      </c>
      <c r="O146" s="5">
        <f>VLOOKUP($B146,'Data Vlaue (Cr)'!$C:$FB,68)</f>
        <v>111</v>
      </c>
      <c r="P146" s="5">
        <f t="shared" si="53"/>
        <v>42.1875</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Metals</v>
      </c>
      <c r="B147" s="79" t="str">
        <f>'Data shares'!C142</f>
        <v>NMDC</v>
      </c>
      <c r="C147" s="4">
        <f>VLOOKUP($B147,'Data shares'!$C:$FB,7)</f>
        <v>85.46</v>
      </c>
      <c r="D147" s="82">
        <f>VLOOKUP($B147,'Data shares'!$C:$FB,98)</f>
        <v>524886750</v>
      </c>
      <c r="E147" s="165">
        <f>VLOOKUP(B147,'Snapshot (Volume)'!$A$7:$G$168,7,0)</f>
        <v>529976250</v>
      </c>
      <c r="F147" s="165">
        <f t="shared" si="49"/>
        <v>-5089500</v>
      </c>
      <c r="G147" s="166">
        <f t="shared" si="50"/>
        <v>-9.6032605234668538E-3</v>
      </c>
      <c r="H147" s="165">
        <f>VLOOKUP($B147,'Data shares'!$C:$FB,66)</f>
        <v>230323500</v>
      </c>
      <c r="I147" s="165">
        <f>VLOOKUP($B147,'Data shares'!$C:$FB,67)</f>
        <v>224727750</v>
      </c>
      <c r="J147" s="81">
        <f t="shared" si="51"/>
        <v>2.4900129156279096</v>
      </c>
      <c r="K147" s="5">
        <f>VLOOKUP($B147,'Data Vlaue (Cr)'!$C:$FB,99)</f>
        <v>4498</v>
      </c>
      <c r="L147" s="81">
        <f>VLOOKUP(B147,'OI(Value)'!$A$7:$C$226,3,0)</f>
        <v>-44</v>
      </c>
      <c r="M147" s="33">
        <f t="shared" si="52"/>
        <v>-0.97821253890618043</v>
      </c>
      <c r="N147" s="5">
        <f>VLOOKUP($B147,'Data Vlaue (Cr)'!$C:$FB,67)</f>
        <v>1974</v>
      </c>
      <c r="O147" s="5">
        <f>VLOOKUP($B147,'Data Vlaue (Cr)'!$C:$FB,68)</f>
        <v>1926</v>
      </c>
      <c r="P147" s="5">
        <f t="shared" si="53"/>
        <v>2.43161094224924</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NTPC</v>
      </c>
      <c r="C148" s="4">
        <f>VLOOKUP($B148,'Data shares'!$C:$FB,7)</f>
        <v>368.45</v>
      </c>
      <c r="D148" s="82">
        <f>VLOOKUP($B148,'Data shares'!$C:$FB,98)</f>
        <v>220537500</v>
      </c>
      <c r="E148" s="165">
        <f>VLOOKUP(B148,'Snapshot (Volume)'!$A$7:$G$168,7,0)</f>
        <v>215449500</v>
      </c>
      <c r="F148" s="165">
        <f t="shared" si="49"/>
        <v>5088000</v>
      </c>
      <c r="G148" s="166">
        <f t="shared" si="50"/>
        <v>2.3615742900308424E-2</v>
      </c>
      <c r="H148" s="165">
        <f>VLOOKUP($B148,'Data shares'!$C:$FB,66)</f>
        <v>95293500</v>
      </c>
      <c r="I148" s="165">
        <f>VLOOKUP($B148,'Data shares'!$C:$FB,67)</f>
        <v>119232000</v>
      </c>
      <c r="J148" s="81">
        <f t="shared" si="51"/>
        <v>-20.077244363929147</v>
      </c>
      <c r="K148" s="5">
        <f>VLOOKUP($B148,'Data Vlaue (Cr)'!$C:$FB,99)</f>
        <v>8125</v>
      </c>
      <c r="L148" s="81">
        <f>VLOOKUP(B148,'OI(Value)'!$A$7:$C$226,3,0)</f>
        <v>187</v>
      </c>
      <c r="M148" s="33">
        <f t="shared" si="52"/>
        <v>2.3015384615384615</v>
      </c>
      <c r="N148" s="5">
        <f>VLOOKUP($B148,'Data Vlaue (Cr)'!$C:$FB,67)</f>
        <v>3511</v>
      </c>
      <c r="O148" s="5">
        <f>VLOOKUP($B148,'Data Vlaue (Cr)'!$C:$FB,68)</f>
        <v>4393</v>
      </c>
      <c r="P148" s="5">
        <f t="shared" si="53"/>
        <v>-25.121048134434631</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Finance</v>
      </c>
      <c r="B149" s="79" t="str">
        <f>'Data shares'!C144</f>
        <v>NUVAMA</v>
      </c>
      <c r="C149" s="4">
        <f>VLOOKUP($B149,'Data shares'!$C:$FB,7)</f>
        <v>1324.2</v>
      </c>
      <c r="D149" s="82">
        <f>VLOOKUP($B149,'Data shares'!$C:$FB,98)</f>
        <v>4845000</v>
      </c>
      <c r="E149" s="165">
        <f>VLOOKUP(B149,'Snapshot (Volume)'!$A$7:$G$168,7,0)</f>
        <v>4719000</v>
      </c>
      <c r="F149" s="165">
        <f t="shared" si="49"/>
        <v>126000</v>
      </c>
      <c r="G149" s="166">
        <f t="shared" si="50"/>
        <v>2.6700572155117609E-2</v>
      </c>
      <c r="H149" s="165">
        <f>VLOOKUP($B149,'Data shares'!$C:$FB,66)</f>
        <v>6585000</v>
      </c>
      <c r="I149" s="165">
        <f>VLOOKUP($B149,'Data shares'!$C:$FB,67)</f>
        <v>3417000</v>
      </c>
      <c r="J149" s="81">
        <f t="shared" si="51"/>
        <v>92.71290605794556</v>
      </c>
      <c r="K149" s="5">
        <f>VLOOKUP($B149,'Data Vlaue (Cr)'!$C:$FB,99)</f>
        <v>641</v>
      </c>
      <c r="L149" s="81">
        <f>VLOOKUP(B149,'OI(Value)'!$A$7:$C$226,3,0)</f>
        <v>17</v>
      </c>
      <c r="M149" s="33">
        <f t="shared" si="52"/>
        <v>2.6521060842433699</v>
      </c>
      <c r="N149" s="5">
        <f>VLOOKUP($B149,'Data Vlaue (Cr)'!$C:$FB,67)</f>
        <v>872</v>
      </c>
      <c r="O149" s="5">
        <f>VLOOKUP($B149,'Data Vlaue (Cr)'!$C:$FB,68)</f>
        <v>452</v>
      </c>
      <c r="P149" s="5">
        <f t="shared" si="53"/>
        <v>48.165137614678898</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New_Age</v>
      </c>
      <c r="B150" s="79" t="str">
        <f>'Data shares'!C145</f>
        <v>NYKAA</v>
      </c>
      <c r="C150" s="4">
        <f>VLOOKUP($B150,'Data shares'!$C:$FB,7)</f>
        <v>277.54000000000002</v>
      </c>
      <c r="D150" s="82">
        <f>VLOOKUP($B150,'Data shares'!$C:$FB,98)</f>
        <v>83540625</v>
      </c>
      <c r="E150" s="165">
        <f>VLOOKUP(B150,'Snapshot (Volume)'!$A$7:$G$168,7,0)</f>
        <v>84453125</v>
      </c>
      <c r="F150" s="165">
        <f t="shared" si="49"/>
        <v>-912500</v>
      </c>
      <c r="G150" s="166">
        <f t="shared" si="50"/>
        <v>-1.0804810360777059E-2</v>
      </c>
      <c r="H150" s="165">
        <f>VLOOKUP($B150,'Data shares'!$C:$FB,66)</f>
        <v>48696875</v>
      </c>
      <c r="I150" s="165">
        <f>VLOOKUP($B150,'Data shares'!$C:$FB,67)</f>
        <v>60081250</v>
      </c>
      <c r="J150" s="81">
        <f t="shared" si="51"/>
        <v>-18.948299178196194</v>
      </c>
      <c r="K150" s="5">
        <f>VLOOKUP($B150,'Data Vlaue (Cr)'!$C:$FB,99)</f>
        <v>2325</v>
      </c>
      <c r="L150" s="81">
        <f>VLOOKUP(B150,'OI(Value)'!$A$7:$C$226,3,0)</f>
        <v>-25</v>
      </c>
      <c r="M150" s="33">
        <f t="shared" si="52"/>
        <v>-1.0752688172043012</v>
      </c>
      <c r="N150" s="5">
        <f>VLOOKUP($B150,'Data Vlaue (Cr)'!$C:$FB,67)</f>
        <v>1356</v>
      </c>
      <c r="O150" s="5">
        <f>VLOOKUP($B150,'Data Vlaue (Cr)'!$C:$FB,68)</f>
        <v>1672</v>
      </c>
      <c r="P150" s="5">
        <f t="shared" si="53"/>
        <v>-23.303834808259587</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Realty</v>
      </c>
      <c r="B151" s="79" t="str">
        <f>'Data shares'!C146</f>
        <v>OBEROIRLTY</v>
      </c>
      <c r="C151" s="4">
        <f>VLOOKUP($B151,'Data shares'!$C:$FB,7)</f>
        <v>1577.3</v>
      </c>
      <c r="D151" s="82">
        <f>VLOOKUP($B151,'Data shares'!$C:$FB,98)</f>
        <v>9608900</v>
      </c>
      <c r="E151" s="165">
        <f>VLOOKUP(B151,'Snapshot (Volume)'!$A$7:$G$168,7,0)</f>
        <v>9569700</v>
      </c>
      <c r="F151" s="165">
        <f t="shared" si="49"/>
        <v>39200</v>
      </c>
      <c r="G151" s="166">
        <f t="shared" si="50"/>
        <v>4.0962621607782898E-3</v>
      </c>
      <c r="H151" s="165">
        <f>VLOOKUP($B151,'Data shares'!$C:$FB,66)</f>
        <v>2339400</v>
      </c>
      <c r="I151" s="165">
        <f>VLOOKUP($B151,'Data shares'!$C:$FB,67)</f>
        <v>2948400</v>
      </c>
      <c r="J151" s="81">
        <f t="shared" si="51"/>
        <v>-20.655270655270655</v>
      </c>
      <c r="K151" s="5">
        <f>VLOOKUP($B151,'Data Vlaue (Cr)'!$C:$FB,99)</f>
        <v>1517</v>
      </c>
      <c r="L151" s="81">
        <f>VLOOKUP(B151,'OI(Value)'!$A$7:$C$226,3,0)</f>
        <v>6</v>
      </c>
      <c r="M151" s="33">
        <f t="shared" si="52"/>
        <v>0.39551746868820042</v>
      </c>
      <c r="N151" s="5">
        <f>VLOOKUP($B151,'Data Vlaue (Cr)'!$C:$FB,67)</f>
        <v>369</v>
      </c>
      <c r="O151" s="5">
        <f>VLOOKUP($B151,'Data Vlaue (Cr)'!$C:$FB,68)</f>
        <v>466</v>
      </c>
      <c r="P151" s="5">
        <f t="shared" si="53"/>
        <v>-26.287262872628723</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Technology</v>
      </c>
      <c r="B152" s="79" t="str">
        <f>'Data shares'!C147</f>
        <v>OFSS</v>
      </c>
      <c r="C152" s="4">
        <f>VLOOKUP($B152,'Data shares'!$C:$FB,7)</f>
        <v>7217.5</v>
      </c>
      <c r="D152" s="82">
        <f>VLOOKUP($B152,'Data shares'!$C:$FB,98)</f>
        <v>2407650</v>
      </c>
      <c r="E152" s="165">
        <f>VLOOKUP(B152,'Snapshot (Volume)'!$A$7:$G$168,7,0)</f>
        <v>2318700</v>
      </c>
      <c r="F152" s="165">
        <f t="shared" si="49"/>
        <v>88950</v>
      </c>
      <c r="G152" s="166">
        <f t="shared" si="50"/>
        <v>3.8362013197050071E-2</v>
      </c>
      <c r="H152" s="165">
        <f>VLOOKUP($B152,'Data shares'!$C:$FB,66)</f>
        <v>984600</v>
      </c>
      <c r="I152" s="165">
        <f>VLOOKUP($B152,'Data shares'!$C:$FB,67)</f>
        <v>933375</v>
      </c>
      <c r="J152" s="81">
        <f t="shared" si="51"/>
        <v>5.4881478505423864</v>
      </c>
      <c r="K152" s="5">
        <f>VLOOKUP($B152,'Data Vlaue (Cr)'!$C:$FB,99)</f>
        <v>1736</v>
      </c>
      <c r="L152" s="81">
        <f>VLOOKUP(B152,'OI(Value)'!$A$7:$C$226,3,0)</f>
        <v>64</v>
      </c>
      <c r="M152" s="33">
        <f t="shared" si="52"/>
        <v>3.6866359447004609</v>
      </c>
      <c r="N152" s="5">
        <f>VLOOKUP($B152,'Data Vlaue (Cr)'!$C:$FB,67)</f>
        <v>710</v>
      </c>
      <c r="O152" s="5">
        <f>VLOOKUP($B152,'Data Vlaue (Cr)'!$C:$FB,68)</f>
        <v>673</v>
      </c>
      <c r="P152" s="5">
        <f t="shared" si="53"/>
        <v>5.211267605633803</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Oil_Gas</v>
      </c>
      <c r="B153" s="79" t="str">
        <f>'Data shares'!C148</f>
        <v>OIL</v>
      </c>
      <c r="C153" s="4">
        <f>VLOOKUP($B153,'Data shares'!$C:$FB,7)</f>
        <v>479.25</v>
      </c>
      <c r="D153" s="82">
        <f>VLOOKUP($B153,'Data shares'!$C:$FB,98)</f>
        <v>42364000</v>
      </c>
      <c r="E153" s="165">
        <f>VLOOKUP(B153,'Snapshot (Volume)'!$A$7:$G$168,7,0)</f>
        <v>41091400</v>
      </c>
      <c r="F153" s="165">
        <f>D153-E153</f>
        <v>1272600</v>
      </c>
      <c r="G153" s="166">
        <f t="shared" si="50"/>
        <v>3.0969983986916971E-2</v>
      </c>
      <c r="H153" s="165">
        <f>VLOOKUP($B153,'Data shares'!$C:$FB,66)</f>
        <v>58389800</v>
      </c>
      <c r="I153" s="165">
        <f>VLOOKUP($B153,'Data shares'!$C:$FB,67)</f>
        <v>30325400</v>
      </c>
      <c r="J153" s="81">
        <f t="shared" si="51"/>
        <v>92.544203868704116</v>
      </c>
      <c r="K153" s="5">
        <f>VLOOKUP($B153,'Data Vlaue (Cr)'!$C:$FB,99)</f>
        <v>2007</v>
      </c>
      <c r="L153" s="81">
        <f>VLOOKUP(B153,'OI(Value)'!$A$7:$C$226,3,0)</f>
        <v>60</v>
      </c>
      <c r="M153" s="33">
        <f t="shared" si="52"/>
        <v>2.9895366218236172</v>
      </c>
      <c r="N153" s="5">
        <f>VLOOKUP($B153,'Data Vlaue (Cr)'!$C:$FB,67)</f>
        <v>2767</v>
      </c>
      <c r="O153" s="5">
        <f>VLOOKUP($B153,'Data Vlaue (Cr)'!$C:$FB,68)</f>
        <v>1437</v>
      </c>
      <c r="P153" s="5">
        <f>(N153-O153)/N153*100</f>
        <v>48.066498012287681</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Oil_Gas</v>
      </c>
      <c r="B154" s="79" t="str">
        <f>'Data shares'!C149</f>
        <v>ONGC</v>
      </c>
      <c r="C154" s="4">
        <f>VLOOKUP($B154,'Data shares'!$C:$FB,7)</f>
        <v>274.60000000000002</v>
      </c>
      <c r="D154" s="82">
        <f>VLOOKUP($B154,'Data shares'!$C:$FB,98)</f>
        <v>232605000</v>
      </c>
      <c r="E154" s="165">
        <f>VLOOKUP(B154,'Snapshot (Volume)'!$A$7:$G$168,7,0)</f>
        <v>222223500</v>
      </c>
      <c r="F154" s="165">
        <f t="shared" ref="F154:F166" si="54">D154-E154</f>
        <v>10381500</v>
      </c>
      <c r="G154" s="166">
        <f t="shared" ref="G154:G166" si="55">F154/E154</f>
        <v>4.6716481380232065E-2</v>
      </c>
      <c r="H154" s="165">
        <f>VLOOKUP($B154,'Data shares'!$C:$FB,66)</f>
        <v>163008000</v>
      </c>
      <c r="I154" s="165">
        <f>VLOOKUP($B154,'Data shares'!$C:$FB,67)</f>
        <v>89068500</v>
      </c>
      <c r="J154" s="81">
        <f t="shared" ref="J154:J166" si="56">(H154-I154)/I154*100</f>
        <v>83.014196938311528</v>
      </c>
      <c r="K154" s="5">
        <f>VLOOKUP($B154,'Data Vlaue (Cr)'!$C:$FB,99)</f>
        <v>6327</v>
      </c>
      <c r="L154" s="81">
        <f>VLOOKUP(B154,'OI(Value)'!$A$7:$C$226,3,0)</f>
        <v>282</v>
      </c>
      <c r="M154" s="33">
        <f t="shared" ref="M154:M166" si="57">L154/K154*100</f>
        <v>4.4570886676149835</v>
      </c>
      <c r="N154" s="5">
        <f>VLOOKUP($B154,'Data Vlaue (Cr)'!$C:$FB,67)</f>
        <v>4434</v>
      </c>
      <c r="O154" s="5">
        <f>VLOOKUP($B154,'Data Vlaue (Cr)'!$C:$FB,68)</f>
        <v>2423</v>
      </c>
      <c r="P154" s="5">
        <f t="shared" ref="P154:P161" si="58">(N154-O154)/N154*100</f>
        <v>45.354082092918361</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Textile</v>
      </c>
      <c r="B155" s="79" t="str">
        <f>'Data shares'!C150</f>
        <v>PAGEIND</v>
      </c>
      <c r="C155" s="4">
        <f>VLOOKUP($B155,'Data shares'!$C:$FB,7)</f>
        <v>34360</v>
      </c>
      <c r="D155" s="82">
        <f>VLOOKUP($B155,'Data shares'!$C:$FB,98)</f>
        <v>501225</v>
      </c>
      <c r="E155" s="165">
        <f>VLOOKUP(B155,'Snapshot (Volume)'!$A$7:$G$168,7,0)</f>
        <v>490410</v>
      </c>
      <c r="F155" s="165">
        <f t="shared" si="54"/>
        <v>10815</v>
      </c>
      <c r="G155" s="166">
        <f t="shared" si="55"/>
        <v>2.2052976081238147E-2</v>
      </c>
      <c r="H155" s="165">
        <f>VLOOKUP($B155,'Data shares'!$C:$FB,66)</f>
        <v>362370</v>
      </c>
      <c r="I155" s="165">
        <f>VLOOKUP($B155,'Data shares'!$C:$FB,67)</f>
        <v>298950</v>
      </c>
      <c r="J155" s="81">
        <f t="shared" si="56"/>
        <v>21.214249874560963</v>
      </c>
      <c r="K155" s="5">
        <f>VLOOKUP($B155,'Data Vlaue (Cr)'!$C:$FB,99)</f>
        <v>1728</v>
      </c>
      <c r="L155" s="81">
        <f>VLOOKUP(B155,'OI(Value)'!$A$7:$C$226,3,0)</f>
        <v>37</v>
      </c>
      <c r="M155" s="33">
        <f t="shared" si="57"/>
        <v>2.1412037037037037</v>
      </c>
      <c r="N155" s="5">
        <f>VLOOKUP($B155,'Data Vlaue (Cr)'!$C:$FB,67)</f>
        <v>1250</v>
      </c>
      <c r="O155" s="5">
        <f>VLOOKUP($B155,'Data Vlaue (Cr)'!$C:$FB,68)</f>
        <v>1031</v>
      </c>
      <c r="P155" s="5">
        <f t="shared" si="58"/>
        <v>17.52</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FMCG</v>
      </c>
      <c r="B156" s="79" t="str">
        <f>'Data shares'!C151</f>
        <v>PATANJALI</v>
      </c>
      <c r="C156" s="4">
        <f>VLOOKUP($B156,'Data shares'!$C:$FB,7)</f>
        <v>521.75</v>
      </c>
      <c r="D156" s="82">
        <f>VLOOKUP($B156,'Data shares'!$C:$FB,98)</f>
        <v>48375000</v>
      </c>
      <c r="E156" s="165">
        <f>VLOOKUP(B156,'Snapshot (Volume)'!$A$7:$G$168,7,0)</f>
        <v>45678600</v>
      </c>
      <c r="F156" s="165">
        <f t="shared" si="54"/>
        <v>2696400</v>
      </c>
      <c r="G156" s="166">
        <f t="shared" si="55"/>
        <v>5.9029830161169562E-2</v>
      </c>
      <c r="H156" s="165">
        <f>VLOOKUP($B156,'Data shares'!$C:$FB,66)</f>
        <v>15056100</v>
      </c>
      <c r="I156" s="165">
        <f>VLOOKUP($B156,'Data shares'!$C:$FB,67)</f>
        <v>16194600</v>
      </c>
      <c r="J156" s="81">
        <f t="shared" si="56"/>
        <v>-7.0301211514949431</v>
      </c>
      <c r="K156" s="5">
        <f>VLOOKUP($B156,'Data Vlaue (Cr)'!$C:$FB,99)</f>
        <v>2525</v>
      </c>
      <c r="L156" s="81">
        <f>VLOOKUP(B156,'OI(Value)'!$A$7:$C$226,3,0)</f>
        <v>141</v>
      </c>
      <c r="M156" s="33">
        <f t="shared" si="57"/>
        <v>5.5841584158415847</v>
      </c>
      <c r="N156" s="5">
        <f>VLOOKUP($B156,'Data Vlaue (Cr)'!$C:$FB,67)</f>
        <v>786</v>
      </c>
      <c r="O156" s="5">
        <f>VLOOKUP($B156,'Data Vlaue (Cr)'!$C:$FB,68)</f>
        <v>845</v>
      </c>
      <c r="P156" s="5">
        <f t="shared" si="58"/>
        <v>-7.5063613231552164</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New_Age</v>
      </c>
      <c r="B157" s="79" t="str">
        <f>'Data shares'!C152</f>
        <v>PAYTM</v>
      </c>
      <c r="C157" s="4">
        <f>VLOOKUP($B157,'Data shares'!$C:$FB,7)</f>
        <v>1160</v>
      </c>
      <c r="D157" s="82">
        <f>VLOOKUP($B157,'Data shares'!$C:$FB,98)</f>
        <v>36513175</v>
      </c>
      <c r="E157" s="165">
        <f>VLOOKUP(B157,'Snapshot (Volume)'!$A$7:$G$168,7,0)</f>
        <v>35428575</v>
      </c>
      <c r="F157" s="165">
        <f t="shared" si="54"/>
        <v>1084600</v>
      </c>
      <c r="G157" s="166">
        <f t="shared" si="55"/>
        <v>3.0613706591360222E-2</v>
      </c>
      <c r="H157" s="165">
        <f>VLOOKUP($B157,'Data shares'!$C:$FB,66)</f>
        <v>18101800</v>
      </c>
      <c r="I157" s="165">
        <f>VLOOKUP($B157,'Data shares'!$C:$FB,67)</f>
        <v>32793925</v>
      </c>
      <c r="J157" s="81">
        <f t="shared" si="56"/>
        <v>-44.801361837596446</v>
      </c>
      <c r="K157" s="5">
        <f>VLOOKUP($B157,'Data Vlaue (Cr)'!$C:$FB,99)</f>
        <v>4247</v>
      </c>
      <c r="L157" s="81">
        <f>VLOOKUP(B157,'OI(Value)'!$A$7:$C$226,3,0)</f>
        <v>126</v>
      </c>
      <c r="M157" s="33">
        <f t="shared" si="57"/>
        <v>2.9668000941841299</v>
      </c>
      <c r="N157" s="5">
        <f>VLOOKUP($B157,'Data Vlaue (Cr)'!$C:$FB,67)</f>
        <v>2106</v>
      </c>
      <c r="O157" s="5">
        <f>VLOOKUP($B157,'Data Vlaue (Cr)'!$C:$FB,68)</f>
        <v>3815</v>
      </c>
      <c r="P157" s="5">
        <f t="shared" si="58"/>
        <v>-81.149097815764478</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Technology</v>
      </c>
      <c r="B158" s="79" t="str">
        <f>'Data shares'!C153</f>
        <v>PERSISTENT</v>
      </c>
      <c r="C158" s="4">
        <f>VLOOKUP($B158,'Data shares'!$C:$FB,7)</f>
        <v>5724</v>
      </c>
      <c r="D158" s="82">
        <f>VLOOKUP($B158,'Data shares'!$C:$FB,98)</f>
        <v>5089000</v>
      </c>
      <c r="E158" s="165">
        <f>VLOOKUP(B158,'Snapshot (Volume)'!$A$7:$G$168,7,0)</f>
        <v>4502100</v>
      </c>
      <c r="F158" s="165">
        <f t="shared" si="54"/>
        <v>586900</v>
      </c>
      <c r="G158" s="166">
        <f t="shared" si="55"/>
        <v>0.13036138690833166</v>
      </c>
      <c r="H158" s="165">
        <f>VLOOKUP($B158,'Data shares'!$C:$FB,66)</f>
        <v>6864200</v>
      </c>
      <c r="I158" s="165">
        <f>VLOOKUP($B158,'Data shares'!$C:$FB,67)</f>
        <v>3124900</v>
      </c>
      <c r="J158" s="81">
        <f t="shared" si="56"/>
        <v>119.6614291657333</v>
      </c>
      <c r="K158" s="5">
        <f>VLOOKUP($B158,'Data Vlaue (Cr)'!$C:$FB,99)</f>
        <v>2908</v>
      </c>
      <c r="L158" s="81">
        <f>VLOOKUP(B158,'OI(Value)'!$A$7:$C$226,3,0)</f>
        <v>335</v>
      </c>
      <c r="M158" s="33">
        <f t="shared" si="57"/>
        <v>11.519944979367262</v>
      </c>
      <c r="N158" s="5">
        <f>VLOOKUP($B158,'Data Vlaue (Cr)'!$C:$FB,67)</f>
        <v>3922</v>
      </c>
      <c r="O158" s="5">
        <f>VLOOKUP($B158,'Data Vlaue (Cr)'!$C:$FB,68)</f>
        <v>1786</v>
      </c>
      <c r="P158" s="5">
        <f t="shared" si="58"/>
        <v>54.462009178990314</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PETRONET</v>
      </c>
      <c r="C159" s="4">
        <f>VLOOKUP($B159,'Data shares'!$C:$FB,7)</f>
        <v>303.89999999999998</v>
      </c>
      <c r="D159" s="82">
        <f>VLOOKUP($B159,'Data shares'!$C:$FB,98)</f>
        <v>72333000</v>
      </c>
      <c r="E159" s="165">
        <f>VLOOKUP(B159,'Snapshot (Volume)'!$A$7:$G$168,7,0)</f>
        <v>71054300</v>
      </c>
      <c r="F159" s="165">
        <f t="shared" si="54"/>
        <v>1278700</v>
      </c>
      <c r="G159" s="166">
        <f t="shared" si="55"/>
        <v>1.7996095943524883E-2</v>
      </c>
      <c r="H159" s="165">
        <f>VLOOKUP($B159,'Data shares'!$C:$FB,66)</f>
        <v>16748500</v>
      </c>
      <c r="I159" s="165">
        <f>VLOOKUP($B159,'Data shares'!$C:$FB,67)</f>
        <v>30439900</v>
      </c>
      <c r="J159" s="81">
        <f t="shared" si="56"/>
        <v>-44.978465763685165</v>
      </c>
      <c r="K159" s="5">
        <f>VLOOKUP($B159,'Data Vlaue (Cr)'!$C:$FB,99)</f>
        <v>2199</v>
      </c>
      <c r="L159" s="81">
        <f>VLOOKUP(B159,'OI(Value)'!$A$7:$C$226,3,0)</f>
        <v>39</v>
      </c>
      <c r="M159" s="33">
        <f t="shared" si="57"/>
        <v>1.7735334242837655</v>
      </c>
      <c r="N159" s="5">
        <f>VLOOKUP($B159,'Data Vlaue (Cr)'!$C:$FB,67)</f>
        <v>509</v>
      </c>
      <c r="O159" s="5">
        <f>VLOOKUP($B159,'Data Vlaue (Cr)'!$C:$FB,68)</f>
        <v>926</v>
      </c>
      <c r="P159" s="5">
        <f t="shared" si="58"/>
        <v>-81.925343811394896</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Finance</v>
      </c>
      <c r="B160" s="79" t="str">
        <f>'Data shares'!C155</f>
        <v>PFC</v>
      </c>
      <c r="C160" s="4">
        <f>VLOOKUP($B160,'Data shares'!$C:$FB,7)</f>
        <v>415.85</v>
      </c>
      <c r="D160" s="82">
        <f>VLOOKUP($B160,'Data shares'!$C:$FB,98)</f>
        <v>124868900</v>
      </c>
      <c r="E160" s="165">
        <f>VLOOKUP(B160,'Snapshot (Volume)'!$A$7:$G$168,7,0)</f>
        <v>124469800</v>
      </c>
      <c r="F160" s="165">
        <f t="shared" si="54"/>
        <v>399100</v>
      </c>
      <c r="G160" s="166">
        <f t="shared" si="55"/>
        <v>3.2064002673740941E-3</v>
      </c>
      <c r="H160" s="165">
        <f>VLOOKUP($B160,'Data shares'!$C:$FB,66)</f>
        <v>49197200</v>
      </c>
      <c r="I160" s="165">
        <f>VLOOKUP($B160,'Data shares'!$C:$FB,67)</f>
        <v>76567400</v>
      </c>
      <c r="J160" s="81">
        <f t="shared" si="56"/>
        <v>-35.746544874189276</v>
      </c>
      <c r="K160" s="5">
        <f>VLOOKUP($B160,'Data Vlaue (Cr)'!$C:$FB,99)</f>
        <v>5163</v>
      </c>
      <c r="L160" s="81">
        <f>VLOOKUP(B160,'OI(Value)'!$A$7:$C$226,3,0)</f>
        <v>17</v>
      </c>
      <c r="M160" s="33">
        <f t="shared" si="57"/>
        <v>0.32926593066046872</v>
      </c>
      <c r="N160" s="5">
        <f>VLOOKUP($B160,'Data Vlaue (Cr)'!$C:$FB,67)</f>
        <v>2034</v>
      </c>
      <c r="O160" s="5">
        <f>VLOOKUP($B160,'Data Vlaue (Cr)'!$C:$FB,68)</f>
        <v>3166</v>
      </c>
      <c r="P160" s="5">
        <f t="shared" si="58"/>
        <v>-55.653883972468044</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Capital_Goods</v>
      </c>
      <c r="B161" s="79" t="str">
        <f>'Data shares'!C156</f>
        <v>PGEL</v>
      </c>
      <c r="C161" s="4">
        <f>VLOOKUP($B161,'Data shares'!$C:$FB,7)</f>
        <v>617.75</v>
      </c>
      <c r="D161" s="82">
        <f>VLOOKUP($B161,'Data shares'!$C:$FB,98)</f>
        <v>23552400</v>
      </c>
      <c r="E161" s="165">
        <f>VLOOKUP(B161,'Snapshot (Volume)'!$A$7:$G$168,7,0)</f>
        <v>24896650</v>
      </c>
      <c r="F161" s="165">
        <f t="shared" si="54"/>
        <v>-1344250</v>
      </c>
      <c r="G161" s="166">
        <f t="shared" si="55"/>
        <v>-5.399320792154768E-2</v>
      </c>
      <c r="H161" s="165">
        <f>VLOOKUP($B161,'Data shares'!$C:$FB,66)</f>
        <v>33888400</v>
      </c>
      <c r="I161" s="165">
        <f>VLOOKUP($B161,'Data shares'!$C:$FB,67)</f>
        <v>46133900</v>
      </c>
      <c r="J161" s="81">
        <f t="shared" si="56"/>
        <v>-26.543387834108973</v>
      </c>
      <c r="K161" s="5">
        <f>VLOOKUP($B161,'Data Vlaue (Cr)'!$C:$FB,99)</f>
        <v>1456</v>
      </c>
      <c r="L161" s="81">
        <f>VLOOKUP(B161,'OI(Value)'!$A$7:$C$226,3,0)</f>
        <v>-83</v>
      </c>
      <c r="M161" s="33">
        <f t="shared" si="57"/>
        <v>-5.7005494505494507</v>
      </c>
      <c r="N161" s="5">
        <f>VLOOKUP($B161,'Data Vlaue (Cr)'!$C:$FB,67)</f>
        <v>2095</v>
      </c>
      <c r="O161" s="5">
        <f>VLOOKUP($B161,'Data Vlaue (Cr)'!$C:$FB,68)</f>
        <v>2852</v>
      </c>
      <c r="P161" s="5">
        <f t="shared" si="58"/>
        <v>-36.133651551312653</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Realty</v>
      </c>
      <c r="B162" s="79" t="str">
        <f>'Data shares'!C157</f>
        <v>PHOENIXLTD</v>
      </c>
      <c r="C162" s="4">
        <f>VLOOKUP($B162,'Data shares'!$C:$FB,7)</f>
        <v>1784</v>
      </c>
      <c r="D162" s="82">
        <f>VLOOKUP($B162,'Data shares'!$C:$FB,98)</f>
        <v>7151900</v>
      </c>
      <c r="E162" s="165">
        <f>VLOOKUP(B162,'Snapshot (Volume)'!$A$7:$G$168,7,0)</f>
        <v>6700400</v>
      </c>
      <c r="F162" s="165">
        <f t="shared" si="54"/>
        <v>451500</v>
      </c>
      <c r="G162" s="166">
        <f t="shared" si="55"/>
        <v>6.7384036773923947E-2</v>
      </c>
      <c r="H162" s="165">
        <f>VLOOKUP($B162,'Data shares'!$C:$FB,66)</f>
        <v>6427750</v>
      </c>
      <c r="I162" s="165">
        <f>VLOOKUP($B162,'Data shares'!$C:$FB,67)</f>
        <v>2354450</v>
      </c>
      <c r="J162" s="81">
        <f t="shared" si="56"/>
        <v>173.0043109855805</v>
      </c>
      <c r="K162" s="5">
        <f>VLOOKUP($B162,'Data Vlaue (Cr)'!$C:$FB,99)</f>
        <v>1278</v>
      </c>
      <c r="L162" s="81">
        <f>VLOOKUP(B162,'OI(Value)'!$A$7:$C$226,3,0)</f>
        <v>81</v>
      </c>
      <c r="M162" s="33">
        <f t="shared" si="57"/>
        <v>6.3380281690140841</v>
      </c>
      <c r="N162" s="5">
        <f>VLOOKUP($B162,'Data Vlaue (Cr)'!$C:$FB,67)</f>
        <v>1149</v>
      </c>
      <c r="O162" s="5">
        <f>VLOOKUP($B162,'Data Vlaue (Cr)'!$C:$FB,68)</f>
        <v>421</v>
      </c>
      <c r="P162" s="5">
        <f>(N162-O162)/N162*100</f>
        <v>63.359442993907741</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FMCG</v>
      </c>
      <c r="B163" s="79" t="str">
        <f>'Data shares'!C158</f>
        <v>PIDILITIND</v>
      </c>
      <c r="C163" s="4">
        <f>VLOOKUP($B163,'Data shares'!$C:$FB,7)</f>
        <v>1480.1</v>
      </c>
      <c r="D163" s="82">
        <f>VLOOKUP($B163,'Data shares'!$C:$FB,98)</f>
        <v>11880500</v>
      </c>
      <c r="E163" s="165">
        <f>VLOOKUP(B163,'Snapshot (Volume)'!$A$7:$G$168,7,0)</f>
        <v>12092500</v>
      </c>
      <c r="F163" s="165">
        <f t="shared" si="54"/>
        <v>-212000</v>
      </c>
      <c r="G163" s="166">
        <f t="shared" si="55"/>
        <v>-1.7531527806491629E-2</v>
      </c>
      <c r="H163" s="165">
        <f>VLOOKUP($B163,'Data shares'!$C:$FB,66)</f>
        <v>3408000</v>
      </c>
      <c r="I163" s="165">
        <f>VLOOKUP($B163,'Data shares'!$C:$FB,67)</f>
        <v>2891000</v>
      </c>
      <c r="J163" s="81">
        <f t="shared" si="56"/>
        <v>17.883085437564855</v>
      </c>
      <c r="K163" s="5">
        <f>VLOOKUP($B163,'Data Vlaue (Cr)'!$C:$FB,99)</f>
        <v>1759</v>
      </c>
      <c r="L163" s="81">
        <f>VLOOKUP(B163,'OI(Value)'!$A$7:$C$226,3,0)</f>
        <v>-31</v>
      </c>
      <c r="M163" s="33">
        <f t="shared" si="57"/>
        <v>-1.7623649801023309</v>
      </c>
      <c r="N163" s="5">
        <f>VLOOKUP($B163,'Data Vlaue (Cr)'!$C:$FB,67)</f>
        <v>505</v>
      </c>
      <c r="O163" s="5">
        <f>VLOOKUP($B163,'Data Vlaue (Cr)'!$C:$FB,68)</f>
        <v>428</v>
      </c>
      <c r="P163" s="5">
        <f>(N163-O163)/N163*100</f>
        <v>15.247524752475247</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Chemicals</v>
      </c>
      <c r="B164" s="79" t="str">
        <f>'Data shares'!C159</f>
        <v>PIIND</v>
      </c>
      <c r="C164" s="4">
        <f>VLOOKUP($B164,'Data shares'!$C:$FB,7)</f>
        <v>3281.1</v>
      </c>
      <c r="D164" s="82">
        <f>VLOOKUP($B164,'Data shares'!$C:$FB,98)</f>
        <v>6719475</v>
      </c>
      <c r="E164" s="165">
        <f>VLOOKUP(B164,'Snapshot (Volume)'!$A$7:$G$168,7,0)</f>
        <v>5115600</v>
      </c>
      <c r="F164" s="165">
        <f t="shared" si="54"/>
        <v>1603875</v>
      </c>
      <c r="G164" s="166">
        <f t="shared" si="55"/>
        <v>0.3135262725779967</v>
      </c>
      <c r="H164" s="165">
        <f>VLOOKUP($B164,'Data shares'!$C:$FB,66)</f>
        <v>10668350</v>
      </c>
      <c r="I164" s="165">
        <f>VLOOKUP($B164,'Data shares'!$C:$FB,67)</f>
        <v>2872800</v>
      </c>
      <c r="J164" s="81">
        <f t="shared" si="56"/>
        <v>271.3572124756335</v>
      </c>
      <c r="K164" s="5">
        <f>VLOOKUP($B164,'Data Vlaue (Cr)'!$C:$FB,99)</f>
        <v>2202</v>
      </c>
      <c r="L164" s="81">
        <f>VLOOKUP(B164,'OI(Value)'!$A$7:$C$226,3,0)</f>
        <v>525</v>
      </c>
      <c r="M164" s="33">
        <f t="shared" si="57"/>
        <v>23.841961852861036</v>
      </c>
      <c r="N164" s="5">
        <f>VLOOKUP($B164,'Data Vlaue (Cr)'!$C:$FB,67)</f>
        <v>3495</v>
      </c>
      <c r="O164" s="5">
        <f>VLOOKUP($B164,'Data Vlaue (Cr)'!$C:$FB,68)</f>
        <v>941</v>
      </c>
      <c r="P164" s="5">
        <f>(N164-O164)/N164*100</f>
        <v>73.075822603719601</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VLOOKUP(B165,'OI(Value)'!$A$7:$C$226,3,0)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shares'!B214</f>
        <v>Pharma</v>
      </c>
      <c r="B166" s="79" t="str">
        <f>'Data shares'!C214</f>
        <v>ZYDUSLIFE</v>
      </c>
      <c r="C166" s="4">
        <f>VLOOKUP($B166,'Data shares'!$C:$FB,7)</f>
        <v>898.3</v>
      </c>
      <c r="D166" s="82">
        <f>VLOOKUP($B166,'Data shares'!$C:$FB,98)</f>
        <v>26514000</v>
      </c>
      <c r="E166" s="165" t="e">
        <f>VLOOKUP(B166,'Snapshot (Volume)'!$A$7:$G$168,7,0)</f>
        <v>#N/A</v>
      </c>
      <c r="F166" s="165" t="e">
        <f t="shared" si="54"/>
        <v>#N/A</v>
      </c>
      <c r="G166" s="166" t="e">
        <f t="shared" si="55"/>
        <v>#N/A</v>
      </c>
      <c r="H166" s="165">
        <f>VLOOKUP($B166,'Data shares'!$C:$FB,66)</f>
        <v>23956200</v>
      </c>
      <c r="I166" s="165">
        <f>VLOOKUP($B166,'Data shares'!$C:$FB,67)</f>
        <v>62219700</v>
      </c>
      <c r="J166" s="81">
        <f t="shared" si="56"/>
        <v>-61.49740355546556</v>
      </c>
      <c r="K166" s="5">
        <f>VLOOKUP($B166,'Data Vlaue (Cr)'!$C:$FB,99)</f>
        <v>2384</v>
      </c>
      <c r="L166" s="81">
        <f>VLOOKUP(B166,'OI(Value)'!$A$7:$C$226,3,0)</f>
        <v>-170</v>
      </c>
      <c r="M166" s="33">
        <f t="shared" si="57"/>
        <v>-7.1308724832214763</v>
      </c>
      <c r="N166" s="5">
        <f>VLOOKUP($B166,'Data Vlaue (Cr)'!$C:$FB,67)</f>
        <v>2154</v>
      </c>
      <c r="O166" s="5">
        <f>VLOOKUP($B166,'Data Vlaue (Cr)'!$C:$FB,68)</f>
        <v>5595</v>
      </c>
      <c r="P166" s="5">
        <f>(N166-O166)/N166*100</f>
        <v>-159.74930362116993</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zoomScale="85" zoomScaleNormal="85" workbookViewId="0">
      <pane ySplit="6" topLeftCell="A142" activePane="bottomLeft" state="frozen"/>
      <selection activeCell="Q163" sqref="Q163"/>
      <selection pane="bottomLeft" activeCell="A145" sqref="A145"/>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6" t="s">
        <v>334</v>
      </c>
      <c r="B3" s="277"/>
      <c r="C3" s="277"/>
      <c r="D3" s="278"/>
      <c r="E3" s="279"/>
      <c r="F3" s="279"/>
      <c r="G3" s="279"/>
      <c r="H3" s="279"/>
      <c r="I3" s="279"/>
      <c r="J3" s="279"/>
      <c r="K3" s="279"/>
      <c r="L3" s="279"/>
      <c r="M3" s="279"/>
      <c r="N3" s="279"/>
      <c r="O3" s="280"/>
    </row>
    <row r="4" spans="1:15" s="84" customFormat="1" x14ac:dyDescent="0.25">
      <c r="A4" s="273" t="s">
        <v>330</v>
      </c>
      <c r="B4" s="273" t="s">
        <v>340</v>
      </c>
      <c r="C4" s="273"/>
      <c r="D4" s="273"/>
      <c r="E4" s="273"/>
      <c r="F4" s="273"/>
      <c r="G4" s="273"/>
      <c r="H4" s="273"/>
      <c r="I4" s="273"/>
      <c r="J4" s="273"/>
      <c r="K4" s="273"/>
      <c r="L4" s="273"/>
      <c r="M4" s="273"/>
      <c r="N4" s="273"/>
      <c r="O4" s="273"/>
    </row>
    <row r="5" spans="1:15" s="84" customFormat="1" x14ac:dyDescent="0.25">
      <c r="A5" s="274"/>
      <c r="B5" s="274" t="s">
        <v>314</v>
      </c>
      <c r="C5" s="274"/>
      <c r="D5" s="274"/>
      <c r="E5" s="274" t="s">
        <v>341</v>
      </c>
      <c r="F5" s="274"/>
      <c r="G5" s="274"/>
      <c r="H5" s="274" t="s">
        <v>336</v>
      </c>
      <c r="I5" s="274"/>
      <c r="J5" s="274"/>
      <c r="K5" s="274" t="s">
        <v>342</v>
      </c>
      <c r="L5" s="274"/>
      <c r="M5" s="274"/>
      <c r="N5" s="274" t="s">
        <v>338</v>
      </c>
      <c r="O5" s="274"/>
    </row>
    <row r="6" spans="1:15" s="84" customFormat="1" x14ac:dyDescent="0.25">
      <c r="A6" s="71" t="s">
        <v>318</v>
      </c>
      <c r="B6" s="66">
        <f>'OI(Value)'!B6</f>
        <v>46064</v>
      </c>
      <c r="C6" s="71" t="s">
        <v>333</v>
      </c>
      <c r="D6" s="71" t="s">
        <v>328</v>
      </c>
      <c r="E6" s="66">
        <f>B6</f>
        <v>46064</v>
      </c>
      <c r="F6" s="71" t="s">
        <v>333</v>
      </c>
      <c r="G6" s="71" t="s">
        <v>328</v>
      </c>
      <c r="H6" s="66">
        <f>B6</f>
        <v>46064</v>
      </c>
      <c r="I6" s="71" t="s">
        <v>333</v>
      </c>
      <c r="J6" s="71" t="s">
        <v>328</v>
      </c>
      <c r="K6" s="66">
        <f>B6</f>
        <v>46064</v>
      </c>
      <c r="L6" s="71" t="s">
        <v>333</v>
      </c>
      <c r="M6" s="71" t="s">
        <v>328</v>
      </c>
      <c r="N6" s="71" t="s">
        <v>339</v>
      </c>
      <c r="O6" s="71" t="s">
        <v>328</v>
      </c>
    </row>
    <row r="7" spans="1:15" x14ac:dyDescent="0.25">
      <c r="A7" s="100" t="str">
        <f>'Data Vlaue (Cr)'!C2</f>
        <v>360ONE</v>
      </c>
      <c r="B7" s="82">
        <f>VLOOKUP(A7,'Data shares'!$C$2:$CV$214,98,0)</f>
        <v>5879500</v>
      </c>
      <c r="C7" s="82">
        <f>VLOOKUP(A7,'Data shares'!$C$2:$CX$214,100,0)</f>
        <v>349000</v>
      </c>
      <c r="D7" s="141">
        <f>VLOOKUP(A7,'Data shares'!$C$2:$CY$537,101,0)</f>
        <v>6.3100000000000003E-2</v>
      </c>
      <c r="E7" s="86">
        <f>VLOOKUP($A7,'Data shares'!$C:$FA,74)</f>
        <v>2912500</v>
      </c>
      <c r="F7" s="86">
        <f>VLOOKUP($A7,'Data shares'!$C:$FA,76)</f>
        <v>122000</v>
      </c>
      <c r="G7" s="87">
        <f>VLOOKUP(A7,'Data shares'!$C$2:$CA$214,77,0)</f>
        <v>4.3700000000000003E-2</v>
      </c>
      <c r="H7" s="86">
        <f>VLOOKUP($A7,'Data shares'!$C:$FA,90)</f>
        <v>1690500</v>
      </c>
      <c r="I7" s="86">
        <f>VLOOKUP($A7,'Data shares'!$C:$FA,92)</f>
        <v>106000</v>
      </c>
      <c r="J7" s="87">
        <f>VLOOKUP($A7,'Data shares'!$C:$FA,93)</f>
        <v>6.6900000000000001E-2</v>
      </c>
      <c r="K7" s="86">
        <f>VLOOKUP($A7,'Data shares'!$C:$FA,94)</f>
        <v>1276500</v>
      </c>
      <c r="L7" s="86">
        <f>VLOOKUP($A7,'Data shares'!$C:$FA,96)</f>
        <v>121000</v>
      </c>
      <c r="M7" s="87">
        <f>VLOOKUP($A7,'Data shares'!$C:$FA,97)</f>
        <v>0.1047</v>
      </c>
      <c r="N7" s="86">
        <f>VLOOKUP($A7,'Data shares'!$C:$FA,78)</f>
        <v>2781000</v>
      </c>
      <c r="O7" s="87">
        <f>VLOOKUP($A7,'Data shares'!$C:$FA,81)</f>
        <v>3.0200000000000001E-2</v>
      </c>
    </row>
    <row r="8" spans="1:15" x14ac:dyDescent="0.25">
      <c r="A8" s="100" t="str">
        <f>'Data Vlaue (Cr)'!C3</f>
        <v>ABB</v>
      </c>
      <c r="B8" s="82">
        <f>VLOOKUP(A8,'Data shares'!$C$2:$CV$214,98,0)</f>
        <v>4497125</v>
      </c>
      <c r="C8" s="82">
        <f>VLOOKUP(A8,'Data shares'!$C$2:$CX$214,100,0)</f>
        <v>6625</v>
      </c>
      <c r="D8" s="141">
        <f>VLOOKUP(A8,'Data shares'!$C$2:$CY$537,101,0)</f>
        <v>1.5E-3</v>
      </c>
      <c r="E8" s="86">
        <f>VLOOKUP($A8,'Data shares'!$C:$FA,74)</f>
        <v>2228500</v>
      </c>
      <c r="F8" s="86">
        <f>VLOOKUP($A8,'Data shares'!$C:$FA,76)</f>
        <v>-24125</v>
      </c>
      <c r="G8" s="87">
        <f>VLOOKUP(A8,'Data shares'!$C$2:$CA$214,77,0)</f>
        <v>-1.0699999999999999E-2</v>
      </c>
      <c r="H8" s="86">
        <f>VLOOKUP($A8,'Data shares'!$C:$FA,90)</f>
        <v>1306250</v>
      </c>
      <c r="I8" s="86">
        <f>VLOOKUP($A8,'Data shares'!$C:$FA,92)</f>
        <v>22625</v>
      </c>
      <c r="J8" s="87">
        <f>VLOOKUP($A8,'Data shares'!$C:$FA,93)</f>
        <v>1.7600000000000001E-2</v>
      </c>
      <c r="K8" s="86">
        <f>VLOOKUP($A8,'Data shares'!$C:$FA,94)</f>
        <v>962375</v>
      </c>
      <c r="L8" s="86">
        <f>VLOOKUP($A8,'Data shares'!$C:$FA,96)</f>
        <v>8125</v>
      </c>
      <c r="M8" s="87">
        <f>VLOOKUP($A8,'Data shares'!$C:$FA,97)</f>
        <v>8.5000000000000006E-3</v>
      </c>
      <c r="N8" s="86">
        <f>VLOOKUP($A8,'Data shares'!$C:$FA,78)</f>
        <v>1916125</v>
      </c>
      <c r="O8" s="87">
        <f>VLOOKUP($A8,'Data shares'!$C:$FA,81)</f>
        <v>-1.5900000000000001E-2</v>
      </c>
    </row>
    <row r="9" spans="1:15" x14ac:dyDescent="0.25">
      <c r="A9" s="100" t="str">
        <f>'Data Vlaue (Cr)'!C4</f>
        <v>ABCAPITAL</v>
      </c>
      <c r="B9" s="82">
        <f>VLOOKUP(A9,'Data shares'!$C$2:$CV$214,98,0)</f>
        <v>119126800</v>
      </c>
      <c r="C9" s="82">
        <f>VLOOKUP(A9,'Data shares'!$C$2:$CX$214,100,0)</f>
        <v>7241600</v>
      </c>
      <c r="D9" s="141">
        <f>VLOOKUP(A9,'Data shares'!$C$2:$CY$537,101,0)</f>
        <v>6.4699999999999994E-2</v>
      </c>
      <c r="E9" s="86">
        <f>VLOOKUP($A9,'Data shares'!$C:$FA,74)</f>
        <v>83734100</v>
      </c>
      <c r="F9" s="86">
        <f>VLOOKUP($A9,'Data shares'!$C:$FA,76)</f>
        <v>2123500</v>
      </c>
      <c r="G9" s="87">
        <f>VLOOKUP(A9,'Data shares'!$C$2:$CA$214,77,0)</f>
        <v>2.5999999999999999E-2</v>
      </c>
      <c r="H9" s="86">
        <f>VLOOKUP($A9,'Data shares'!$C:$FA,90)</f>
        <v>22186700</v>
      </c>
      <c r="I9" s="86">
        <f>VLOOKUP($A9,'Data shares'!$C:$FA,92)</f>
        <v>5006500</v>
      </c>
      <c r="J9" s="87">
        <f>VLOOKUP($A9,'Data shares'!$C:$FA,93)</f>
        <v>0.29139999999999999</v>
      </c>
      <c r="K9" s="86">
        <f>VLOOKUP($A9,'Data shares'!$C:$FA,94)</f>
        <v>13206000</v>
      </c>
      <c r="L9" s="86">
        <f>VLOOKUP($A9,'Data shares'!$C:$FA,96)</f>
        <v>111600</v>
      </c>
      <c r="M9" s="87">
        <f>VLOOKUP($A9,'Data shares'!$C:$FA,97)</f>
        <v>8.5000000000000006E-3</v>
      </c>
      <c r="N9" s="86">
        <f>VLOOKUP($A9,'Data shares'!$C:$FA,78)</f>
        <v>81657100</v>
      </c>
      <c r="O9" s="87">
        <f>VLOOKUP($A9,'Data shares'!$C:$FA,81)</f>
        <v>2.01E-2</v>
      </c>
    </row>
    <row r="10" spans="1:15" x14ac:dyDescent="0.25">
      <c r="A10" s="100" t="str">
        <f>'Data Vlaue (Cr)'!C5</f>
        <v>ADANIENSOL</v>
      </c>
      <c r="B10" s="82">
        <f>VLOOKUP(A10,'Data shares'!$C$2:$CV$214,98,0)</f>
        <v>28584225</v>
      </c>
      <c r="C10" s="82">
        <f>VLOOKUP(A10,'Data shares'!$C$2:$CX$214,100,0)</f>
        <v>-124200</v>
      </c>
      <c r="D10" s="141">
        <f>VLOOKUP(A10,'Data shares'!$C$2:$CY$537,101,0)</f>
        <v>-4.3E-3</v>
      </c>
      <c r="E10" s="86">
        <f>VLOOKUP($A10,'Data shares'!$C:$FA,74)</f>
        <v>21182175</v>
      </c>
      <c r="F10" s="86">
        <f>VLOOKUP($A10,'Data shares'!$C:$FA,76)</f>
        <v>131625</v>
      </c>
      <c r="G10" s="87">
        <f>VLOOKUP(A10,'Data shares'!$C$2:$CA$214,77,0)</f>
        <v>6.3E-3</v>
      </c>
      <c r="H10" s="86">
        <f>VLOOKUP($A10,'Data shares'!$C:$FA,90)</f>
        <v>4009500</v>
      </c>
      <c r="I10" s="86">
        <f>VLOOKUP($A10,'Data shares'!$C:$FA,92)</f>
        <v>-138375</v>
      </c>
      <c r="J10" s="87">
        <f>VLOOKUP($A10,'Data shares'!$C:$FA,93)</f>
        <v>-3.3399999999999999E-2</v>
      </c>
      <c r="K10" s="86">
        <f>VLOOKUP($A10,'Data shares'!$C:$FA,94)</f>
        <v>3392550</v>
      </c>
      <c r="L10" s="86">
        <f>VLOOKUP($A10,'Data shares'!$C:$FA,96)</f>
        <v>-117450</v>
      </c>
      <c r="M10" s="87">
        <f>VLOOKUP($A10,'Data shares'!$C:$FA,97)</f>
        <v>-3.3500000000000002E-2</v>
      </c>
      <c r="N10" s="86">
        <f>VLOOKUP($A10,'Data shares'!$C:$FA,78)</f>
        <v>20851425</v>
      </c>
      <c r="O10" s="87">
        <f>VLOOKUP($A10,'Data shares'!$C:$FA,81)</f>
        <v>6.0000000000000001E-3</v>
      </c>
    </row>
    <row r="11" spans="1:15" x14ac:dyDescent="0.25">
      <c r="A11" s="100" t="str">
        <f>'Data Vlaue (Cr)'!C6</f>
        <v>ADANIENT</v>
      </c>
      <c r="B11" s="82">
        <f>VLOOKUP(A11,'Data shares'!$C$2:$CV$214,98,0)</f>
        <v>34864161</v>
      </c>
      <c r="C11" s="82">
        <f>VLOOKUP(A11,'Data shares'!$C$2:$CX$214,100,0)</f>
        <v>131634</v>
      </c>
      <c r="D11" s="141">
        <f>VLOOKUP(A11,'Data shares'!$C$2:$CY$537,101,0)</f>
        <v>3.8E-3</v>
      </c>
      <c r="E11" s="86">
        <f>VLOOKUP($A11,'Data shares'!$C:$FA,74)</f>
        <v>18874338</v>
      </c>
      <c r="F11" s="86">
        <f>VLOOKUP($A11,'Data shares'!$C:$FA,76)</f>
        <v>-29355</v>
      </c>
      <c r="G11" s="87">
        <f>VLOOKUP(A11,'Data shares'!$C$2:$CA$214,77,0)</f>
        <v>-1.6000000000000001E-3</v>
      </c>
      <c r="H11" s="86">
        <f>VLOOKUP($A11,'Data shares'!$C:$FA,90)</f>
        <v>8355669</v>
      </c>
      <c r="I11" s="86">
        <f>VLOOKUP($A11,'Data shares'!$C:$FA,92)</f>
        <v>197142</v>
      </c>
      <c r="J11" s="87">
        <f>VLOOKUP($A11,'Data shares'!$C:$FA,93)</f>
        <v>2.4199999999999999E-2</v>
      </c>
      <c r="K11" s="86">
        <f>VLOOKUP($A11,'Data shares'!$C:$FA,94)</f>
        <v>7634154</v>
      </c>
      <c r="L11" s="86">
        <f>VLOOKUP($A11,'Data shares'!$C:$FA,96)</f>
        <v>-36153</v>
      </c>
      <c r="M11" s="87">
        <f>VLOOKUP($A11,'Data shares'!$C:$FA,97)</f>
        <v>-4.7000000000000002E-3</v>
      </c>
      <c r="N11" s="86">
        <f>VLOOKUP($A11,'Data shares'!$C:$FA,78)</f>
        <v>17117364</v>
      </c>
      <c r="O11" s="87">
        <f>VLOOKUP($A11,'Data shares'!$C:$FA,81)</f>
        <v>-2.52E-2</v>
      </c>
    </row>
    <row r="12" spans="1:15" x14ac:dyDescent="0.25">
      <c r="A12" s="100" t="str">
        <f>'Data Vlaue (Cr)'!C7</f>
        <v>ADANIGREEN</v>
      </c>
      <c r="B12" s="82">
        <f>VLOOKUP(A12,'Data shares'!$C$2:$CV$214,98,0)</f>
        <v>40255200</v>
      </c>
      <c r="C12" s="82">
        <f>VLOOKUP(A12,'Data shares'!$C$2:$CX$214,100,0)</f>
        <v>36000</v>
      </c>
      <c r="D12" s="141">
        <f>VLOOKUP(A12,'Data shares'!$C$2:$CY$537,101,0)</f>
        <v>8.9999999999999998E-4</v>
      </c>
      <c r="E12" s="86">
        <f>VLOOKUP($A12,'Data shares'!$C:$FA,74)</f>
        <v>22464000</v>
      </c>
      <c r="F12" s="86">
        <f>VLOOKUP($A12,'Data shares'!$C:$FA,76)</f>
        <v>75600</v>
      </c>
      <c r="G12" s="87">
        <f>VLOOKUP(A12,'Data shares'!$C$2:$CA$214,77,0)</f>
        <v>3.3999999999999998E-3</v>
      </c>
      <c r="H12" s="86">
        <f>VLOOKUP($A12,'Data shares'!$C:$FA,90)</f>
        <v>9574800</v>
      </c>
      <c r="I12" s="86">
        <f>VLOOKUP($A12,'Data shares'!$C:$FA,92)</f>
        <v>40800</v>
      </c>
      <c r="J12" s="87">
        <f>VLOOKUP($A12,'Data shares'!$C:$FA,93)</f>
        <v>4.3E-3</v>
      </c>
      <c r="K12" s="86">
        <f>VLOOKUP($A12,'Data shares'!$C:$FA,94)</f>
        <v>8216400</v>
      </c>
      <c r="L12" s="86">
        <f>VLOOKUP($A12,'Data shares'!$C:$FA,96)</f>
        <v>-80400</v>
      </c>
      <c r="M12" s="87">
        <f>VLOOKUP($A12,'Data shares'!$C:$FA,97)</f>
        <v>-9.7000000000000003E-3</v>
      </c>
      <c r="N12" s="86">
        <f>VLOOKUP($A12,'Data shares'!$C:$FA,78)</f>
        <v>21817200</v>
      </c>
      <c r="O12" s="87">
        <f>VLOOKUP($A12,'Data shares'!$C:$FA,81)</f>
        <v>4.0000000000000001E-3</v>
      </c>
    </row>
    <row r="13" spans="1:15" x14ac:dyDescent="0.25">
      <c r="A13" s="100" t="str">
        <f>'Data Vlaue (Cr)'!C8</f>
        <v>ADANIPORTS</v>
      </c>
      <c r="B13" s="82">
        <f>VLOOKUP(A13,'Data shares'!$C$2:$CV$214,98,0)</f>
        <v>40068150</v>
      </c>
      <c r="C13" s="82">
        <f>VLOOKUP(A13,'Data shares'!$C$2:$CX$214,100,0)</f>
        <v>372400</v>
      </c>
      <c r="D13" s="141">
        <f>VLOOKUP(A13,'Data shares'!$C$2:$CY$537,101,0)</f>
        <v>9.4000000000000004E-3</v>
      </c>
      <c r="E13" s="86">
        <f>VLOOKUP($A13,'Data shares'!$C:$FA,74)</f>
        <v>21816750</v>
      </c>
      <c r="F13" s="86">
        <f>VLOOKUP($A13,'Data shares'!$C:$FA,76)</f>
        <v>127300</v>
      </c>
      <c r="G13" s="87">
        <f>VLOOKUP(A13,'Data shares'!$C$2:$CA$214,77,0)</f>
        <v>5.8999999999999999E-3</v>
      </c>
      <c r="H13" s="86">
        <f>VLOOKUP($A13,'Data shares'!$C:$FA,90)</f>
        <v>9748900</v>
      </c>
      <c r="I13" s="86">
        <f>VLOOKUP($A13,'Data shares'!$C:$FA,92)</f>
        <v>112100</v>
      </c>
      <c r="J13" s="87">
        <f>VLOOKUP($A13,'Data shares'!$C:$FA,93)</f>
        <v>1.1599999999999999E-2</v>
      </c>
      <c r="K13" s="86">
        <f>VLOOKUP($A13,'Data shares'!$C:$FA,94)</f>
        <v>8502500</v>
      </c>
      <c r="L13" s="86">
        <f>VLOOKUP($A13,'Data shares'!$C:$FA,96)</f>
        <v>133000</v>
      </c>
      <c r="M13" s="87">
        <f>VLOOKUP($A13,'Data shares'!$C:$FA,97)</f>
        <v>1.5900000000000001E-2</v>
      </c>
      <c r="N13" s="86">
        <f>VLOOKUP($A13,'Data shares'!$C:$FA,78)</f>
        <v>20872925</v>
      </c>
      <c r="O13" s="87">
        <f>VLOOKUP($A13,'Data shares'!$C:$FA,81)</f>
        <v>4.3E-3</v>
      </c>
    </row>
    <row r="14" spans="1:15" x14ac:dyDescent="0.25">
      <c r="A14" s="100" t="str">
        <f>'Data Vlaue (Cr)'!C9</f>
        <v>ALKEM</v>
      </c>
      <c r="B14" s="82">
        <f>VLOOKUP(A14,'Data shares'!$C$2:$CV$214,98,0)</f>
        <v>1736250</v>
      </c>
      <c r="C14" s="82">
        <f>VLOOKUP(A14,'Data shares'!$C$2:$CX$214,100,0)</f>
        <v>115125</v>
      </c>
      <c r="D14" s="141">
        <f>VLOOKUP(A14,'Data shares'!$C$2:$CY$537,101,0)</f>
        <v>7.0999999999999994E-2</v>
      </c>
      <c r="E14" s="86">
        <f>VLOOKUP($A14,'Data shares'!$C:$FA,74)</f>
        <v>1310625</v>
      </c>
      <c r="F14" s="86">
        <f>VLOOKUP($A14,'Data shares'!$C:$FA,76)</f>
        <v>33750</v>
      </c>
      <c r="G14" s="87">
        <f>VLOOKUP(A14,'Data shares'!$C$2:$CA$214,77,0)</f>
        <v>2.64E-2</v>
      </c>
      <c r="H14" s="86">
        <f>VLOOKUP($A14,'Data shares'!$C:$FA,90)</f>
        <v>242250</v>
      </c>
      <c r="I14" s="86">
        <f>VLOOKUP($A14,'Data shares'!$C:$FA,92)</f>
        <v>68000</v>
      </c>
      <c r="J14" s="87">
        <f>VLOOKUP($A14,'Data shares'!$C:$FA,93)</f>
        <v>0.39019999999999999</v>
      </c>
      <c r="K14" s="86">
        <f>VLOOKUP($A14,'Data shares'!$C:$FA,94)</f>
        <v>183375</v>
      </c>
      <c r="L14" s="86">
        <f>VLOOKUP($A14,'Data shares'!$C:$FA,96)</f>
        <v>13375</v>
      </c>
      <c r="M14" s="87">
        <f>VLOOKUP($A14,'Data shares'!$C:$FA,97)</f>
        <v>7.8700000000000006E-2</v>
      </c>
      <c r="N14" s="86">
        <f>VLOOKUP($A14,'Data shares'!$C:$FA,78)</f>
        <v>1302750</v>
      </c>
      <c r="O14" s="87">
        <f>VLOOKUP($A14,'Data shares'!$C:$FA,81)</f>
        <v>2.58E-2</v>
      </c>
    </row>
    <row r="15" spans="1:15" x14ac:dyDescent="0.25">
      <c r="A15" s="100" t="str">
        <f>'Data Vlaue (Cr)'!C10</f>
        <v>AMBER</v>
      </c>
      <c r="B15" s="82">
        <f>VLOOKUP(A15,'Data shares'!$C$2:$CV$214,98,0)</f>
        <v>3147300</v>
      </c>
      <c r="C15" s="82">
        <f>VLOOKUP(A15,'Data shares'!$C$2:$CX$214,100,0)</f>
        <v>187100</v>
      </c>
      <c r="D15" s="141">
        <f>VLOOKUP(A15,'Data shares'!$C$2:$CY$537,101,0)</f>
        <v>6.3200000000000006E-2</v>
      </c>
      <c r="E15" s="86">
        <f>VLOOKUP($A15,'Data shares'!$C:$FA,74)</f>
        <v>1181000</v>
      </c>
      <c r="F15" s="86">
        <f>VLOOKUP($A15,'Data shares'!$C:$FA,76)</f>
        <v>48700</v>
      </c>
      <c r="G15" s="87">
        <f>VLOOKUP(A15,'Data shares'!$C$2:$CA$214,77,0)</f>
        <v>4.2999999999999997E-2</v>
      </c>
      <c r="H15" s="86">
        <f>VLOOKUP($A15,'Data shares'!$C:$FA,90)</f>
        <v>931000</v>
      </c>
      <c r="I15" s="86">
        <f>VLOOKUP($A15,'Data shares'!$C:$FA,92)</f>
        <v>-77800</v>
      </c>
      <c r="J15" s="87">
        <f>VLOOKUP($A15,'Data shares'!$C:$FA,93)</f>
        <v>-7.7100000000000002E-2</v>
      </c>
      <c r="K15" s="86">
        <f>VLOOKUP($A15,'Data shares'!$C:$FA,94)</f>
        <v>1035300</v>
      </c>
      <c r="L15" s="86">
        <f>VLOOKUP($A15,'Data shares'!$C:$FA,96)</f>
        <v>216200</v>
      </c>
      <c r="M15" s="87">
        <f>VLOOKUP($A15,'Data shares'!$C:$FA,97)</f>
        <v>0.26390000000000002</v>
      </c>
      <c r="N15" s="86">
        <f>VLOOKUP($A15,'Data shares'!$C:$FA,78)</f>
        <v>1058800</v>
      </c>
      <c r="O15" s="87">
        <f>VLOOKUP($A15,'Data shares'!$C:$FA,81)</f>
        <v>3.1300000000000001E-2</v>
      </c>
    </row>
    <row r="16" spans="1:15" x14ac:dyDescent="0.25">
      <c r="A16" s="100" t="str">
        <f>'Data Vlaue (Cr)'!C11</f>
        <v>AMBUJACEM</v>
      </c>
      <c r="B16" s="82">
        <f>VLOOKUP(A16,'Data shares'!$C$2:$CV$214,98,0)</f>
        <v>72381750</v>
      </c>
      <c r="C16" s="82">
        <f>VLOOKUP(A16,'Data shares'!$C$2:$CX$214,100,0)</f>
        <v>82950</v>
      </c>
      <c r="D16" s="141">
        <f>VLOOKUP(A16,'Data shares'!$C$2:$CY$537,101,0)</f>
        <v>1.1000000000000001E-3</v>
      </c>
      <c r="E16" s="86">
        <f>VLOOKUP($A16,'Data shares'!$C:$FA,74)</f>
        <v>48175050</v>
      </c>
      <c r="F16" s="86">
        <f>VLOOKUP($A16,'Data shares'!$C:$FA,76)</f>
        <v>26250</v>
      </c>
      <c r="G16" s="87">
        <f>VLOOKUP(A16,'Data shares'!$C$2:$CA$214,77,0)</f>
        <v>5.0000000000000001E-4</v>
      </c>
      <c r="H16" s="86">
        <f>VLOOKUP($A16,'Data shares'!$C:$FA,90)</f>
        <v>13794900</v>
      </c>
      <c r="I16" s="86">
        <f>VLOOKUP($A16,'Data shares'!$C:$FA,92)</f>
        <v>-1050</v>
      </c>
      <c r="J16" s="87">
        <f>VLOOKUP($A16,'Data shares'!$C:$FA,93)</f>
        <v>-1E-4</v>
      </c>
      <c r="K16" s="86">
        <f>VLOOKUP($A16,'Data shares'!$C:$FA,94)</f>
        <v>10411800</v>
      </c>
      <c r="L16" s="86">
        <f>VLOOKUP($A16,'Data shares'!$C:$FA,96)</f>
        <v>57750</v>
      </c>
      <c r="M16" s="87">
        <f>VLOOKUP($A16,'Data shares'!$C:$FA,97)</f>
        <v>5.5999999999999999E-3</v>
      </c>
      <c r="N16" s="86">
        <f>VLOOKUP($A16,'Data shares'!$C:$FA,78)</f>
        <v>46762800</v>
      </c>
      <c r="O16" s="87">
        <f>VLOOKUP($A16,'Data shares'!$C:$FA,81)</f>
        <v>-1.1999999999999999E-3</v>
      </c>
    </row>
    <row r="17" spans="1:15" x14ac:dyDescent="0.25">
      <c r="A17" s="100" t="str">
        <f>'Data Vlaue (Cr)'!C12</f>
        <v>ANGELONE</v>
      </c>
      <c r="B17" s="82">
        <f>VLOOKUP(A17,'Data shares'!$C$2:$CV$214,98,0)</f>
        <v>7518500</v>
      </c>
      <c r="C17" s="82">
        <f>VLOOKUP(A17,'Data shares'!$C$2:$CX$214,100,0)</f>
        <v>-96750</v>
      </c>
      <c r="D17" s="141">
        <f>VLOOKUP(A17,'Data shares'!$C$2:$CY$537,101,0)</f>
        <v>-1.2699999999999999E-2</v>
      </c>
      <c r="E17" s="86">
        <f>VLOOKUP($A17,'Data shares'!$C:$FA,74)</f>
        <v>2925000</v>
      </c>
      <c r="F17" s="86">
        <f>VLOOKUP($A17,'Data shares'!$C:$FA,76)</f>
        <v>44750</v>
      </c>
      <c r="G17" s="87">
        <f>VLOOKUP(A17,'Data shares'!$C$2:$CA$214,77,0)</f>
        <v>1.55E-2</v>
      </c>
      <c r="H17" s="86">
        <f>VLOOKUP($A17,'Data shares'!$C:$FA,90)</f>
        <v>2413500</v>
      </c>
      <c r="I17" s="86">
        <f>VLOOKUP($A17,'Data shares'!$C:$FA,92)</f>
        <v>-108000</v>
      </c>
      <c r="J17" s="87">
        <f>VLOOKUP($A17,'Data shares'!$C:$FA,93)</f>
        <v>-4.2799999999999998E-2</v>
      </c>
      <c r="K17" s="86">
        <f>VLOOKUP($A17,'Data shares'!$C:$FA,94)</f>
        <v>2180000</v>
      </c>
      <c r="L17" s="86">
        <f>VLOOKUP($A17,'Data shares'!$C:$FA,96)</f>
        <v>-33500</v>
      </c>
      <c r="M17" s="87">
        <f>VLOOKUP($A17,'Data shares'!$C:$FA,97)</f>
        <v>-1.5100000000000001E-2</v>
      </c>
      <c r="N17" s="86">
        <f>VLOOKUP($A17,'Data shares'!$C:$FA,78)</f>
        <v>2759000</v>
      </c>
      <c r="O17" s="87">
        <f>VLOOKUP($A17,'Data shares'!$C:$FA,81)</f>
        <v>1.38E-2</v>
      </c>
    </row>
    <row r="18" spans="1:15" x14ac:dyDescent="0.25">
      <c r="A18" s="100" t="str">
        <f>'Data Vlaue (Cr)'!C13</f>
        <v>APLAPOLLO</v>
      </c>
      <c r="B18" s="82">
        <f>VLOOKUP(A18,'Data shares'!$C$2:$CV$214,98,0)</f>
        <v>11156600</v>
      </c>
      <c r="C18" s="82">
        <f>VLOOKUP(A18,'Data shares'!$C$2:$CX$214,100,0)</f>
        <v>5600</v>
      </c>
      <c r="D18" s="141">
        <f>VLOOKUP(A18,'Data shares'!$C$2:$CY$537,101,0)</f>
        <v>5.0000000000000001E-4</v>
      </c>
      <c r="E18" s="86">
        <f>VLOOKUP($A18,'Data shares'!$C:$FA,74)</f>
        <v>6750450</v>
      </c>
      <c r="F18" s="86">
        <f>VLOOKUP($A18,'Data shares'!$C:$FA,76)</f>
        <v>-248850</v>
      </c>
      <c r="G18" s="87">
        <f>VLOOKUP(A18,'Data shares'!$C$2:$CA$214,77,0)</f>
        <v>-3.56E-2</v>
      </c>
      <c r="H18" s="86">
        <f>VLOOKUP($A18,'Data shares'!$C:$FA,90)</f>
        <v>1720600</v>
      </c>
      <c r="I18" s="86">
        <f>VLOOKUP($A18,'Data shares'!$C:$FA,92)</f>
        <v>42000</v>
      </c>
      <c r="J18" s="87">
        <f>VLOOKUP($A18,'Data shares'!$C:$FA,93)</f>
        <v>2.5000000000000001E-2</v>
      </c>
      <c r="K18" s="86">
        <f>VLOOKUP($A18,'Data shares'!$C:$FA,94)</f>
        <v>2685550</v>
      </c>
      <c r="L18" s="86">
        <f>VLOOKUP($A18,'Data shares'!$C:$FA,96)</f>
        <v>212450</v>
      </c>
      <c r="M18" s="87">
        <f>VLOOKUP($A18,'Data shares'!$C:$FA,97)</f>
        <v>8.5900000000000004E-2</v>
      </c>
      <c r="N18" s="86">
        <f>VLOOKUP($A18,'Data shares'!$C:$FA,78)</f>
        <v>6627950</v>
      </c>
      <c r="O18" s="87">
        <f>VLOOKUP($A18,'Data shares'!$C:$FA,81)</f>
        <v>-3.7900000000000003E-2</v>
      </c>
    </row>
    <row r="19" spans="1:15" x14ac:dyDescent="0.25">
      <c r="A19" s="100" t="str">
        <f>'Data Vlaue (Cr)'!C14</f>
        <v>APOLLOHOSP</v>
      </c>
      <c r="B19" s="82">
        <f>VLOOKUP(A19,'Data shares'!$C$2:$CV$214,98,0)</f>
        <v>7698500</v>
      </c>
      <c r="C19" s="82">
        <f>VLOOKUP(A19,'Data shares'!$C$2:$CX$214,100,0)</f>
        <v>888875</v>
      </c>
      <c r="D19" s="141">
        <f>VLOOKUP(A19,'Data shares'!$C$2:$CY$537,101,0)</f>
        <v>0.1305</v>
      </c>
      <c r="E19" s="86">
        <f>VLOOKUP($A19,'Data shares'!$C:$FA,74)</f>
        <v>3595625</v>
      </c>
      <c r="F19" s="86">
        <f>VLOOKUP($A19,'Data shares'!$C:$FA,76)</f>
        <v>61875</v>
      </c>
      <c r="G19" s="87">
        <f>VLOOKUP(A19,'Data shares'!$C$2:$CA$214,77,0)</f>
        <v>1.7500000000000002E-2</v>
      </c>
      <c r="H19" s="86">
        <f>VLOOKUP($A19,'Data shares'!$C:$FA,90)</f>
        <v>2346375</v>
      </c>
      <c r="I19" s="86">
        <f>VLOOKUP($A19,'Data shares'!$C:$FA,92)</f>
        <v>409750</v>
      </c>
      <c r="J19" s="87">
        <f>VLOOKUP($A19,'Data shares'!$C:$FA,93)</f>
        <v>0.21160000000000001</v>
      </c>
      <c r="K19" s="86">
        <f>VLOOKUP($A19,'Data shares'!$C:$FA,94)</f>
        <v>1756500</v>
      </c>
      <c r="L19" s="86">
        <f>VLOOKUP($A19,'Data shares'!$C:$FA,96)</f>
        <v>417250</v>
      </c>
      <c r="M19" s="87">
        <f>VLOOKUP($A19,'Data shares'!$C:$FA,97)</f>
        <v>0.31159999999999999</v>
      </c>
      <c r="N19" s="86">
        <f>VLOOKUP($A19,'Data shares'!$C:$FA,78)</f>
        <v>3516750</v>
      </c>
      <c r="O19" s="87">
        <f>VLOOKUP($A19,'Data shares'!$C:$FA,81)</f>
        <v>1.4800000000000001E-2</v>
      </c>
    </row>
    <row r="20" spans="1:15" x14ac:dyDescent="0.25">
      <c r="A20" s="100" t="str">
        <f>'Data Vlaue (Cr)'!C15</f>
        <v>ASHOKLEY</v>
      </c>
      <c r="B20" s="82">
        <f>VLOOKUP(A20,'Data shares'!$C$2:$CV$214,98,0)</f>
        <v>325710000</v>
      </c>
      <c r="C20" s="82">
        <f>VLOOKUP(A20,'Data shares'!$C$2:$CX$214,100,0)</f>
        <v>62005000</v>
      </c>
      <c r="D20" s="141">
        <f>VLOOKUP(A20,'Data shares'!$C$2:$CY$537,101,0)</f>
        <v>0.2351</v>
      </c>
      <c r="E20" s="86">
        <f>VLOOKUP($A20,'Data shares'!$C:$FA,74)</f>
        <v>173925000</v>
      </c>
      <c r="F20" s="86">
        <f>VLOOKUP($A20,'Data shares'!$C:$FA,76)</f>
        <v>5850000</v>
      </c>
      <c r="G20" s="87">
        <f>VLOOKUP(A20,'Data shares'!$C$2:$CA$214,77,0)</f>
        <v>3.4799999999999998E-2</v>
      </c>
      <c r="H20" s="86">
        <f>VLOOKUP($A20,'Data shares'!$C:$FA,90)</f>
        <v>93105000</v>
      </c>
      <c r="I20" s="86">
        <f>VLOOKUP($A20,'Data shares'!$C:$FA,92)</f>
        <v>37120000</v>
      </c>
      <c r="J20" s="87">
        <f>VLOOKUP($A20,'Data shares'!$C:$FA,93)</f>
        <v>0.66300000000000003</v>
      </c>
      <c r="K20" s="86">
        <f>VLOOKUP($A20,'Data shares'!$C:$FA,94)</f>
        <v>58680000</v>
      </c>
      <c r="L20" s="86">
        <f>VLOOKUP($A20,'Data shares'!$C:$FA,96)</f>
        <v>19035000</v>
      </c>
      <c r="M20" s="87">
        <f>VLOOKUP($A20,'Data shares'!$C:$FA,97)</f>
        <v>0.48010000000000003</v>
      </c>
      <c r="N20" s="86">
        <f>VLOOKUP($A20,'Data shares'!$C:$FA,78)</f>
        <v>158160000</v>
      </c>
      <c r="O20" s="87">
        <f>VLOOKUP($A20,'Data shares'!$C:$FA,81)</f>
        <v>1.72E-2</v>
      </c>
    </row>
    <row r="21" spans="1:15" x14ac:dyDescent="0.25">
      <c r="A21" s="100" t="str">
        <f>'Data Vlaue (Cr)'!C16</f>
        <v>ASIANPAINT</v>
      </c>
      <c r="B21" s="82">
        <f>VLOOKUP(A21,'Data shares'!$C$2:$CV$214,98,0)</f>
        <v>29619750</v>
      </c>
      <c r="C21" s="82">
        <f>VLOOKUP(A21,'Data shares'!$C$2:$CX$214,100,0)</f>
        <v>1155250</v>
      </c>
      <c r="D21" s="141">
        <f>VLOOKUP(A21,'Data shares'!$C$2:$CY$537,101,0)</f>
        <v>4.0599999999999997E-2</v>
      </c>
      <c r="E21" s="86">
        <f>VLOOKUP($A21,'Data shares'!$C:$FA,74)</f>
        <v>14963500</v>
      </c>
      <c r="F21" s="86">
        <f>VLOOKUP($A21,'Data shares'!$C:$FA,76)</f>
        <v>788500</v>
      </c>
      <c r="G21" s="87">
        <f>VLOOKUP(A21,'Data shares'!$C$2:$CA$214,77,0)</f>
        <v>5.5599999999999997E-2</v>
      </c>
      <c r="H21" s="86">
        <f>VLOOKUP($A21,'Data shares'!$C:$FA,90)</f>
        <v>9862500</v>
      </c>
      <c r="I21" s="86">
        <f>VLOOKUP($A21,'Data shares'!$C:$FA,92)</f>
        <v>268000</v>
      </c>
      <c r="J21" s="87">
        <f>VLOOKUP($A21,'Data shares'!$C:$FA,93)</f>
        <v>2.7900000000000001E-2</v>
      </c>
      <c r="K21" s="86">
        <f>VLOOKUP($A21,'Data shares'!$C:$FA,94)</f>
        <v>4793750</v>
      </c>
      <c r="L21" s="86">
        <f>VLOOKUP($A21,'Data shares'!$C:$FA,96)</f>
        <v>98750</v>
      </c>
      <c r="M21" s="87">
        <f>VLOOKUP($A21,'Data shares'!$C:$FA,97)</f>
        <v>2.1000000000000001E-2</v>
      </c>
      <c r="N21" s="86">
        <f>VLOOKUP($A21,'Data shares'!$C:$FA,78)</f>
        <v>14199250</v>
      </c>
      <c r="O21" s="87">
        <f>VLOOKUP($A21,'Data shares'!$C:$FA,81)</f>
        <v>4.6899999999999997E-2</v>
      </c>
    </row>
    <row r="22" spans="1:15" x14ac:dyDescent="0.25">
      <c r="A22" s="100" t="str">
        <f>'Data Vlaue (Cr)'!C17</f>
        <v>ASTRAL</v>
      </c>
      <c r="B22" s="82">
        <f>VLOOKUP(A22,'Data shares'!$C$2:$CV$214,98,0)</f>
        <v>14519275</v>
      </c>
      <c r="C22" s="82">
        <f>VLOOKUP(A22,'Data shares'!$C$2:$CX$214,100,0)</f>
        <v>660875</v>
      </c>
      <c r="D22" s="141">
        <f>VLOOKUP(A22,'Data shares'!$C$2:$CY$537,101,0)</f>
        <v>4.7699999999999999E-2</v>
      </c>
      <c r="E22" s="86">
        <f>VLOOKUP($A22,'Data shares'!$C:$FA,74)</f>
        <v>8906725</v>
      </c>
      <c r="F22" s="86">
        <f>VLOOKUP($A22,'Data shares'!$C:$FA,76)</f>
        <v>259250</v>
      </c>
      <c r="G22" s="87">
        <f>VLOOKUP(A22,'Data shares'!$C$2:$CA$214,77,0)</f>
        <v>0.03</v>
      </c>
      <c r="H22" s="86">
        <f>VLOOKUP($A22,'Data shares'!$C:$FA,90)</f>
        <v>3579350</v>
      </c>
      <c r="I22" s="86">
        <f>VLOOKUP($A22,'Data shares'!$C:$FA,92)</f>
        <v>143225</v>
      </c>
      <c r="J22" s="87">
        <f>VLOOKUP($A22,'Data shares'!$C:$FA,93)</f>
        <v>4.1700000000000001E-2</v>
      </c>
      <c r="K22" s="86">
        <f>VLOOKUP($A22,'Data shares'!$C:$FA,94)</f>
        <v>2033200</v>
      </c>
      <c r="L22" s="86">
        <f>VLOOKUP($A22,'Data shares'!$C:$FA,96)</f>
        <v>258400</v>
      </c>
      <c r="M22" s="87">
        <f>VLOOKUP($A22,'Data shares'!$C:$FA,97)</f>
        <v>0.14560000000000001</v>
      </c>
      <c r="N22" s="86">
        <f>VLOOKUP($A22,'Data shares'!$C:$FA,78)</f>
        <v>8202075</v>
      </c>
      <c r="O22" s="87">
        <f>VLOOKUP($A22,'Data shares'!$C:$FA,81)</f>
        <v>1.9E-2</v>
      </c>
    </row>
    <row r="23" spans="1:15" x14ac:dyDescent="0.25">
      <c r="A23" s="100" t="str">
        <f>'Data Vlaue (Cr)'!C18</f>
        <v>AUBANK</v>
      </c>
      <c r="B23" s="82">
        <f>VLOOKUP(A23,'Data shares'!$C$2:$CV$214,98,0)</f>
        <v>30874000</v>
      </c>
      <c r="C23" s="82">
        <f>VLOOKUP(A23,'Data shares'!$C$2:$CX$214,100,0)</f>
        <v>314000</v>
      </c>
      <c r="D23" s="141">
        <f>VLOOKUP(A23,'Data shares'!$C$2:$CY$537,101,0)</f>
        <v>1.03E-2</v>
      </c>
      <c r="E23" s="86">
        <f>VLOOKUP($A23,'Data shares'!$C:$FA,74)</f>
        <v>19322000</v>
      </c>
      <c r="F23" s="86">
        <f>VLOOKUP($A23,'Data shares'!$C:$FA,76)</f>
        <v>-146000</v>
      </c>
      <c r="G23" s="87">
        <f>VLOOKUP(A23,'Data shares'!$C$2:$CA$214,77,0)</f>
        <v>-7.4999999999999997E-3</v>
      </c>
      <c r="H23" s="86">
        <f>VLOOKUP($A23,'Data shares'!$C:$FA,90)</f>
        <v>6618000</v>
      </c>
      <c r="I23" s="86">
        <f>VLOOKUP($A23,'Data shares'!$C:$FA,92)</f>
        <v>452000</v>
      </c>
      <c r="J23" s="87">
        <f>VLOOKUP($A23,'Data shares'!$C:$FA,93)</f>
        <v>7.3300000000000004E-2</v>
      </c>
      <c r="K23" s="86">
        <f>VLOOKUP($A23,'Data shares'!$C:$FA,94)</f>
        <v>4934000</v>
      </c>
      <c r="L23" s="86">
        <f>VLOOKUP($A23,'Data shares'!$C:$FA,96)</f>
        <v>8000</v>
      </c>
      <c r="M23" s="87">
        <f>VLOOKUP($A23,'Data shares'!$C:$FA,97)</f>
        <v>1.6000000000000001E-3</v>
      </c>
      <c r="N23" s="86">
        <f>VLOOKUP($A23,'Data shares'!$C:$FA,78)</f>
        <v>18629000</v>
      </c>
      <c r="O23" s="87">
        <f>VLOOKUP($A23,'Data shares'!$C:$FA,81)</f>
        <v>-1.2200000000000001E-2</v>
      </c>
    </row>
    <row r="24" spans="1:15" x14ac:dyDescent="0.25">
      <c r="A24" s="100" t="str">
        <f>'Data Vlaue (Cr)'!C19</f>
        <v>AUROPHARMA</v>
      </c>
      <c r="B24" s="82">
        <f>VLOOKUP(A24,'Data shares'!$C$2:$CV$214,98,0)</f>
        <v>38993900</v>
      </c>
      <c r="C24" s="82">
        <f>VLOOKUP(A24,'Data shares'!$C$2:$CX$214,100,0)</f>
        <v>-303050</v>
      </c>
      <c r="D24" s="141">
        <f>VLOOKUP(A24,'Data shares'!$C$2:$CY$537,101,0)</f>
        <v>-7.7000000000000002E-3</v>
      </c>
      <c r="E24" s="86">
        <f>VLOOKUP($A24,'Data shares'!$C:$FA,74)</f>
        <v>21616650</v>
      </c>
      <c r="F24" s="86">
        <f>VLOOKUP($A24,'Data shares'!$C:$FA,76)</f>
        <v>206800</v>
      </c>
      <c r="G24" s="87">
        <f>VLOOKUP(A24,'Data shares'!$C$2:$CA$214,77,0)</f>
        <v>9.7000000000000003E-3</v>
      </c>
      <c r="H24" s="86">
        <f>VLOOKUP($A24,'Data shares'!$C:$FA,90)</f>
        <v>10623250</v>
      </c>
      <c r="I24" s="86">
        <f>VLOOKUP($A24,'Data shares'!$C:$FA,92)</f>
        <v>-924550</v>
      </c>
      <c r="J24" s="87">
        <f>VLOOKUP($A24,'Data shares'!$C:$FA,93)</f>
        <v>-8.0100000000000005E-2</v>
      </c>
      <c r="K24" s="86">
        <f>VLOOKUP($A24,'Data shares'!$C:$FA,94)</f>
        <v>6754000</v>
      </c>
      <c r="L24" s="86">
        <f>VLOOKUP($A24,'Data shares'!$C:$FA,96)</f>
        <v>414700</v>
      </c>
      <c r="M24" s="87">
        <f>VLOOKUP($A24,'Data shares'!$C:$FA,97)</f>
        <v>6.54E-2</v>
      </c>
      <c r="N24" s="86">
        <f>VLOOKUP($A24,'Data shares'!$C:$FA,78)</f>
        <v>20706400</v>
      </c>
      <c r="O24" s="87">
        <f>VLOOKUP($A24,'Data shares'!$C:$FA,81)</f>
        <v>9.4999999999999998E-3</v>
      </c>
    </row>
    <row r="25" spans="1:15" x14ac:dyDescent="0.25">
      <c r="A25" s="100" t="str">
        <f>'Data Vlaue (Cr)'!C20</f>
        <v>AXISBANK</v>
      </c>
      <c r="B25" s="82">
        <f>VLOOKUP(A25,'Data shares'!$C$2:$CV$214,98,0)</f>
        <v>110110000</v>
      </c>
      <c r="C25" s="82">
        <f>VLOOKUP(A25,'Data shares'!$C$2:$CX$214,100,0)</f>
        <v>-114375</v>
      </c>
      <c r="D25" s="141">
        <f>VLOOKUP(A25,'Data shares'!$C$2:$CY$537,101,0)</f>
        <v>-1E-3</v>
      </c>
      <c r="E25" s="86">
        <f>VLOOKUP($A25,'Data shares'!$C:$FA,74)</f>
        <v>67861875</v>
      </c>
      <c r="F25" s="86">
        <f>VLOOKUP($A25,'Data shares'!$C:$FA,76)</f>
        <v>-655000</v>
      </c>
      <c r="G25" s="87">
        <f>VLOOKUP(A25,'Data shares'!$C$2:$CA$214,77,0)</f>
        <v>-9.5999999999999992E-3</v>
      </c>
      <c r="H25" s="86">
        <f>VLOOKUP($A25,'Data shares'!$C:$FA,90)</f>
        <v>28076875</v>
      </c>
      <c r="I25" s="86">
        <f>VLOOKUP($A25,'Data shares'!$C:$FA,92)</f>
        <v>850625</v>
      </c>
      <c r="J25" s="87">
        <f>VLOOKUP($A25,'Data shares'!$C:$FA,93)</f>
        <v>3.1199999999999999E-2</v>
      </c>
      <c r="K25" s="86">
        <f>VLOOKUP($A25,'Data shares'!$C:$FA,94)</f>
        <v>14171250</v>
      </c>
      <c r="L25" s="86">
        <f>VLOOKUP($A25,'Data shares'!$C:$FA,96)</f>
        <v>-310000</v>
      </c>
      <c r="M25" s="87">
        <f>VLOOKUP($A25,'Data shares'!$C:$FA,97)</f>
        <v>-2.1399999999999999E-2</v>
      </c>
      <c r="N25" s="86">
        <f>VLOOKUP($A25,'Data shares'!$C:$FA,78)</f>
        <v>63886875</v>
      </c>
      <c r="O25" s="87">
        <f>VLOOKUP($A25,'Data shares'!$C:$FA,81)</f>
        <v>-1.04E-2</v>
      </c>
    </row>
    <row r="26" spans="1:15" x14ac:dyDescent="0.25">
      <c r="A26" s="100" t="str">
        <f>'Data Vlaue (Cr)'!C21</f>
        <v>BAJAJ-AUTO</v>
      </c>
      <c r="B26" s="82">
        <f>VLOOKUP(A26,'Data shares'!$C$2:$CV$214,98,0)</f>
        <v>5519175</v>
      </c>
      <c r="C26" s="82">
        <f>VLOOKUP(A26,'Data shares'!$C$2:$CX$214,100,0)</f>
        <v>138525</v>
      </c>
      <c r="D26" s="141">
        <f>VLOOKUP(A26,'Data shares'!$C$2:$CY$537,101,0)</f>
        <v>2.5700000000000001E-2</v>
      </c>
      <c r="E26" s="86">
        <f>VLOOKUP($A26,'Data shares'!$C:$FA,74)</f>
        <v>3081675</v>
      </c>
      <c r="F26" s="86">
        <f>VLOOKUP($A26,'Data shares'!$C:$FA,76)</f>
        <v>5025</v>
      </c>
      <c r="G26" s="87">
        <f>VLOOKUP(A26,'Data shares'!$C$2:$CA$214,77,0)</f>
        <v>1.6000000000000001E-3</v>
      </c>
      <c r="H26" s="86">
        <f>VLOOKUP($A26,'Data shares'!$C:$FA,90)</f>
        <v>1435650</v>
      </c>
      <c r="I26" s="86">
        <f>VLOOKUP($A26,'Data shares'!$C:$FA,92)</f>
        <v>65925</v>
      </c>
      <c r="J26" s="87">
        <f>VLOOKUP($A26,'Data shares'!$C:$FA,93)</f>
        <v>4.8099999999999997E-2</v>
      </c>
      <c r="K26" s="86">
        <f>VLOOKUP($A26,'Data shares'!$C:$FA,94)</f>
        <v>1001850</v>
      </c>
      <c r="L26" s="86">
        <f>VLOOKUP($A26,'Data shares'!$C:$FA,96)</f>
        <v>67575</v>
      </c>
      <c r="M26" s="87">
        <f>VLOOKUP($A26,'Data shares'!$C:$FA,97)</f>
        <v>7.2300000000000003E-2</v>
      </c>
      <c r="N26" s="86">
        <f>VLOOKUP($A26,'Data shares'!$C:$FA,78)</f>
        <v>2961450</v>
      </c>
      <c r="O26" s="87">
        <f>VLOOKUP($A26,'Data shares'!$C:$FA,81)</f>
        <v>-5.4999999999999997E-3</v>
      </c>
    </row>
    <row r="27" spans="1:15" x14ac:dyDescent="0.25">
      <c r="A27" s="100" t="str">
        <f>'Data Vlaue (Cr)'!C22</f>
        <v>BAJAJFINSV</v>
      </c>
      <c r="B27" s="82">
        <f>VLOOKUP(A27,'Data shares'!$C$2:$CV$214,98,0)</f>
        <v>22548250</v>
      </c>
      <c r="C27" s="82">
        <f>VLOOKUP(A27,'Data shares'!$C$2:$CX$214,100,0)</f>
        <v>-43500</v>
      </c>
      <c r="D27" s="141">
        <f>VLOOKUP(A27,'Data shares'!$C$2:$CY$537,101,0)</f>
        <v>-1.9E-3</v>
      </c>
      <c r="E27" s="86">
        <f>VLOOKUP($A27,'Data shares'!$C:$FA,74)</f>
        <v>12790500</v>
      </c>
      <c r="F27" s="86">
        <f>VLOOKUP($A27,'Data shares'!$C:$FA,76)</f>
        <v>-76500</v>
      </c>
      <c r="G27" s="87">
        <f>VLOOKUP(A27,'Data shares'!$C$2:$CA$214,77,0)</f>
        <v>-5.8999999999999999E-3</v>
      </c>
      <c r="H27" s="86">
        <f>VLOOKUP($A27,'Data shares'!$C:$FA,90)</f>
        <v>5875500</v>
      </c>
      <c r="I27" s="86">
        <f>VLOOKUP($A27,'Data shares'!$C:$FA,92)</f>
        <v>59250</v>
      </c>
      <c r="J27" s="87">
        <f>VLOOKUP($A27,'Data shares'!$C:$FA,93)</f>
        <v>1.0200000000000001E-2</v>
      </c>
      <c r="K27" s="86">
        <f>VLOOKUP($A27,'Data shares'!$C:$FA,94)</f>
        <v>3882250</v>
      </c>
      <c r="L27" s="86">
        <f>VLOOKUP($A27,'Data shares'!$C:$FA,96)</f>
        <v>-26250</v>
      </c>
      <c r="M27" s="87">
        <f>VLOOKUP($A27,'Data shares'!$C:$FA,97)</f>
        <v>-6.7000000000000002E-3</v>
      </c>
      <c r="N27" s="86">
        <f>VLOOKUP($A27,'Data shares'!$C:$FA,78)</f>
        <v>12423750</v>
      </c>
      <c r="O27" s="87">
        <f>VLOOKUP($A27,'Data shares'!$C:$FA,81)</f>
        <v>-7.7000000000000002E-3</v>
      </c>
    </row>
    <row r="28" spans="1:15" x14ac:dyDescent="0.25">
      <c r="A28" s="100" t="str">
        <f>'Data Vlaue (Cr)'!C23</f>
        <v>BAJAJHLDNG</v>
      </c>
      <c r="B28" s="82">
        <f>VLOOKUP(A28,'Data shares'!$C$2:$CV$214,98,0)</f>
        <v>438250</v>
      </c>
      <c r="C28" s="82">
        <f>VLOOKUP(A28,'Data shares'!$C$2:$CX$214,100,0)</f>
        <v>-400</v>
      </c>
      <c r="D28" s="141">
        <f>VLOOKUP(A28,'Data shares'!$C$2:$CY$537,101,0)</f>
        <v>-8.9999999999999998E-4</v>
      </c>
      <c r="E28" s="86">
        <f>VLOOKUP($A28,'Data shares'!$C:$FA,74)</f>
        <v>212950</v>
      </c>
      <c r="F28" s="86">
        <f>VLOOKUP($A28,'Data shares'!$C:$FA,76)</f>
        <v>-450</v>
      </c>
      <c r="G28" s="87">
        <f>VLOOKUP(A28,'Data shares'!$C$2:$CA$214,77,0)</f>
        <v>-2.0999999999999999E-3</v>
      </c>
      <c r="H28" s="86">
        <f>VLOOKUP($A28,'Data shares'!$C:$FA,90)</f>
        <v>161800</v>
      </c>
      <c r="I28" s="86">
        <f>VLOOKUP($A28,'Data shares'!$C:$FA,92)</f>
        <v>200</v>
      </c>
      <c r="J28" s="87">
        <f>VLOOKUP($A28,'Data shares'!$C:$FA,93)</f>
        <v>1.1999999999999999E-3</v>
      </c>
      <c r="K28" s="86">
        <f>VLOOKUP($A28,'Data shares'!$C:$FA,94)</f>
        <v>63500</v>
      </c>
      <c r="L28" s="86">
        <f>VLOOKUP($A28,'Data shares'!$C:$FA,96)</f>
        <v>-150</v>
      </c>
      <c r="M28" s="87">
        <f>VLOOKUP($A28,'Data shares'!$C:$FA,97)</f>
        <v>-2.3999999999999998E-3</v>
      </c>
      <c r="N28" s="86">
        <f>VLOOKUP($A28,'Data shares'!$C:$FA,78)</f>
        <v>204100</v>
      </c>
      <c r="O28" s="87">
        <f>VLOOKUP($A28,'Data shares'!$C:$FA,81)</f>
        <v>-4.4000000000000003E-3</v>
      </c>
    </row>
    <row r="29" spans="1:15" x14ac:dyDescent="0.25">
      <c r="A29" s="100" t="str">
        <f>'Data Vlaue (Cr)'!C24</f>
        <v>BAJFINANCE</v>
      </c>
      <c r="B29" s="82">
        <f>VLOOKUP(A29,'Data shares'!$C$2:$CV$214,98,0)</f>
        <v>123766500</v>
      </c>
      <c r="C29" s="82">
        <f>VLOOKUP(A29,'Data shares'!$C$2:$CX$214,100,0)</f>
        <v>-1348500</v>
      </c>
      <c r="D29" s="141">
        <f>VLOOKUP(A29,'Data shares'!$C$2:$CY$537,101,0)</f>
        <v>-1.0800000000000001E-2</v>
      </c>
      <c r="E29" s="86">
        <f>VLOOKUP($A29,'Data shares'!$C:$FA,74)</f>
        <v>87073500</v>
      </c>
      <c r="F29" s="86">
        <f>VLOOKUP($A29,'Data shares'!$C:$FA,76)</f>
        <v>-212250</v>
      </c>
      <c r="G29" s="87">
        <f>VLOOKUP(A29,'Data shares'!$C$2:$CA$214,77,0)</f>
        <v>-2.3999999999999998E-3</v>
      </c>
      <c r="H29" s="86">
        <f>VLOOKUP($A29,'Data shares'!$C:$FA,90)</f>
        <v>18806250</v>
      </c>
      <c r="I29" s="86">
        <f>VLOOKUP($A29,'Data shares'!$C:$FA,92)</f>
        <v>-423750</v>
      </c>
      <c r="J29" s="87">
        <f>VLOOKUP($A29,'Data shares'!$C:$FA,93)</f>
        <v>-2.1999999999999999E-2</v>
      </c>
      <c r="K29" s="86">
        <f>VLOOKUP($A29,'Data shares'!$C:$FA,94)</f>
        <v>17886750</v>
      </c>
      <c r="L29" s="86">
        <f>VLOOKUP($A29,'Data shares'!$C:$FA,96)</f>
        <v>-712500</v>
      </c>
      <c r="M29" s="87">
        <f>VLOOKUP($A29,'Data shares'!$C:$FA,97)</f>
        <v>-3.8300000000000001E-2</v>
      </c>
      <c r="N29" s="86">
        <f>VLOOKUP($A29,'Data shares'!$C:$FA,78)</f>
        <v>81879000</v>
      </c>
      <c r="O29" s="87">
        <f>VLOOKUP($A29,'Data shares'!$C:$FA,81)</f>
        <v>-4.5999999999999999E-3</v>
      </c>
    </row>
    <row r="30" spans="1:15" x14ac:dyDescent="0.25">
      <c r="A30" s="100" t="str">
        <f>'Data Vlaue (Cr)'!C25</f>
        <v>BANDHANBNK</v>
      </c>
      <c r="B30" s="82">
        <f>VLOOKUP(A30,'Data shares'!$C$2:$CV$214,98,0)</f>
        <v>147517200</v>
      </c>
      <c r="C30" s="82">
        <f>VLOOKUP(A30,'Data shares'!$C$2:$CX$214,100,0)</f>
        <v>-1954800</v>
      </c>
      <c r="D30" s="141">
        <f>VLOOKUP(A30,'Data shares'!$C$2:$CY$537,101,0)</f>
        <v>-1.3100000000000001E-2</v>
      </c>
      <c r="E30" s="86">
        <f>VLOOKUP($A30,'Data shares'!$C:$FA,74)</f>
        <v>98636400</v>
      </c>
      <c r="F30" s="86">
        <f>VLOOKUP($A30,'Data shares'!$C:$FA,76)</f>
        <v>-3135600</v>
      </c>
      <c r="G30" s="87">
        <f>VLOOKUP(A30,'Data shares'!$C$2:$CA$214,77,0)</f>
        <v>-3.0800000000000001E-2</v>
      </c>
      <c r="H30" s="86">
        <f>VLOOKUP($A30,'Data shares'!$C:$FA,90)</f>
        <v>25790400</v>
      </c>
      <c r="I30" s="86">
        <f>VLOOKUP($A30,'Data shares'!$C:$FA,92)</f>
        <v>162000</v>
      </c>
      <c r="J30" s="87">
        <f>VLOOKUP($A30,'Data shares'!$C:$FA,93)</f>
        <v>6.3E-3</v>
      </c>
      <c r="K30" s="86">
        <f>VLOOKUP($A30,'Data shares'!$C:$FA,94)</f>
        <v>23090400</v>
      </c>
      <c r="L30" s="86">
        <f>VLOOKUP($A30,'Data shares'!$C:$FA,96)</f>
        <v>1018800</v>
      </c>
      <c r="M30" s="87">
        <f>VLOOKUP($A30,'Data shares'!$C:$FA,97)</f>
        <v>4.6199999999999998E-2</v>
      </c>
      <c r="N30" s="86">
        <f>VLOOKUP($A30,'Data shares'!$C:$FA,78)</f>
        <v>92235600</v>
      </c>
      <c r="O30" s="87">
        <f>VLOOKUP($A30,'Data shares'!$C:$FA,81)</f>
        <v>-3.78E-2</v>
      </c>
    </row>
    <row r="31" spans="1:15" x14ac:dyDescent="0.25">
      <c r="A31" s="100" t="str">
        <f>'Data Vlaue (Cr)'!C26</f>
        <v>BANKBARODA</v>
      </c>
      <c r="B31" s="82">
        <f>VLOOKUP(A31,'Data shares'!$C$2:$CV$214,98,0)</f>
        <v>184181400</v>
      </c>
      <c r="C31" s="82">
        <f>VLOOKUP(A31,'Data shares'!$C$2:$CX$214,100,0)</f>
        <v>2705625</v>
      </c>
      <c r="D31" s="141">
        <f>VLOOKUP(A31,'Data shares'!$C$2:$CY$537,101,0)</f>
        <v>1.49E-2</v>
      </c>
      <c r="E31" s="86">
        <f>VLOOKUP($A31,'Data shares'!$C:$FA,74)</f>
        <v>90830025</v>
      </c>
      <c r="F31" s="86">
        <f>VLOOKUP($A31,'Data shares'!$C:$FA,76)</f>
        <v>848250</v>
      </c>
      <c r="G31" s="87">
        <f>VLOOKUP(A31,'Data shares'!$C$2:$CA$214,77,0)</f>
        <v>9.4000000000000004E-3</v>
      </c>
      <c r="H31" s="86">
        <f>VLOOKUP($A31,'Data shares'!$C:$FA,90)</f>
        <v>57230550</v>
      </c>
      <c r="I31" s="86">
        <f>VLOOKUP($A31,'Data shares'!$C:$FA,92)</f>
        <v>1550250</v>
      </c>
      <c r="J31" s="87">
        <f>VLOOKUP($A31,'Data shares'!$C:$FA,93)</f>
        <v>2.7799999999999998E-2</v>
      </c>
      <c r="K31" s="86">
        <f>VLOOKUP($A31,'Data shares'!$C:$FA,94)</f>
        <v>36120825</v>
      </c>
      <c r="L31" s="86">
        <f>VLOOKUP($A31,'Data shares'!$C:$FA,96)</f>
        <v>307125</v>
      </c>
      <c r="M31" s="87">
        <f>VLOOKUP($A31,'Data shares'!$C:$FA,97)</f>
        <v>8.6E-3</v>
      </c>
      <c r="N31" s="86">
        <f>VLOOKUP($A31,'Data shares'!$C:$FA,78)</f>
        <v>86427900</v>
      </c>
      <c r="O31" s="87">
        <f>VLOOKUP($A31,'Data shares'!$C:$FA,81)</f>
        <v>8.0999999999999996E-3</v>
      </c>
    </row>
    <row r="32" spans="1:15" x14ac:dyDescent="0.25">
      <c r="A32" s="100" t="str">
        <f>'Data Vlaue (Cr)'!C27</f>
        <v>BANKINDIA</v>
      </c>
      <c r="B32" s="82">
        <f>VLOOKUP(A32,'Data shares'!$C$2:$CV$214,98,0)</f>
        <v>92762800</v>
      </c>
      <c r="C32" s="82">
        <f>VLOOKUP(A32,'Data shares'!$C$2:$CX$214,100,0)</f>
        <v>-629200</v>
      </c>
      <c r="D32" s="141">
        <f>VLOOKUP(A32,'Data shares'!$C$2:$CY$537,101,0)</f>
        <v>-6.7000000000000002E-3</v>
      </c>
      <c r="E32" s="86">
        <f>VLOOKUP($A32,'Data shares'!$C:$FA,74)</f>
        <v>50544000</v>
      </c>
      <c r="F32" s="86">
        <f>VLOOKUP($A32,'Data shares'!$C:$FA,76)</f>
        <v>-915200</v>
      </c>
      <c r="G32" s="87">
        <f>VLOOKUP(A32,'Data shares'!$C$2:$CA$214,77,0)</f>
        <v>-1.78E-2</v>
      </c>
      <c r="H32" s="86">
        <f>VLOOKUP($A32,'Data shares'!$C:$FA,90)</f>
        <v>24341200</v>
      </c>
      <c r="I32" s="86">
        <f>VLOOKUP($A32,'Data shares'!$C:$FA,92)</f>
        <v>-57200</v>
      </c>
      <c r="J32" s="87">
        <f>VLOOKUP($A32,'Data shares'!$C:$FA,93)</f>
        <v>-2.3E-3</v>
      </c>
      <c r="K32" s="86">
        <f>VLOOKUP($A32,'Data shares'!$C:$FA,94)</f>
        <v>17877600</v>
      </c>
      <c r="L32" s="86">
        <f>VLOOKUP($A32,'Data shares'!$C:$FA,96)</f>
        <v>343200</v>
      </c>
      <c r="M32" s="87">
        <f>VLOOKUP($A32,'Data shares'!$C:$FA,97)</f>
        <v>1.9599999999999999E-2</v>
      </c>
      <c r="N32" s="86">
        <f>VLOOKUP($A32,'Data shares'!$C:$FA,78)</f>
        <v>48240400</v>
      </c>
      <c r="O32" s="87">
        <f>VLOOKUP($A32,'Data shares'!$C:$FA,81)</f>
        <v>-2.01E-2</v>
      </c>
    </row>
    <row r="33" spans="1:15" x14ac:dyDescent="0.25">
      <c r="A33" s="100" t="str">
        <f>'Data Vlaue (Cr)'!C28</f>
        <v>BANKNIFTY</v>
      </c>
      <c r="B33" s="82">
        <f>VLOOKUP(A33,'Data shares'!$C$2:$CV$214,98,0)</f>
        <v>33713915</v>
      </c>
      <c r="C33" s="82">
        <f>VLOOKUP(A33,'Data shares'!$C$2:$CX$214,100,0)</f>
        <v>2126410</v>
      </c>
      <c r="D33" s="141">
        <f>VLOOKUP(A33,'Data shares'!$C$2:$CY$537,101,0)</f>
        <v>6.7299999999999999E-2</v>
      </c>
      <c r="E33" s="86">
        <f>VLOOKUP($A33,'Data shares'!$C:$FA,74)</f>
        <v>1790880</v>
      </c>
      <c r="F33" s="86">
        <f>VLOOKUP($A33,'Data shares'!$C:$FA,76)</f>
        <v>-3450</v>
      </c>
      <c r="G33" s="87">
        <f>VLOOKUP(A33,'Data shares'!$C$2:$CA$214,77,0)</f>
        <v>-1.9E-3</v>
      </c>
      <c r="H33" s="86">
        <f>VLOOKUP($A33,'Data shares'!$C:$FA,90)</f>
        <v>14715200</v>
      </c>
      <c r="I33" s="86">
        <f>VLOOKUP($A33,'Data shares'!$C:$FA,92)</f>
        <v>185305</v>
      </c>
      <c r="J33" s="87">
        <f>VLOOKUP($A33,'Data shares'!$C:$FA,93)</f>
        <v>1.2800000000000001E-2</v>
      </c>
      <c r="K33" s="86">
        <f>VLOOKUP($A33,'Data shares'!$C:$FA,94)</f>
        <v>17207835</v>
      </c>
      <c r="L33" s="86">
        <f>VLOOKUP($A33,'Data shares'!$C:$FA,96)</f>
        <v>1944555</v>
      </c>
      <c r="M33" s="87">
        <f>VLOOKUP($A33,'Data shares'!$C:$FA,97)</f>
        <v>0.12740000000000001</v>
      </c>
      <c r="N33" s="86">
        <f>VLOOKUP($A33,'Data shares'!$C:$FA,78)</f>
        <v>1590660</v>
      </c>
      <c r="O33" s="87">
        <f>VLOOKUP($A33,'Data shares'!$C:$FA,81)</f>
        <v>-4.1000000000000003E-3</v>
      </c>
    </row>
    <row r="34" spans="1:15" x14ac:dyDescent="0.25">
      <c r="A34" s="100" t="str">
        <f>'Data Vlaue (Cr)'!C29</f>
        <v>BDL</v>
      </c>
      <c r="B34" s="82">
        <f>VLOOKUP(A34,'Data shares'!$C$2:$CV$214,98,0)</f>
        <v>22506750</v>
      </c>
      <c r="C34" s="82">
        <f>VLOOKUP(A34,'Data shares'!$C$2:$CX$214,100,0)</f>
        <v>-93100</v>
      </c>
      <c r="D34" s="141">
        <f>VLOOKUP(A34,'Data shares'!$C$2:$CY$537,101,0)</f>
        <v>-4.1000000000000003E-3</v>
      </c>
      <c r="E34" s="86">
        <f>VLOOKUP($A34,'Data shares'!$C:$FA,74)</f>
        <v>7335300</v>
      </c>
      <c r="F34" s="86">
        <f>VLOOKUP($A34,'Data shares'!$C:$FA,76)</f>
        <v>33600</v>
      </c>
      <c r="G34" s="87">
        <f>VLOOKUP(A34,'Data shares'!$C$2:$CA$214,77,0)</f>
        <v>4.5999999999999999E-3</v>
      </c>
      <c r="H34" s="86">
        <f>VLOOKUP($A34,'Data shares'!$C:$FA,90)</f>
        <v>11154500</v>
      </c>
      <c r="I34" s="86">
        <f>VLOOKUP($A34,'Data shares'!$C:$FA,92)</f>
        <v>-113050</v>
      </c>
      <c r="J34" s="87">
        <f>VLOOKUP($A34,'Data shares'!$C:$FA,93)</f>
        <v>-0.01</v>
      </c>
      <c r="K34" s="86">
        <f>VLOOKUP($A34,'Data shares'!$C:$FA,94)</f>
        <v>4016950</v>
      </c>
      <c r="L34" s="86">
        <f>VLOOKUP($A34,'Data shares'!$C:$FA,96)</f>
        <v>-13650</v>
      </c>
      <c r="M34" s="87">
        <f>VLOOKUP($A34,'Data shares'!$C:$FA,97)</f>
        <v>-3.3999999999999998E-3</v>
      </c>
      <c r="N34" s="86">
        <f>VLOOKUP($A34,'Data shares'!$C:$FA,78)</f>
        <v>5951050</v>
      </c>
      <c r="O34" s="87">
        <f>VLOOKUP($A34,'Data shares'!$C:$FA,81)</f>
        <v>-7.0000000000000001E-3</v>
      </c>
    </row>
    <row r="35" spans="1:15" x14ac:dyDescent="0.25">
      <c r="A35" s="100" t="str">
        <f>'Data Vlaue (Cr)'!C30</f>
        <v>BEL</v>
      </c>
      <c r="B35" s="82">
        <f>VLOOKUP(A35,'Data shares'!$C$2:$CV$214,98,0)</f>
        <v>259092075</v>
      </c>
      <c r="C35" s="82">
        <f>VLOOKUP(A35,'Data shares'!$C$2:$CX$214,100,0)</f>
        <v>-4199475</v>
      </c>
      <c r="D35" s="141">
        <f>VLOOKUP(A35,'Data shares'!$C$2:$CY$537,101,0)</f>
        <v>-1.5900000000000001E-2</v>
      </c>
      <c r="E35" s="86">
        <f>VLOOKUP($A35,'Data shares'!$C:$FA,74)</f>
        <v>112832925</v>
      </c>
      <c r="F35" s="86">
        <f>VLOOKUP($A35,'Data shares'!$C:$FA,76)</f>
        <v>-1097250</v>
      </c>
      <c r="G35" s="87">
        <f>VLOOKUP(A35,'Data shares'!$C$2:$CA$214,77,0)</f>
        <v>-9.5999999999999992E-3</v>
      </c>
      <c r="H35" s="86">
        <f>VLOOKUP($A35,'Data shares'!$C:$FA,90)</f>
        <v>102722550</v>
      </c>
      <c r="I35" s="86">
        <f>VLOOKUP($A35,'Data shares'!$C:$FA,92)</f>
        <v>-2535075</v>
      </c>
      <c r="J35" s="87">
        <f>VLOOKUP($A35,'Data shares'!$C:$FA,93)</f>
        <v>-2.41E-2</v>
      </c>
      <c r="K35" s="86">
        <f>VLOOKUP($A35,'Data shares'!$C:$FA,94)</f>
        <v>43536600</v>
      </c>
      <c r="L35" s="86">
        <f>VLOOKUP($A35,'Data shares'!$C:$FA,96)</f>
        <v>-567150</v>
      </c>
      <c r="M35" s="87">
        <f>VLOOKUP($A35,'Data shares'!$C:$FA,97)</f>
        <v>-1.29E-2</v>
      </c>
      <c r="N35" s="86">
        <f>VLOOKUP($A35,'Data shares'!$C:$FA,78)</f>
        <v>102837975</v>
      </c>
      <c r="O35" s="87">
        <f>VLOOKUP($A35,'Data shares'!$C:$FA,81)</f>
        <v>-1.1599999999999999E-2</v>
      </c>
    </row>
    <row r="36" spans="1:15" x14ac:dyDescent="0.25">
      <c r="A36" s="100" t="str">
        <f>'Data Vlaue (Cr)'!C31</f>
        <v>BHARATFORG</v>
      </c>
      <c r="B36" s="82">
        <f>VLOOKUP(A36,'Data shares'!$C$2:$CV$214,98,0)</f>
        <v>13179500</v>
      </c>
      <c r="C36" s="82">
        <f>VLOOKUP(A36,'Data shares'!$C$2:$CX$214,100,0)</f>
        <v>1032000</v>
      </c>
      <c r="D36" s="141">
        <f>VLOOKUP(A36,'Data shares'!$C$2:$CY$537,101,0)</f>
        <v>8.5000000000000006E-2</v>
      </c>
      <c r="E36" s="86">
        <f>VLOOKUP($A36,'Data shares'!$C:$FA,74)</f>
        <v>7092500</v>
      </c>
      <c r="F36" s="86">
        <f>VLOOKUP($A36,'Data shares'!$C:$FA,76)</f>
        <v>163500</v>
      </c>
      <c r="G36" s="87">
        <f>VLOOKUP(A36,'Data shares'!$C$2:$CA$214,77,0)</f>
        <v>2.3599999999999999E-2</v>
      </c>
      <c r="H36" s="86">
        <f>VLOOKUP($A36,'Data shares'!$C:$FA,90)</f>
        <v>3429000</v>
      </c>
      <c r="I36" s="86">
        <f>VLOOKUP($A36,'Data shares'!$C:$FA,92)</f>
        <v>455000</v>
      </c>
      <c r="J36" s="87">
        <f>VLOOKUP($A36,'Data shares'!$C:$FA,93)</f>
        <v>0.153</v>
      </c>
      <c r="K36" s="86">
        <f>VLOOKUP($A36,'Data shares'!$C:$FA,94)</f>
        <v>2658000</v>
      </c>
      <c r="L36" s="86">
        <f>VLOOKUP($A36,'Data shares'!$C:$FA,96)</f>
        <v>413500</v>
      </c>
      <c r="M36" s="87">
        <f>VLOOKUP($A36,'Data shares'!$C:$FA,97)</f>
        <v>0.1842</v>
      </c>
      <c r="N36" s="86">
        <f>VLOOKUP($A36,'Data shares'!$C:$FA,78)</f>
        <v>6952000</v>
      </c>
      <c r="O36" s="87">
        <f>VLOOKUP($A36,'Data shares'!$C:$FA,81)</f>
        <v>2.0799999999999999E-2</v>
      </c>
    </row>
    <row r="37" spans="1:15" x14ac:dyDescent="0.25">
      <c r="A37" s="100" t="str">
        <f>'Data Vlaue (Cr)'!C32</f>
        <v>BHARTIARTL</v>
      </c>
      <c r="B37" s="82">
        <f>VLOOKUP(A37,'Data shares'!$C$2:$CV$214,98,0)</f>
        <v>76190950</v>
      </c>
      <c r="C37" s="82">
        <f>VLOOKUP(A37,'Data shares'!$C$2:$CX$214,100,0)</f>
        <v>1544225</v>
      </c>
      <c r="D37" s="141">
        <f>VLOOKUP(A37,'Data shares'!$C$2:$CY$537,101,0)</f>
        <v>2.07E-2</v>
      </c>
      <c r="E37" s="86">
        <f>VLOOKUP($A37,'Data shares'!$C:$FA,74)</f>
        <v>52765850</v>
      </c>
      <c r="F37" s="86">
        <f>VLOOKUP($A37,'Data shares'!$C:$FA,76)</f>
        <v>703950</v>
      </c>
      <c r="G37" s="87">
        <f>VLOOKUP(A37,'Data shares'!$C$2:$CA$214,77,0)</f>
        <v>1.35E-2</v>
      </c>
      <c r="H37" s="86">
        <f>VLOOKUP($A37,'Data shares'!$C:$FA,90)</f>
        <v>15654100</v>
      </c>
      <c r="I37" s="86">
        <f>VLOOKUP($A37,'Data shares'!$C:$FA,92)</f>
        <v>745275</v>
      </c>
      <c r="J37" s="87">
        <f>VLOOKUP($A37,'Data shares'!$C:$FA,93)</f>
        <v>0.05</v>
      </c>
      <c r="K37" s="86">
        <f>VLOOKUP($A37,'Data shares'!$C:$FA,94)</f>
        <v>7771000</v>
      </c>
      <c r="L37" s="86">
        <f>VLOOKUP($A37,'Data shares'!$C:$FA,96)</f>
        <v>95000</v>
      </c>
      <c r="M37" s="87">
        <f>VLOOKUP($A37,'Data shares'!$C:$FA,97)</f>
        <v>1.24E-2</v>
      </c>
      <c r="N37" s="86">
        <f>VLOOKUP($A37,'Data shares'!$C:$FA,78)</f>
        <v>45642275</v>
      </c>
      <c r="O37" s="87">
        <f>VLOOKUP($A37,'Data shares'!$C:$FA,81)</f>
        <v>5.0000000000000001E-3</v>
      </c>
    </row>
    <row r="38" spans="1:15" x14ac:dyDescent="0.25">
      <c r="A38" s="100" t="str">
        <f>'Data Vlaue (Cr)'!C33</f>
        <v>BHEL</v>
      </c>
      <c r="B38" s="82">
        <f>VLOOKUP(A38,'Data shares'!$C$2:$CV$214,98,0)</f>
        <v>222096000</v>
      </c>
      <c r="C38" s="82">
        <f>VLOOKUP(A38,'Data shares'!$C$2:$CX$214,100,0)</f>
        <v>69914250</v>
      </c>
      <c r="D38" s="141">
        <f>VLOOKUP(A38,'Data shares'!$C$2:$CY$537,101,0)</f>
        <v>0.45939999999999998</v>
      </c>
      <c r="E38" s="86">
        <f>VLOOKUP($A38,'Data shares'!$C:$FA,74)</f>
        <v>102663750</v>
      </c>
      <c r="F38" s="86">
        <f>VLOOKUP($A38,'Data shares'!$C:$FA,76)</f>
        <v>25895625</v>
      </c>
      <c r="G38" s="87">
        <f>VLOOKUP(A38,'Data shares'!$C$2:$CA$214,77,0)</f>
        <v>0.33729999999999999</v>
      </c>
      <c r="H38" s="86">
        <f>VLOOKUP($A38,'Data shares'!$C:$FA,90)</f>
        <v>78319500</v>
      </c>
      <c r="I38" s="86">
        <f>VLOOKUP($A38,'Data shares'!$C:$FA,92)</f>
        <v>30108750</v>
      </c>
      <c r="J38" s="87">
        <f>VLOOKUP($A38,'Data shares'!$C:$FA,93)</f>
        <v>0.62450000000000006</v>
      </c>
      <c r="K38" s="86">
        <f>VLOOKUP($A38,'Data shares'!$C:$FA,94)</f>
        <v>41112750</v>
      </c>
      <c r="L38" s="86">
        <f>VLOOKUP($A38,'Data shares'!$C:$FA,96)</f>
        <v>13909875</v>
      </c>
      <c r="M38" s="87">
        <f>VLOOKUP($A38,'Data shares'!$C:$FA,97)</f>
        <v>0.51129999999999998</v>
      </c>
      <c r="N38" s="86">
        <f>VLOOKUP($A38,'Data shares'!$C:$FA,78)</f>
        <v>97140750</v>
      </c>
      <c r="O38" s="87">
        <f>VLOOKUP($A38,'Data shares'!$C:$FA,81)</f>
        <v>0.31419999999999998</v>
      </c>
    </row>
    <row r="39" spans="1:15" x14ac:dyDescent="0.25">
      <c r="A39" s="100" t="str">
        <f>'Data Vlaue (Cr)'!C34</f>
        <v>BIOCON</v>
      </c>
      <c r="B39" s="82">
        <f>VLOOKUP(A39,'Data shares'!$C$2:$CV$214,98,0)</f>
        <v>83435000</v>
      </c>
      <c r="C39" s="82">
        <f>VLOOKUP(A39,'Data shares'!$C$2:$CX$214,100,0)</f>
        <v>4220000</v>
      </c>
      <c r="D39" s="141">
        <f>VLOOKUP(A39,'Data shares'!$C$2:$CY$537,101,0)</f>
        <v>5.33E-2</v>
      </c>
      <c r="E39" s="86">
        <f>VLOOKUP($A39,'Data shares'!$C:$FA,74)</f>
        <v>45405000</v>
      </c>
      <c r="F39" s="86">
        <f>VLOOKUP($A39,'Data shares'!$C:$FA,76)</f>
        <v>790000</v>
      </c>
      <c r="G39" s="87">
        <f>VLOOKUP(A39,'Data shares'!$C$2:$CA$214,77,0)</f>
        <v>1.77E-2</v>
      </c>
      <c r="H39" s="86">
        <f>VLOOKUP($A39,'Data shares'!$C:$FA,90)</f>
        <v>22277500</v>
      </c>
      <c r="I39" s="86">
        <f>VLOOKUP($A39,'Data shares'!$C:$FA,92)</f>
        <v>2302500</v>
      </c>
      <c r="J39" s="87">
        <f>VLOOKUP($A39,'Data shares'!$C:$FA,93)</f>
        <v>0.1153</v>
      </c>
      <c r="K39" s="86">
        <f>VLOOKUP($A39,'Data shares'!$C:$FA,94)</f>
        <v>15752500</v>
      </c>
      <c r="L39" s="86">
        <f>VLOOKUP($A39,'Data shares'!$C:$FA,96)</f>
        <v>1127500</v>
      </c>
      <c r="M39" s="87">
        <f>VLOOKUP($A39,'Data shares'!$C:$FA,97)</f>
        <v>7.7100000000000002E-2</v>
      </c>
      <c r="N39" s="86">
        <f>VLOOKUP($A39,'Data shares'!$C:$FA,78)</f>
        <v>43615000</v>
      </c>
      <c r="O39" s="87">
        <f>VLOOKUP($A39,'Data shares'!$C:$FA,81)</f>
        <v>1.5699999999999999E-2</v>
      </c>
    </row>
    <row r="40" spans="1:15" x14ac:dyDescent="0.25">
      <c r="A40" s="100" t="str">
        <f>'Data Vlaue (Cr)'!C35</f>
        <v>BLUESTARCO</v>
      </c>
      <c r="B40" s="82">
        <f>VLOOKUP(A40,'Data shares'!$C$2:$CV$214,98,0)</f>
        <v>5661175</v>
      </c>
      <c r="C40" s="82">
        <f>VLOOKUP(A40,'Data shares'!$C$2:$CX$214,100,0)</f>
        <v>-37700</v>
      </c>
      <c r="D40" s="141">
        <f>VLOOKUP(A40,'Data shares'!$C$2:$CY$537,101,0)</f>
        <v>-6.6E-3</v>
      </c>
      <c r="E40" s="86">
        <f>VLOOKUP($A40,'Data shares'!$C:$FA,74)</f>
        <v>2977325</v>
      </c>
      <c r="F40" s="86">
        <f>VLOOKUP($A40,'Data shares'!$C:$FA,76)</f>
        <v>-650</v>
      </c>
      <c r="G40" s="87">
        <f>VLOOKUP(A40,'Data shares'!$C$2:$CA$214,77,0)</f>
        <v>-2.0000000000000001E-4</v>
      </c>
      <c r="H40" s="86">
        <f>VLOOKUP($A40,'Data shares'!$C:$FA,90)</f>
        <v>1539850</v>
      </c>
      <c r="I40" s="86">
        <f>VLOOKUP($A40,'Data shares'!$C:$FA,92)</f>
        <v>-66300</v>
      </c>
      <c r="J40" s="87">
        <f>VLOOKUP($A40,'Data shares'!$C:$FA,93)</f>
        <v>-4.1300000000000003E-2</v>
      </c>
      <c r="K40" s="86">
        <f>VLOOKUP($A40,'Data shares'!$C:$FA,94)</f>
        <v>1144000</v>
      </c>
      <c r="L40" s="86">
        <f>VLOOKUP($A40,'Data shares'!$C:$FA,96)</f>
        <v>29250</v>
      </c>
      <c r="M40" s="87">
        <f>VLOOKUP($A40,'Data shares'!$C:$FA,97)</f>
        <v>2.6200000000000001E-2</v>
      </c>
      <c r="N40" s="86">
        <f>VLOOKUP($A40,'Data shares'!$C:$FA,78)</f>
        <v>2684825</v>
      </c>
      <c r="O40" s="87">
        <f>VLOOKUP($A40,'Data shares'!$C:$FA,81)</f>
        <v>-2.8999999999999998E-3</v>
      </c>
    </row>
    <row r="41" spans="1:15" x14ac:dyDescent="0.25">
      <c r="A41" s="100" t="str">
        <f>'Data Vlaue (Cr)'!C36</f>
        <v>BOSCHLTD</v>
      </c>
      <c r="B41" s="82">
        <f>VLOOKUP(A41,'Data shares'!$C$2:$CV$214,98,0)</f>
        <v>476450</v>
      </c>
      <c r="C41" s="82">
        <f>VLOOKUP(A41,'Data shares'!$C$2:$CX$214,100,0)</f>
        <v>-30700</v>
      </c>
      <c r="D41" s="141">
        <f>VLOOKUP(A41,'Data shares'!$C$2:$CY$537,101,0)</f>
        <v>-6.0499999999999998E-2</v>
      </c>
      <c r="E41" s="86">
        <f>VLOOKUP($A41,'Data shares'!$C:$FA,74)</f>
        <v>203225</v>
      </c>
      <c r="F41" s="86">
        <f>VLOOKUP($A41,'Data shares'!$C:$FA,76)</f>
        <v>-8300</v>
      </c>
      <c r="G41" s="87">
        <f>VLOOKUP(A41,'Data shares'!$C$2:$CA$214,77,0)</f>
        <v>-3.9199999999999999E-2</v>
      </c>
      <c r="H41" s="86">
        <f>VLOOKUP($A41,'Data shares'!$C:$FA,90)</f>
        <v>181275</v>
      </c>
      <c r="I41" s="86">
        <f>VLOOKUP($A41,'Data shares'!$C:$FA,92)</f>
        <v>-30225</v>
      </c>
      <c r="J41" s="87">
        <f>VLOOKUP($A41,'Data shares'!$C:$FA,93)</f>
        <v>-0.1429</v>
      </c>
      <c r="K41" s="86">
        <f>VLOOKUP($A41,'Data shares'!$C:$FA,94)</f>
        <v>91950</v>
      </c>
      <c r="L41" s="86">
        <f>VLOOKUP($A41,'Data shares'!$C:$FA,96)</f>
        <v>7825</v>
      </c>
      <c r="M41" s="87">
        <f>VLOOKUP($A41,'Data shares'!$C:$FA,97)</f>
        <v>9.2999999999999999E-2</v>
      </c>
      <c r="N41" s="86">
        <f>VLOOKUP($A41,'Data shares'!$C:$FA,78)</f>
        <v>196975</v>
      </c>
      <c r="O41" s="87">
        <f>VLOOKUP($A41,'Data shares'!$C:$FA,81)</f>
        <v>-3.6999999999999998E-2</v>
      </c>
    </row>
    <row r="42" spans="1:15" x14ac:dyDescent="0.25">
      <c r="A42" s="100" t="str">
        <f>'Data Vlaue (Cr)'!C37</f>
        <v>BPCL</v>
      </c>
      <c r="B42" s="82">
        <f>VLOOKUP(A42,'Data shares'!$C$2:$CV$214,98,0)</f>
        <v>67712875</v>
      </c>
      <c r="C42" s="82">
        <f>VLOOKUP(A42,'Data shares'!$C$2:$CX$214,100,0)</f>
        <v>3049400</v>
      </c>
      <c r="D42" s="141">
        <f>VLOOKUP(A42,'Data shares'!$C$2:$CY$537,101,0)</f>
        <v>4.7199999999999999E-2</v>
      </c>
      <c r="E42" s="86">
        <f>VLOOKUP($A42,'Data shares'!$C:$FA,74)</f>
        <v>34679025</v>
      </c>
      <c r="F42" s="86">
        <f>VLOOKUP($A42,'Data shares'!$C:$FA,76)</f>
        <v>-100725</v>
      </c>
      <c r="G42" s="87">
        <f>VLOOKUP(A42,'Data shares'!$C$2:$CA$214,77,0)</f>
        <v>-2.8999999999999998E-3</v>
      </c>
      <c r="H42" s="86">
        <f>VLOOKUP($A42,'Data shares'!$C:$FA,90)</f>
        <v>19056775</v>
      </c>
      <c r="I42" s="86">
        <f>VLOOKUP($A42,'Data shares'!$C:$FA,92)</f>
        <v>1566175</v>
      </c>
      <c r="J42" s="87">
        <f>VLOOKUP($A42,'Data shares'!$C:$FA,93)</f>
        <v>8.9499999999999996E-2</v>
      </c>
      <c r="K42" s="86">
        <f>VLOOKUP($A42,'Data shares'!$C:$FA,94)</f>
        <v>13977075</v>
      </c>
      <c r="L42" s="86">
        <f>VLOOKUP($A42,'Data shares'!$C:$FA,96)</f>
        <v>1583950</v>
      </c>
      <c r="M42" s="87">
        <f>VLOOKUP($A42,'Data shares'!$C:$FA,97)</f>
        <v>0.1278</v>
      </c>
      <c r="N42" s="86">
        <f>VLOOKUP($A42,'Data shares'!$C:$FA,78)</f>
        <v>33533525</v>
      </c>
      <c r="O42" s="87">
        <f>VLOOKUP($A42,'Data shares'!$C:$FA,81)</f>
        <v>-6.0000000000000001E-3</v>
      </c>
    </row>
    <row r="43" spans="1:15" x14ac:dyDescent="0.25">
      <c r="A43" s="100" t="str">
        <f>'Data Vlaue (Cr)'!C38</f>
        <v>BRITANNIA</v>
      </c>
      <c r="B43" s="82">
        <f>VLOOKUP(A43,'Data shares'!$C$2:$CV$214,98,0)</f>
        <v>6097875</v>
      </c>
      <c r="C43" s="82">
        <f>VLOOKUP(A43,'Data shares'!$C$2:$CX$214,100,0)</f>
        <v>639000</v>
      </c>
      <c r="D43" s="141">
        <f>VLOOKUP(A43,'Data shares'!$C$2:$CY$537,101,0)</f>
        <v>0.1171</v>
      </c>
      <c r="E43" s="86">
        <f>VLOOKUP($A43,'Data shares'!$C:$FA,74)</f>
        <v>3606625</v>
      </c>
      <c r="F43" s="86">
        <f>VLOOKUP($A43,'Data shares'!$C:$FA,76)</f>
        <v>66875</v>
      </c>
      <c r="G43" s="87">
        <f>VLOOKUP(A43,'Data shares'!$C$2:$CA$214,77,0)</f>
        <v>1.89E-2</v>
      </c>
      <c r="H43" s="86">
        <f>VLOOKUP($A43,'Data shares'!$C:$FA,90)</f>
        <v>1611000</v>
      </c>
      <c r="I43" s="86">
        <f>VLOOKUP($A43,'Data shares'!$C:$FA,92)</f>
        <v>336875</v>
      </c>
      <c r="J43" s="87">
        <f>VLOOKUP($A43,'Data shares'!$C:$FA,93)</f>
        <v>0.26440000000000002</v>
      </c>
      <c r="K43" s="86">
        <f>VLOOKUP($A43,'Data shares'!$C:$FA,94)</f>
        <v>880250</v>
      </c>
      <c r="L43" s="86">
        <f>VLOOKUP($A43,'Data shares'!$C:$FA,96)</f>
        <v>235250</v>
      </c>
      <c r="M43" s="87">
        <f>VLOOKUP($A43,'Data shares'!$C:$FA,97)</f>
        <v>0.36470000000000002</v>
      </c>
      <c r="N43" s="86">
        <f>VLOOKUP($A43,'Data shares'!$C:$FA,78)</f>
        <v>3581750</v>
      </c>
      <c r="O43" s="87">
        <f>VLOOKUP($A43,'Data shares'!$C:$FA,81)</f>
        <v>1.7899999999999999E-2</v>
      </c>
    </row>
    <row r="44" spans="1:15" x14ac:dyDescent="0.25">
      <c r="A44" s="100" t="str">
        <f>'Data Vlaue (Cr)'!C39</f>
        <v>BSE</v>
      </c>
      <c r="B44" s="82">
        <f>VLOOKUP(A44,'Data shares'!$C$2:$CV$214,98,0)</f>
        <v>28511250</v>
      </c>
      <c r="C44" s="82">
        <f>VLOOKUP(A44,'Data shares'!$C$2:$CX$214,100,0)</f>
        <v>-755250</v>
      </c>
      <c r="D44" s="141">
        <f>VLOOKUP(A44,'Data shares'!$C$2:$CY$537,101,0)</f>
        <v>-2.58E-2</v>
      </c>
      <c r="E44" s="86">
        <f>VLOOKUP($A44,'Data shares'!$C:$FA,74)</f>
        <v>10466625</v>
      </c>
      <c r="F44" s="86">
        <f>VLOOKUP($A44,'Data shares'!$C:$FA,76)</f>
        <v>-352875</v>
      </c>
      <c r="G44" s="87">
        <f>VLOOKUP(A44,'Data shares'!$C$2:$CA$214,77,0)</f>
        <v>-3.2599999999999997E-2</v>
      </c>
      <c r="H44" s="86">
        <f>VLOOKUP($A44,'Data shares'!$C:$FA,90)</f>
        <v>9112875</v>
      </c>
      <c r="I44" s="86">
        <f>VLOOKUP($A44,'Data shares'!$C:$FA,92)</f>
        <v>-276375</v>
      </c>
      <c r="J44" s="87">
        <f>VLOOKUP($A44,'Data shares'!$C:$FA,93)</f>
        <v>-2.9399999999999999E-2</v>
      </c>
      <c r="K44" s="86">
        <f>VLOOKUP($A44,'Data shares'!$C:$FA,94)</f>
        <v>8931750</v>
      </c>
      <c r="L44" s="86">
        <f>VLOOKUP($A44,'Data shares'!$C:$FA,96)</f>
        <v>-126000</v>
      </c>
      <c r="M44" s="87">
        <f>VLOOKUP($A44,'Data shares'!$C:$FA,97)</f>
        <v>-1.3899999999999999E-2</v>
      </c>
      <c r="N44" s="86">
        <f>VLOOKUP($A44,'Data shares'!$C:$FA,78)</f>
        <v>9522000</v>
      </c>
      <c r="O44" s="87">
        <f>VLOOKUP($A44,'Data shares'!$C:$FA,81)</f>
        <v>-3.2899999999999999E-2</v>
      </c>
    </row>
    <row r="45" spans="1:15" x14ac:dyDescent="0.25">
      <c r="A45" s="100" t="str">
        <f>'Data Vlaue (Cr)'!C40</f>
        <v>CAMS</v>
      </c>
      <c r="B45" s="82">
        <f>VLOOKUP(A45,'Data shares'!$C$2:$CV$214,98,0)</f>
        <v>13243500</v>
      </c>
      <c r="C45" s="82">
        <f>VLOOKUP(A45,'Data shares'!$C$2:$CX$214,100,0)</f>
        <v>111750</v>
      </c>
      <c r="D45" s="141">
        <f>VLOOKUP(A45,'Data shares'!$C$2:$CY$537,101,0)</f>
        <v>8.5000000000000006E-3</v>
      </c>
      <c r="E45" s="86">
        <f>VLOOKUP($A45,'Data shares'!$C:$FA,74)</f>
        <v>7368000</v>
      </c>
      <c r="F45" s="86">
        <f>VLOOKUP($A45,'Data shares'!$C:$FA,76)</f>
        <v>32250</v>
      </c>
      <c r="G45" s="87">
        <f>VLOOKUP(A45,'Data shares'!$C$2:$CA$214,77,0)</f>
        <v>4.4000000000000003E-3</v>
      </c>
      <c r="H45" s="86">
        <f>VLOOKUP($A45,'Data shares'!$C:$FA,90)</f>
        <v>2858250</v>
      </c>
      <c r="I45" s="86">
        <f>VLOOKUP($A45,'Data shares'!$C:$FA,92)</f>
        <v>77250</v>
      </c>
      <c r="J45" s="87">
        <f>VLOOKUP($A45,'Data shares'!$C:$FA,93)</f>
        <v>2.7799999999999998E-2</v>
      </c>
      <c r="K45" s="86">
        <f>VLOOKUP($A45,'Data shares'!$C:$FA,94)</f>
        <v>3017250</v>
      </c>
      <c r="L45" s="86">
        <f>VLOOKUP($A45,'Data shares'!$C:$FA,96)</f>
        <v>2250</v>
      </c>
      <c r="M45" s="87">
        <f>VLOOKUP($A45,'Data shares'!$C:$FA,97)</f>
        <v>6.9999999999999999E-4</v>
      </c>
      <c r="N45" s="86">
        <f>VLOOKUP($A45,'Data shares'!$C:$FA,78)</f>
        <v>6904500</v>
      </c>
      <c r="O45" s="87">
        <f>VLOOKUP($A45,'Data shares'!$C:$FA,81)</f>
        <v>3.0999999999999999E-3</v>
      </c>
    </row>
    <row r="46" spans="1:15" x14ac:dyDescent="0.25">
      <c r="A46" s="100" t="str">
        <f>'Data Vlaue (Cr)'!C41</f>
        <v>CANBK</v>
      </c>
      <c r="B46" s="82">
        <f>VLOOKUP(A46,'Data shares'!$C$2:$CV$214,98,0)</f>
        <v>470124000</v>
      </c>
      <c r="C46" s="82">
        <f>VLOOKUP(A46,'Data shares'!$C$2:$CX$214,100,0)</f>
        <v>22180500</v>
      </c>
      <c r="D46" s="141">
        <f>VLOOKUP(A46,'Data shares'!$C$2:$CY$537,101,0)</f>
        <v>4.9500000000000002E-2</v>
      </c>
      <c r="E46" s="86">
        <f>VLOOKUP($A46,'Data shares'!$C:$FA,74)</f>
        <v>196080750</v>
      </c>
      <c r="F46" s="86">
        <f>VLOOKUP($A46,'Data shares'!$C:$FA,76)</f>
        <v>10746000</v>
      </c>
      <c r="G46" s="87">
        <f>VLOOKUP(A46,'Data shares'!$C$2:$CA$214,77,0)</f>
        <v>5.8000000000000003E-2</v>
      </c>
      <c r="H46" s="86">
        <f>VLOOKUP($A46,'Data shares'!$C:$FA,90)</f>
        <v>182108250</v>
      </c>
      <c r="I46" s="86">
        <f>VLOOKUP($A46,'Data shares'!$C:$FA,92)</f>
        <v>9031500</v>
      </c>
      <c r="J46" s="87">
        <f>VLOOKUP($A46,'Data shares'!$C:$FA,93)</f>
        <v>5.2200000000000003E-2</v>
      </c>
      <c r="K46" s="86">
        <f>VLOOKUP($A46,'Data shares'!$C:$FA,94)</f>
        <v>91935000</v>
      </c>
      <c r="L46" s="86">
        <f>VLOOKUP($A46,'Data shares'!$C:$FA,96)</f>
        <v>2403000</v>
      </c>
      <c r="M46" s="87">
        <f>VLOOKUP($A46,'Data shares'!$C:$FA,97)</f>
        <v>2.6800000000000001E-2</v>
      </c>
      <c r="N46" s="86">
        <f>VLOOKUP($A46,'Data shares'!$C:$FA,78)</f>
        <v>178362000</v>
      </c>
      <c r="O46" s="87">
        <f>VLOOKUP($A46,'Data shares'!$C:$FA,81)</f>
        <v>5.2999999999999999E-2</v>
      </c>
    </row>
    <row r="47" spans="1:15" x14ac:dyDescent="0.25">
      <c r="A47" s="100" t="str">
        <f>'Data Vlaue (Cr)'!C42</f>
        <v>CDSL</v>
      </c>
      <c r="B47" s="82">
        <f>VLOOKUP(A47,'Data shares'!$C$2:$CV$214,98,0)</f>
        <v>26453225</v>
      </c>
      <c r="C47" s="82">
        <f>VLOOKUP(A47,'Data shares'!$C$2:$CX$214,100,0)</f>
        <v>592800</v>
      </c>
      <c r="D47" s="141">
        <f>VLOOKUP(A47,'Data shares'!$C$2:$CY$537,101,0)</f>
        <v>2.29E-2</v>
      </c>
      <c r="E47" s="86">
        <f>VLOOKUP($A47,'Data shares'!$C:$FA,74)</f>
        <v>11775250</v>
      </c>
      <c r="F47" s="86">
        <f>VLOOKUP($A47,'Data shares'!$C:$FA,76)</f>
        <v>198550</v>
      </c>
      <c r="G47" s="87">
        <f>VLOOKUP(A47,'Data shares'!$C$2:$CA$214,77,0)</f>
        <v>1.72E-2</v>
      </c>
      <c r="H47" s="86">
        <f>VLOOKUP($A47,'Data shares'!$C:$FA,90)</f>
        <v>8652600</v>
      </c>
      <c r="I47" s="86">
        <f>VLOOKUP($A47,'Data shares'!$C:$FA,92)</f>
        <v>264575</v>
      </c>
      <c r="J47" s="87">
        <f>VLOOKUP($A47,'Data shares'!$C:$FA,93)</f>
        <v>3.15E-2</v>
      </c>
      <c r="K47" s="86">
        <f>VLOOKUP($A47,'Data shares'!$C:$FA,94)</f>
        <v>6025375</v>
      </c>
      <c r="L47" s="86">
        <f>VLOOKUP($A47,'Data shares'!$C:$FA,96)</f>
        <v>129675</v>
      </c>
      <c r="M47" s="87">
        <f>VLOOKUP($A47,'Data shares'!$C:$FA,97)</f>
        <v>2.1999999999999999E-2</v>
      </c>
      <c r="N47" s="86">
        <f>VLOOKUP($A47,'Data shares'!$C:$FA,78)</f>
        <v>9573150</v>
      </c>
      <c r="O47" s="87">
        <f>VLOOKUP($A47,'Data shares'!$C:$FA,81)</f>
        <v>6.0000000000000001E-3</v>
      </c>
    </row>
    <row r="48" spans="1:15" x14ac:dyDescent="0.25">
      <c r="A48" s="100" t="str">
        <f>'Data Vlaue (Cr)'!C43</f>
        <v>CGPOWER</v>
      </c>
      <c r="B48" s="82">
        <f>VLOOKUP(A48,'Data shares'!$C$2:$CV$214,98,0)</f>
        <v>29067450</v>
      </c>
      <c r="C48" s="82">
        <f>VLOOKUP(A48,'Data shares'!$C$2:$CX$214,100,0)</f>
        <v>-402900</v>
      </c>
      <c r="D48" s="141">
        <f>VLOOKUP(A48,'Data shares'!$C$2:$CY$537,101,0)</f>
        <v>-1.37E-2</v>
      </c>
      <c r="E48" s="86">
        <f>VLOOKUP($A48,'Data shares'!$C:$FA,74)</f>
        <v>14870750</v>
      </c>
      <c r="F48" s="86">
        <f>VLOOKUP($A48,'Data shares'!$C:$FA,76)</f>
        <v>-21250</v>
      </c>
      <c r="G48" s="87">
        <f>VLOOKUP(A48,'Data shares'!$C$2:$CA$214,77,0)</f>
        <v>-1.4E-3</v>
      </c>
      <c r="H48" s="86">
        <f>VLOOKUP($A48,'Data shares'!$C:$FA,90)</f>
        <v>7523350</v>
      </c>
      <c r="I48" s="86">
        <f>VLOOKUP($A48,'Data shares'!$C:$FA,92)</f>
        <v>-446250</v>
      </c>
      <c r="J48" s="87">
        <f>VLOOKUP($A48,'Data shares'!$C:$FA,93)</f>
        <v>-5.6000000000000001E-2</v>
      </c>
      <c r="K48" s="86">
        <f>VLOOKUP($A48,'Data shares'!$C:$FA,94)</f>
        <v>6673350</v>
      </c>
      <c r="L48" s="86">
        <f>VLOOKUP($A48,'Data shares'!$C:$FA,96)</f>
        <v>64600</v>
      </c>
      <c r="M48" s="87">
        <f>VLOOKUP($A48,'Data shares'!$C:$FA,97)</f>
        <v>9.7999999999999997E-3</v>
      </c>
      <c r="N48" s="86">
        <f>VLOOKUP($A48,'Data shares'!$C:$FA,78)</f>
        <v>14315700</v>
      </c>
      <c r="O48" s="87">
        <f>VLOOKUP($A48,'Data shares'!$C:$FA,81)</f>
        <v>-2.0999999999999999E-3</v>
      </c>
    </row>
    <row r="49" spans="1:15" x14ac:dyDescent="0.25">
      <c r="A49" s="100" t="str">
        <f>'Data Vlaue (Cr)'!C44</f>
        <v>CHOLAFIN</v>
      </c>
      <c r="B49" s="82">
        <f>VLOOKUP(A49,'Data shares'!$C$2:$CV$214,98,0)</f>
        <v>19158750</v>
      </c>
      <c r="C49" s="82">
        <f>VLOOKUP(A49,'Data shares'!$C$2:$CX$214,100,0)</f>
        <v>-123750</v>
      </c>
      <c r="D49" s="141">
        <f>VLOOKUP(A49,'Data shares'!$C$2:$CY$537,101,0)</f>
        <v>-6.4000000000000003E-3</v>
      </c>
      <c r="E49" s="86">
        <f>VLOOKUP($A49,'Data shares'!$C:$FA,74)</f>
        <v>13004375</v>
      </c>
      <c r="F49" s="86">
        <f>VLOOKUP($A49,'Data shares'!$C:$FA,76)</f>
        <v>-156875</v>
      </c>
      <c r="G49" s="87">
        <f>VLOOKUP(A49,'Data shares'!$C$2:$CA$214,77,0)</f>
        <v>-1.1900000000000001E-2</v>
      </c>
      <c r="H49" s="86">
        <f>VLOOKUP($A49,'Data shares'!$C:$FA,90)</f>
        <v>3270000</v>
      </c>
      <c r="I49" s="86">
        <f>VLOOKUP($A49,'Data shares'!$C:$FA,92)</f>
        <v>68750</v>
      </c>
      <c r="J49" s="87">
        <f>VLOOKUP($A49,'Data shares'!$C:$FA,93)</f>
        <v>2.1499999999999998E-2</v>
      </c>
      <c r="K49" s="86">
        <f>VLOOKUP($A49,'Data shares'!$C:$FA,94)</f>
        <v>2884375</v>
      </c>
      <c r="L49" s="86">
        <f>VLOOKUP($A49,'Data shares'!$C:$FA,96)</f>
        <v>-35625</v>
      </c>
      <c r="M49" s="87">
        <f>VLOOKUP($A49,'Data shares'!$C:$FA,97)</f>
        <v>-1.2200000000000001E-2</v>
      </c>
      <c r="N49" s="86">
        <f>VLOOKUP($A49,'Data shares'!$C:$FA,78)</f>
        <v>12790625</v>
      </c>
      <c r="O49" s="87">
        <f>VLOOKUP($A49,'Data shares'!$C:$FA,81)</f>
        <v>-1.3100000000000001E-2</v>
      </c>
    </row>
    <row r="50" spans="1:15" x14ac:dyDescent="0.25">
      <c r="A50" s="100" t="str">
        <f>'Data Vlaue (Cr)'!C45</f>
        <v>CIPLA</v>
      </c>
      <c r="B50" s="82">
        <f>VLOOKUP(A50,'Data shares'!$C$2:$CV$214,98,0)</f>
        <v>24924375</v>
      </c>
      <c r="C50" s="82">
        <f>VLOOKUP(A50,'Data shares'!$C$2:$CX$214,100,0)</f>
        <v>-201375</v>
      </c>
      <c r="D50" s="141">
        <f>VLOOKUP(A50,'Data shares'!$C$2:$CY$537,101,0)</f>
        <v>-8.0000000000000002E-3</v>
      </c>
      <c r="E50" s="86">
        <f>VLOOKUP($A50,'Data shares'!$C:$FA,74)</f>
        <v>14167875</v>
      </c>
      <c r="F50" s="86">
        <f>VLOOKUP($A50,'Data shares'!$C:$FA,76)</f>
        <v>-130125</v>
      </c>
      <c r="G50" s="87">
        <f>VLOOKUP(A50,'Data shares'!$C$2:$CA$214,77,0)</f>
        <v>-9.1000000000000004E-3</v>
      </c>
      <c r="H50" s="86">
        <f>VLOOKUP($A50,'Data shares'!$C:$FA,90)</f>
        <v>6609000</v>
      </c>
      <c r="I50" s="86">
        <f>VLOOKUP($A50,'Data shares'!$C:$FA,92)</f>
        <v>-74625</v>
      </c>
      <c r="J50" s="87">
        <f>VLOOKUP($A50,'Data shares'!$C:$FA,93)</f>
        <v>-1.12E-2</v>
      </c>
      <c r="K50" s="86">
        <f>VLOOKUP($A50,'Data shares'!$C:$FA,94)</f>
        <v>4147500</v>
      </c>
      <c r="L50" s="86">
        <f>VLOOKUP($A50,'Data shares'!$C:$FA,96)</f>
        <v>3375</v>
      </c>
      <c r="M50" s="87">
        <f>VLOOKUP($A50,'Data shares'!$C:$FA,97)</f>
        <v>8.0000000000000004E-4</v>
      </c>
      <c r="N50" s="86">
        <f>VLOOKUP($A50,'Data shares'!$C:$FA,78)</f>
        <v>13610250</v>
      </c>
      <c r="O50" s="87">
        <f>VLOOKUP($A50,'Data shares'!$C:$FA,81)</f>
        <v>-1.01E-2</v>
      </c>
    </row>
    <row r="51" spans="1:15" x14ac:dyDescent="0.25">
      <c r="A51" s="100" t="str">
        <f>'Data Vlaue (Cr)'!C46</f>
        <v>COALINDIA</v>
      </c>
      <c r="B51" s="82">
        <f>VLOOKUP(A51,'Data shares'!$C$2:$CV$214,98,0)</f>
        <v>117194850</v>
      </c>
      <c r="C51" s="82">
        <f>VLOOKUP(A51,'Data shares'!$C$2:$CX$214,100,0)</f>
        <v>3937950</v>
      </c>
      <c r="D51" s="141">
        <f>VLOOKUP(A51,'Data shares'!$C$2:$CY$537,101,0)</f>
        <v>3.4799999999999998E-2</v>
      </c>
      <c r="E51" s="86">
        <f>VLOOKUP($A51,'Data shares'!$C:$FA,74)</f>
        <v>50225400</v>
      </c>
      <c r="F51" s="86">
        <f>VLOOKUP($A51,'Data shares'!$C:$FA,76)</f>
        <v>1840050</v>
      </c>
      <c r="G51" s="87">
        <f>VLOOKUP(A51,'Data shares'!$C$2:$CA$214,77,0)</f>
        <v>3.7999999999999999E-2</v>
      </c>
      <c r="H51" s="86">
        <f>VLOOKUP($A51,'Data shares'!$C:$FA,90)</f>
        <v>44481150</v>
      </c>
      <c r="I51" s="86">
        <f>VLOOKUP($A51,'Data shares'!$C:$FA,92)</f>
        <v>1134000</v>
      </c>
      <c r="J51" s="87">
        <f>VLOOKUP($A51,'Data shares'!$C:$FA,93)</f>
        <v>2.6200000000000001E-2</v>
      </c>
      <c r="K51" s="86">
        <f>VLOOKUP($A51,'Data shares'!$C:$FA,94)</f>
        <v>22488300</v>
      </c>
      <c r="L51" s="86">
        <f>VLOOKUP($A51,'Data shares'!$C:$FA,96)</f>
        <v>963900</v>
      </c>
      <c r="M51" s="87">
        <f>VLOOKUP($A51,'Data shares'!$C:$FA,97)</f>
        <v>4.48E-2</v>
      </c>
      <c r="N51" s="86">
        <f>VLOOKUP($A51,'Data shares'!$C:$FA,78)</f>
        <v>48035700</v>
      </c>
      <c r="O51" s="87">
        <f>VLOOKUP($A51,'Data shares'!$C:$FA,81)</f>
        <v>3.3500000000000002E-2</v>
      </c>
    </row>
    <row r="52" spans="1:15" x14ac:dyDescent="0.25">
      <c r="A52" s="100" t="str">
        <f>'Data Vlaue (Cr)'!C47</f>
        <v>COFORGE</v>
      </c>
      <c r="B52" s="82">
        <f>VLOOKUP(A52,'Data shares'!$C$2:$CV$214,98,0)</f>
        <v>26547000</v>
      </c>
      <c r="C52" s="82">
        <f>VLOOKUP(A52,'Data shares'!$C$2:$CX$214,100,0)</f>
        <v>921000</v>
      </c>
      <c r="D52" s="141">
        <f>VLOOKUP(A52,'Data shares'!$C$2:$CY$537,101,0)</f>
        <v>3.5900000000000001E-2</v>
      </c>
      <c r="E52" s="86">
        <f>VLOOKUP($A52,'Data shares'!$C:$FA,74)</f>
        <v>13506000</v>
      </c>
      <c r="F52" s="86">
        <f>VLOOKUP($A52,'Data shares'!$C:$FA,76)</f>
        <v>264000</v>
      </c>
      <c r="G52" s="87">
        <f>VLOOKUP(A52,'Data shares'!$C$2:$CA$214,77,0)</f>
        <v>1.9900000000000001E-2</v>
      </c>
      <c r="H52" s="86">
        <f>VLOOKUP($A52,'Data shares'!$C:$FA,90)</f>
        <v>9123000</v>
      </c>
      <c r="I52" s="86">
        <f>VLOOKUP($A52,'Data shares'!$C:$FA,92)</f>
        <v>422250</v>
      </c>
      <c r="J52" s="87">
        <f>VLOOKUP($A52,'Data shares'!$C:$FA,93)</f>
        <v>4.8500000000000001E-2</v>
      </c>
      <c r="K52" s="86">
        <f>VLOOKUP($A52,'Data shares'!$C:$FA,94)</f>
        <v>3918000</v>
      </c>
      <c r="L52" s="86">
        <f>VLOOKUP($A52,'Data shares'!$C:$FA,96)</f>
        <v>234750</v>
      </c>
      <c r="M52" s="87">
        <f>VLOOKUP($A52,'Data shares'!$C:$FA,97)</f>
        <v>6.3700000000000007E-2</v>
      </c>
      <c r="N52" s="86">
        <f>VLOOKUP($A52,'Data shares'!$C:$FA,78)</f>
        <v>12746250</v>
      </c>
      <c r="O52" s="87">
        <f>VLOOKUP($A52,'Data shares'!$C:$FA,81)</f>
        <v>9.1000000000000004E-3</v>
      </c>
    </row>
    <row r="53" spans="1:15" x14ac:dyDescent="0.25">
      <c r="A53" s="100" t="str">
        <f>'Data Vlaue (Cr)'!C48</f>
        <v>COLPAL</v>
      </c>
      <c r="B53" s="82">
        <f>VLOOKUP(A53,'Data shares'!$C$2:$CV$214,98,0)</f>
        <v>10832625</v>
      </c>
      <c r="C53" s="82">
        <f>VLOOKUP(A53,'Data shares'!$C$2:$CX$214,100,0)</f>
        <v>780750</v>
      </c>
      <c r="D53" s="141">
        <f>VLOOKUP(A53,'Data shares'!$C$2:$CY$537,101,0)</f>
        <v>7.7700000000000005E-2</v>
      </c>
      <c r="E53" s="86">
        <f>VLOOKUP($A53,'Data shares'!$C:$FA,74)</f>
        <v>6408450</v>
      </c>
      <c r="F53" s="86">
        <f>VLOOKUP($A53,'Data shares'!$C:$FA,76)</f>
        <v>110250</v>
      </c>
      <c r="G53" s="87">
        <f>VLOOKUP(A53,'Data shares'!$C$2:$CA$214,77,0)</f>
        <v>1.7500000000000002E-2</v>
      </c>
      <c r="H53" s="86">
        <f>VLOOKUP($A53,'Data shares'!$C:$FA,90)</f>
        <v>2908350</v>
      </c>
      <c r="I53" s="86">
        <f>VLOOKUP($A53,'Data shares'!$C:$FA,92)</f>
        <v>552600</v>
      </c>
      <c r="J53" s="87">
        <f>VLOOKUP($A53,'Data shares'!$C:$FA,93)</f>
        <v>0.2346</v>
      </c>
      <c r="K53" s="86">
        <f>VLOOKUP($A53,'Data shares'!$C:$FA,94)</f>
        <v>1515825</v>
      </c>
      <c r="L53" s="86">
        <f>VLOOKUP($A53,'Data shares'!$C:$FA,96)</f>
        <v>117900</v>
      </c>
      <c r="M53" s="87">
        <f>VLOOKUP($A53,'Data shares'!$C:$FA,97)</f>
        <v>8.43E-2</v>
      </c>
      <c r="N53" s="86">
        <f>VLOOKUP($A53,'Data shares'!$C:$FA,78)</f>
        <v>6047100</v>
      </c>
      <c r="O53" s="87">
        <f>VLOOKUP($A53,'Data shares'!$C:$FA,81)</f>
        <v>1.67E-2</v>
      </c>
    </row>
    <row r="54" spans="1:15" x14ac:dyDescent="0.25">
      <c r="A54" s="100" t="str">
        <f>'Data Vlaue (Cr)'!C49</f>
        <v>CONCOR</v>
      </c>
      <c r="B54" s="82">
        <f>VLOOKUP(A54,'Data shares'!$C$2:$CV$214,98,0)</f>
        <v>55351250</v>
      </c>
      <c r="C54" s="82">
        <f>VLOOKUP(A54,'Data shares'!$C$2:$CX$214,100,0)</f>
        <v>508750</v>
      </c>
      <c r="D54" s="141">
        <f>VLOOKUP(A54,'Data shares'!$C$2:$CY$537,101,0)</f>
        <v>9.2999999999999992E-3</v>
      </c>
      <c r="E54" s="86">
        <f>VLOOKUP($A54,'Data shares'!$C:$FA,74)</f>
        <v>34302500</v>
      </c>
      <c r="F54" s="86">
        <f>VLOOKUP($A54,'Data shares'!$C:$FA,76)</f>
        <v>170000</v>
      </c>
      <c r="G54" s="87">
        <f>VLOOKUP(A54,'Data shares'!$C$2:$CA$214,77,0)</f>
        <v>5.0000000000000001E-3</v>
      </c>
      <c r="H54" s="86">
        <f>VLOOKUP($A54,'Data shares'!$C:$FA,90)</f>
        <v>11102500</v>
      </c>
      <c r="I54" s="86">
        <f>VLOOKUP($A54,'Data shares'!$C:$FA,92)</f>
        <v>212500</v>
      </c>
      <c r="J54" s="87">
        <f>VLOOKUP($A54,'Data shares'!$C:$FA,93)</f>
        <v>1.95E-2</v>
      </c>
      <c r="K54" s="86">
        <f>VLOOKUP($A54,'Data shares'!$C:$FA,94)</f>
        <v>9946250</v>
      </c>
      <c r="L54" s="86">
        <f>VLOOKUP($A54,'Data shares'!$C:$FA,96)</f>
        <v>126250</v>
      </c>
      <c r="M54" s="87">
        <f>VLOOKUP($A54,'Data shares'!$C:$FA,97)</f>
        <v>1.29E-2</v>
      </c>
      <c r="N54" s="86">
        <f>VLOOKUP($A54,'Data shares'!$C:$FA,78)</f>
        <v>32391250</v>
      </c>
      <c r="O54" s="87">
        <f>VLOOKUP($A54,'Data shares'!$C:$FA,81)</f>
        <v>-1E-3</v>
      </c>
    </row>
    <row r="55" spans="1:15" x14ac:dyDescent="0.25">
      <c r="A55" s="100" t="str">
        <f>'Data Vlaue (Cr)'!C50</f>
        <v>CROMPTON</v>
      </c>
      <c r="B55" s="82">
        <f>VLOOKUP(A55,'Data shares'!$C$2:$CV$214,98,0)</f>
        <v>89100000</v>
      </c>
      <c r="C55" s="82">
        <f>VLOOKUP(A55,'Data shares'!$C$2:$CX$214,100,0)</f>
        <v>-1162800</v>
      </c>
      <c r="D55" s="141">
        <f>VLOOKUP(A55,'Data shares'!$C$2:$CY$537,101,0)</f>
        <v>-1.29E-2</v>
      </c>
      <c r="E55" s="86">
        <f>VLOOKUP($A55,'Data shares'!$C:$FA,74)</f>
        <v>54959400</v>
      </c>
      <c r="F55" s="86">
        <f>VLOOKUP($A55,'Data shares'!$C:$FA,76)</f>
        <v>-550800</v>
      </c>
      <c r="G55" s="87">
        <f>VLOOKUP(A55,'Data shares'!$C$2:$CA$214,77,0)</f>
        <v>-9.9000000000000008E-3</v>
      </c>
      <c r="H55" s="86">
        <f>VLOOKUP($A55,'Data shares'!$C:$FA,90)</f>
        <v>17535600</v>
      </c>
      <c r="I55" s="86">
        <f>VLOOKUP($A55,'Data shares'!$C:$FA,92)</f>
        <v>-181800</v>
      </c>
      <c r="J55" s="87">
        <f>VLOOKUP($A55,'Data shares'!$C:$FA,93)</f>
        <v>-1.03E-2</v>
      </c>
      <c r="K55" s="86">
        <f>VLOOKUP($A55,'Data shares'!$C:$FA,94)</f>
        <v>16605000</v>
      </c>
      <c r="L55" s="86">
        <f>VLOOKUP($A55,'Data shares'!$C:$FA,96)</f>
        <v>-430200</v>
      </c>
      <c r="M55" s="87">
        <f>VLOOKUP($A55,'Data shares'!$C:$FA,97)</f>
        <v>-2.53E-2</v>
      </c>
      <c r="N55" s="86">
        <f>VLOOKUP($A55,'Data shares'!$C:$FA,78)</f>
        <v>52995600</v>
      </c>
      <c r="O55" s="87">
        <f>VLOOKUP($A55,'Data shares'!$C:$FA,81)</f>
        <v>-1.1299999999999999E-2</v>
      </c>
    </row>
    <row r="56" spans="1:15" x14ac:dyDescent="0.25">
      <c r="A56" s="100" t="str">
        <f>'Data Vlaue (Cr)'!C51</f>
        <v>CUMMINSIND</v>
      </c>
      <c r="B56" s="82">
        <f>VLOOKUP(A56,'Data shares'!$C$2:$CV$214,98,0)</f>
        <v>5587200</v>
      </c>
      <c r="C56" s="82">
        <f>VLOOKUP(A56,'Data shares'!$C$2:$CX$214,100,0)</f>
        <v>-20800</v>
      </c>
      <c r="D56" s="141">
        <f>VLOOKUP(A56,'Data shares'!$C$2:$CY$537,101,0)</f>
        <v>-3.7000000000000002E-3</v>
      </c>
      <c r="E56" s="86">
        <f>VLOOKUP($A56,'Data shares'!$C:$FA,74)</f>
        <v>3467400</v>
      </c>
      <c r="F56" s="86">
        <f>VLOOKUP($A56,'Data shares'!$C:$FA,76)</f>
        <v>-38000</v>
      </c>
      <c r="G56" s="87">
        <f>VLOOKUP(A56,'Data shares'!$C$2:$CA$214,77,0)</f>
        <v>-1.0800000000000001E-2</v>
      </c>
      <c r="H56" s="86">
        <f>VLOOKUP($A56,'Data shares'!$C:$FA,90)</f>
        <v>1120600</v>
      </c>
      <c r="I56" s="86">
        <f>VLOOKUP($A56,'Data shares'!$C:$FA,92)</f>
        <v>39800</v>
      </c>
      <c r="J56" s="87">
        <f>VLOOKUP($A56,'Data shares'!$C:$FA,93)</f>
        <v>3.6799999999999999E-2</v>
      </c>
      <c r="K56" s="86">
        <f>VLOOKUP($A56,'Data shares'!$C:$FA,94)</f>
        <v>999200</v>
      </c>
      <c r="L56" s="86">
        <f>VLOOKUP($A56,'Data shares'!$C:$FA,96)</f>
        <v>-22600</v>
      </c>
      <c r="M56" s="87">
        <f>VLOOKUP($A56,'Data shares'!$C:$FA,97)</f>
        <v>-2.2100000000000002E-2</v>
      </c>
      <c r="N56" s="86">
        <f>VLOOKUP($A56,'Data shares'!$C:$FA,78)</f>
        <v>3407800</v>
      </c>
      <c r="O56" s="87">
        <f>VLOOKUP($A56,'Data shares'!$C:$FA,81)</f>
        <v>-1.2500000000000001E-2</v>
      </c>
    </row>
    <row r="57" spans="1:15" x14ac:dyDescent="0.25">
      <c r="A57" s="100" t="str">
        <f>'Data Vlaue (Cr)'!C52</f>
        <v>DABUR</v>
      </c>
      <c r="B57" s="82">
        <f>VLOOKUP(A57,'Data shares'!$C$2:$CV$214,98,0)</f>
        <v>46253750</v>
      </c>
      <c r="C57" s="82">
        <f>VLOOKUP(A57,'Data shares'!$C$2:$CX$214,100,0)</f>
        <v>171250</v>
      </c>
      <c r="D57" s="141">
        <f>VLOOKUP(A57,'Data shares'!$C$2:$CY$537,101,0)</f>
        <v>3.7000000000000002E-3</v>
      </c>
      <c r="E57" s="86">
        <f>VLOOKUP($A57,'Data shares'!$C:$FA,74)</f>
        <v>25526250</v>
      </c>
      <c r="F57" s="86">
        <f>VLOOKUP($A57,'Data shares'!$C:$FA,76)</f>
        <v>-262500</v>
      </c>
      <c r="G57" s="87">
        <f>VLOOKUP(A57,'Data shares'!$C$2:$CA$214,77,0)</f>
        <v>-1.0200000000000001E-2</v>
      </c>
      <c r="H57" s="86">
        <f>VLOOKUP($A57,'Data shares'!$C:$FA,90)</f>
        <v>13151250</v>
      </c>
      <c r="I57" s="86">
        <f>VLOOKUP($A57,'Data shares'!$C:$FA,92)</f>
        <v>426250</v>
      </c>
      <c r="J57" s="87">
        <f>VLOOKUP($A57,'Data shares'!$C:$FA,93)</f>
        <v>3.3500000000000002E-2</v>
      </c>
      <c r="K57" s="86">
        <f>VLOOKUP($A57,'Data shares'!$C:$FA,94)</f>
        <v>7576250</v>
      </c>
      <c r="L57" s="86">
        <f>VLOOKUP($A57,'Data shares'!$C:$FA,96)</f>
        <v>7500</v>
      </c>
      <c r="M57" s="87">
        <f>VLOOKUP($A57,'Data shares'!$C:$FA,97)</f>
        <v>1E-3</v>
      </c>
      <c r="N57" s="86">
        <f>VLOOKUP($A57,'Data shares'!$C:$FA,78)</f>
        <v>25140000</v>
      </c>
      <c r="O57" s="87">
        <f>VLOOKUP($A57,'Data shares'!$C:$FA,81)</f>
        <v>-0.01</v>
      </c>
    </row>
    <row r="58" spans="1:15" x14ac:dyDescent="0.25">
      <c r="A58" s="100" t="str">
        <f>'Data Vlaue (Cr)'!C53</f>
        <v>DALBHARAT</v>
      </c>
      <c r="B58" s="82">
        <f>VLOOKUP(A58,'Data shares'!$C$2:$CV$214,98,0)</f>
        <v>5489900</v>
      </c>
      <c r="C58" s="82">
        <f>VLOOKUP(A58,'Data shares'!$C$2:$CX$214,100,0)</f>
        <v>171600</v>
      </c>
      <c r="D58" s="141">
        <f>VLOOKUP(A58,'Data shares'!$C$2:$CY$537,101,0)</f>
        <v>3.2300000000000002E-2</v>
      </c>
      <c r="E58" s="86">
        <f>VLOOKUP($A58,'Data shares'!$C:$FA,74)</f>
        <v>2778425</v>
      </c>
      <c r="F58" s="86">
        <f>VLOOKUP($A58,'Data shares'!$C:$FA,76)</f>
        <v>105300</v>
      </c>
      <c r="G58" s="87">
        <f>VLOOKUP(A58,'Data shares'!$C$2:$CA$214,77,0)</f>
        <v>3.9399999999999998E-2</v>
      </c>
      <c r="H58" s="86">
        <f>VLOOKUP($A58,'Data shares'!$C:$FA,90)</f>
        <v>870025</v>
      </c>
      <c r="I58" s="86">
        <f>VLOOKUP($A58,'Data shares'!$C:$FA,92)</f>
        <v>26650</v>
      </c>
      <c r="J58" s="87">
        <f>VLOOKUP($A58,'Data shares'!$C:$FA,93)</f>
        <v>3.1600000000000003E-2</v>
      </c>
      <c r="K58" s="86">
        <f>VLOOKUP($A58,'Data shares'!$C:$FA,94)</f>
        <v>1841450</v>
      </c>
      <c r="L58" s="86">
        <f>VLOOKUP($A58,'Data shares'!$C:$FA,96)</f>
        <v>39650</v>
      </c>
      <c r="M58" s="87">
        <f>VLOOKUP($A58,'Data shares'!$C:$FA,97)</f>
        <v>2.1999999999999999E-2</v>
      </c>
      <c r="N58" s="86">
        <f>VLOOKUP($A58,'Data shares'!$C:$FA,78)</f>
        <v>2701400</v>
      </c>
      <c r="O58" s="87">
        <f>VLOOKUP($A58,'Data shares'!$C:$FA,81)</f>
        <v>3.0499999999999999E-2</v>
      </c>
    </row>
    <row r="59" spans="1:15" x14ac:dyDescent="0.25">
      <c r="A59" s="100" t="str">
        <f>'Data Vlaue (Cr)'!C54</f>
        <v>DELHIVERY</v>
      </c>
      <c r="B59" s="82">
        <f>VLOOKUP(A59,'Data shares'!$C$2:$CV$214,98,0)</f>
        <v>41599600</v>
      </c>
      <c r="C59" s="82">
        <f>VLOOKUP(A59,'Data shares'!$C$2:$CX$214,100,0)</f>
        <v>444050</v>
      </c>
      <c r="D59" s="141">
        <f>VLOOKUP(A59,'Data shares'!$C$2:$CY$537,101,0)</f>
        <v>1.0800000000000001E-2</v>
      </c>
      <c r="E59" s="86">
        <f>VLOOKUP($A59,'Data shares'!$C:$FA,74)</f>
        <v>24557625</v>
      </c>
      <c r="F59" s="86">
        <f>VLOOKUP($A59,'Data shares'!$C:$FA,76)</f>
        <v>821700</v>
      </c>
      <c r="G59" s="87">
        <f>VLOOKUP(A59,'Data shares'!$C$2:$CA$214,77,0)</f>
        <v>3.4599999999999999E-2</v>
      </c>
      <c r="H59" s="86">
        <f>VLOOKUP($A59,'Data shares'!$C:$FA,90)</f>
        <v>10846025</v>
      </c>
      <c r="I59" s="86">
        <f>VLOOKUP($A59,'Data shares'!$C:$FA,92)</f>
        <v>-219950</v>
      </c>
      <c r="J59" s="87">
        <f>VLOOKUP($A59,'Data shares'!$C:$FA,93)</f>
        <v>-1.9900000000000001E-2</v>
      </c>
      <c r="K59" s="86">
        <f>VLOOKUP($A59,'Data shares'!$C:$FA,94)</f>
        <v>6195950</v>
      </c>
      <c r="L59" s="86">
        <f>VLOOKUP($A59,'Data shares'!$C:$FA,96)</f>
        <v>-157700</v>
      </c>
      <c r="M59" s="87">
        <f>VLOOKUP($A59,'Data shares'!$C:$FA,97)</f>
        <v>-2.4799999999999999E-2</v>
      </c>
      <c r="N59" s="86">
        <f>VLOOKUP($A59,'Data shares'!$C:$FA,78)</f>
        <v>23922675</v>
      </c>
      <c r="O59" s="87">
        <f>VLOOKUP($A59,'Data shares'!$C:$FA,81)</f>
        <v>3.2099999999999997E-2</v>
      </c>
    </row>
    <row r="60" spans="1:15" x14ac:dyDescent="0.25">
      <c r="A60" s="100" t="str">
        <f>'Data Vlaue (Cr)'!C55</f>
        <v>DIVISLAB</v>
      </c>
      <c r="B60" s="82">
        <f>VLOOKUP(A60,'Data shares'!$C$2:$CV$214,98,0)</f>
        <v>6431800</v>
      </c>
      <c r="C60" s="82">
        <f>VLOOKUP(A60,'Data shares'!$C$2:$CX$214,100,0)</f>
        <v>759800</v>
      </c>
      <c r="D60" s="141">
        <f>VLOOKUP(A60,'Data shares'!$C$2:$CY$537,101,0)</f>
        <v>0.13400000000000001</v>
      </c>
      <c r="E60" s="86">
        <f>VLOOKUP($A60,'Data shares'!$C:$FA,74)</f>
        <v>3492300</v>
      </c>
      <c r="F60" s="86">
        <f>VLOOKUP($A60,'Data shares'!$C:$FA,76)</f>
        <v>-37300</v>
      </c>
      <c r="G60" s="87">
        <f>VLOOKUP(A60,'Data shares'!$C$2:$CA$214,77,0)</f>
        <v>-1.06E-2</v>
      </c>
      <c r="H60" s="86">
        <f>VLOOKUP($A60,'Data shares'!$C:$FA,90)</f>
        <v>1797600</v>
      </c>
      <c r="I60" s="86">
        <f>VLOOKUP($A60,'Data shares'!$C:$FA,92)</f>
        <v>508400</v>
      </c>
      <c r="J60" s="87">
        <f>VLOOKUP($A60,'Data shares'!$C:$FA,93)</f>
        <v>0.39439999999999997</v>
      </c>
      <c r="K60" s="86">
        <f>VLOOKUP($A60,'Data shares'!$C:$FA,94)</f>
        <v>1141900</v>
      </c>
      <c r="L60" s="86">
        <f>VLOOKUP($A60,'Data shares'!$C:$FA,96)</f>
        <v>288700</v>
      </c>
      <c r="M60" s="87">
        <f>VLOOKUP($A60,'Data shares'!$C:$FA,97)</f>
        <v>0.33839999999999998</v>
      </c>
      <c r="N60" s="86">
        <f>VLOOKUP($A60,'Data shares'!$C:$FA,78)</f>
        <v>3407200</v>
      </c>
      <c r="O60" s="87">
        <f>VLOOKUP($A60,'Data shares'!$C:$FA,81)</f>
        <v>-1.17E-2</v>
      </c>
    </row>
    <row r="61" spans="1:15" x14ac:dyDescent="0.25">
      <c r="A61" s="100" t="str">
        <f>'Data Vlaue (Cr)'!C56</f>
        <v>DIXON</v>
      </c>
      <c r="B61" s="82">
        <f>VLOOKUP(A61,'Data shares'!$C$2:$CV$214,98,0)</f>
        <v>6258750</v>
      </c>
      <c r="C61" s="82">
        <f>VLOOKUP(A61,'Data shares'!$C$2:$CX$214,100,0)</f>
        <v>-25050</v>
      </c>
      <c r="D61" s="141">
        <f>VLOOKUP(A61,'Data shares'!$C$2:$CY$537,101,0)</f>
        <v>-4.0000000000000001E-3</v>
      </c>
      <c r="E61" s="86">
        <f>VLOOKUP($A61,'Data shares'!$C:$FA,74)</f>
        <v>2570350</v>
      </c>
      <c r="F61" s="86">
        <f>VLOOKUP($A61,'Data shares'!$C:$FA,76)</f>
        <v>-16500</v>
      </c>
      <c r="G61" s="87">
        <f>VLOOKUP(A61,'Data shares'!$C$2:$CA$214,77,0)</f>
        <v>-6.4000000000000003E-3</v>
      </c>
      <c r="H61" s="86">
        <f>VLOOKUP($A61,'Data shares'!$C:$FA,90)</f>
        <v>2074150</v>
      </c>
      <c r="I61" s="86">
        <f>VLOOKUP($A61,'Data shares'!$C:$FA,92)</f>
        <v>-62900</v>
      </c>
      <c r="J61" s="87">
        <f>VLOOKUP($A61,'Data shares'!$C:$FA,93)</f>
        <v>-2.9399999999999999E-2</v>
      </c>
      <c r="K61" s="86">
        <f>VLOOKUP($A61,'Data shares'!$C:$FA,94)</f>
        <v>1614250</v>
      </c>
      <c r="L61" s="86">
        <f>VLOOKUP($A61,'Data shares'!$C:$FA,96)</f>
        <v>54350</v>
      </c>
      <c r="M61" s="87">
        <f>VLOOKUP($A61,'Data shares'!$C:$FA,97)</f>
        <v>3.4799999999999998E-2</v>
      </c>
      <c r="N61" s="86">
        <f>VLOOKUP($A61,'Data shares'!$C:$FA,78)</f>
        <v>2339150</v>
      </c>
      <c r="O61" s="87">
        <f>VLOOKUP($A61,'Data shares'!$C:$FA,81)</f>
        <v>-7.0000000000000001E-3</v>
      </c>
    </row>
    <row r="62" spans="1:15" x14ac:dyDescent="0.25">
      <c r="A62" s="100" t="str">
        <f>'Data Vlaue (Cr)'!C57</f>
        <v>DLF</v>
      </c>
      <c r="B62" s="82">
        <f>VLOOKUP(A62,'Data shares'!$C$2:$CV$214,98,0)</f>
        <v>76020450</v>
      </c>
      <c r="C62" s="82">
        <f>VLOOKUP(A62,'Data shares'!$C$2:$CX$214,100,0)</f>
        <v>63525</v>
      </c>
      <c r="D62" s="141">
        <f>VLOOKUP(A62,'Data shares'!$C$2:$CY$537,101,0)</f>
        <v>8.0000000000000004E-4</v>
      </c>
      <c r="E62" s="86">
        <f>VLOOKUP($A62,'Data shares'!$C:$FA,74)</f>
        <v>51687900</v>
      </c>
      <c r="F62" s="86">
        <f>VLOOKUP($A62,'Data shares'!$C:$FA,76)</f>
        <v>-24750</v>
      </c>
      <c r="G62" s="87">
        <f>VLOOKUP(A62,'Data shares'!$C$2:$CA$214,77,0)</f>
        <v>-5.0000000000000001E-4</v>
      </c>
      <c r="H62" s="86">
        <f>VLOOKUP($A62,'Data shares'!$C:$FA,90)</f>
        <v>12979725</v>
      </c>
      <c r="I62" s="86">
        <f>VLOOKUP($A62,'Data shares'!$C:$FA,92)</f>
        <v>-146025</v>
      </c>
      <c r="J62" s="87">
        <f>VLOOKUP($A62,'Data shares'!$C:$FA,93)</f>
        <v>-1.11E-2</v>
      </c>
      <c r="K62" s="86">
        <f>VLOOKUP($A62,'Data shares'!$C:$FA,94)</f>
        <v>11352825</v>
      </c>
      <c r="L62" s="86">
        <f>VLOOKUP($A62,'Data shares'!$C:$FA,96)</f>
        <v>234300</v>
      </c>
      <c r="M62" s="87">
        <f>VLOOKUP($A62,'Data shares'!$C:$FA,97)</f>
        <v>2.1100000000000001E-2</v>
      </c>
      <c r="N62" s="86">
        <f>VLOOKUP($A62,'Data shares'!$C:$FA,78)</f>
        <v>49821750</v>
      </c>
      <c r="O62" s="87">
        <f>VLOOKUP($A62,'Data shares'!$C:$FA,81)</f>
        <v>-3.3E-3</v>
      </c>
    </row>
    <row r="63" spans="1:15" x14ac:dyDescent="0.25">
      <c r="A63" s="100" t="str">
        <f>'Data Vlaue (Cr)'!C58</f>
        <v>DMART</v>
      </c>
      <c r="B63" s="82">
        <f>VLOOKUP(A63,'Data shares'!$C$2:$CV$214,98,0)</f>
        <v>8968050</v>
      </c>
      <c r="C63" s="82">
        <f>VLOOKUP(A63,'Data shares'!$C$2:$CX$214,100,0)</f>
        <v>212550</v>
      </c>
      <c r="D63" s="141">
        <f>VLOOKUP(A63,'Data shares'!$C$2:$CY$537,101,0)</f>
        <v>2.4299999999999999E-2</v>
      </c>
      <c r="E63" s="86">
        <f>VLOOKUP($A63,'Data shares'!$C:$FA,74)</f>
        <v>6024600</v>
      </c>
      <c r="F63" s="86">
        <f>VLOOKUP($A63,'Data shares'!$C:$FA,76)</f>
        <v>116700</v>
      </c>
      <c r="G63" s="87">
        <f>VLOOKUP(A63,'Data shares'!$C$2:$CA$214,77,0)</f>
        <v>1.9800000000000002E-2</v>
      </c>
      <c r="H63" s="86">
        <f>VLOOKUP($A63,'Data shares'!$C:$FA,90)</f>
        <v>1737450</v>
      </c>
      <c r="I63" s="86">
        <f>VLOOKUP($A63,'Data shares'!$C:$FA,92)</f>
        <v>94350</v>
      </c>
      <c r="J63" s="87">
        <f>VLOOKUP($A63,'Data shares'!$C:$FA,93)</f>
        <v>5.74E-2</v>
      </c>
      <c r="K63" s="86">
        <f>VLOOKUP($A63,'Data shares'!$C:$FA,94)</f>
        <v>1206000</v>
      </c>
      <c r="L63" s="86">
        <f>VLOOKUP($A63,'Data shares'!$C:$FA,96)</f>
        <v>1500</v>
      </c>
      <c r="M63" s="87">
        <f>VLOOKUP($A63,'Data shares'!$C:$FA,97)</f>
        <v>1.1999999999999999E-3</v>
      </c>
      <c r="N63" s="86">
        <f>VLOOKUP($A63,'Data shares'!$C:$FA,78)</f>
        <v>5147550</v>
      </c>
      <c r="O63" s="87">
        <f>VLOOKUP($A63,'Data shares'!$C:$FA,81)</f>
        <v>4.7999999999999996E-3</v>
      </c>
    </row>
    <row r="64" spans="1:15" x14ac:dyDescent="0.25">
      <c r="A64" s="100" t="str">
        <f>'Data Vlaue (Cr)'!C59</f>
        <v>DRREDDY</v>
      </c>
      <c r="B64" s="82">
        <f>VLOOKUP(A64,'Data shares'!$C$2:$CV$214,98,0)</f>
        <v>27778750</v>
      </c>
      <c r="C64" s="82">
        <f>VLOOKUP(A64,'Data shares'!$C$2:$CX$214,100,0)</f>
        <v>-375000</v>
      </c>
      <c r="D64" s="141">
        <f>VLOOKUP(A64,'Data shares'!$C$2:$CY$537,101,0)</f>
        <v>-1.3299999999999999E-2</v>
      </c>
      <c r="E64" s="86">
        <f>VLOOKUP($A64,'Data shares'!$C:$FA,74)</f>
        <v>15545000</v>
      </c>
      <c r="F64" s="86">
        <f>VLOOKUP($A64,'Data shares'!$C:$FA,76)</f>
        <v>-291875</v>
      </c>
      <c r="G64" s="87">
        <f>VLOOKUP(A64,'Data shares'!$C$2:$CA$214,77,0)</f>
        <v>-1.84E-2</v>
      </c>
      <c r="H64" s="86">
        <f>VLOOKUP($A64,'Data shares'!$C:$FA,90)</f>
        <v>8309375</v>
      </c>
      <c r="I64" s="86">
        <f>VLOOKUP($A64,'Data shares'!$C:$FA,92)</f>
        <v>-171875</v>
      </c>
      <c r="J64" s="87">
        <f>VLOOKUP($A64,'Data shares'!$C:$FA,93)</f>
        <v>-2.0299999999999999E-2</v>
      </c>
      <c r="K64" s="86">
        <f>VLOOKUP($A64,'Data shares'!$C:$FA,94)</f>
        <v>3924375</v>
      </c>
      <c r="L64" s="86">
        <f>VLOOKUP($A64,'Data shares'!$C:$FA,96)</f>
        <v>88750</v>
      </c>
      <c r="M64" s="87">
        <f>VLOOKUP($A64,'Data shares'!$C:$FA,97)</f>
        <v>2.3099999999999999E-2</v>
      </c>
      <c r="N64" s="86">
        <f>VLOOKUP($A64,'Data shares'!$C:$FA,78)</f>
        <v>15101875</v>
      </c>
      <c r="O64" s="87">
        <f>VLOOKUP($A64,'Data shares'!$C:$FA,81)</f>
        <v>-2.4500000000000001E-2</v>
      </c>
    </row>
    <row r="65" spans="1:15" x14ac:dyDescent="0.25">
      <c r="A65" s="100" t="str">
        <f>'Data Vlaue (Cr)'!C60</f>
        <v>EICHERMOT</v>
      </c>
      <c r="B65" s="82">
        <f>VLOOKUP(A65,'Data shares'!$C$2:$CV$214,98,0)</f>
        <v>8754100</v>
      </c>
      <c r="C65" s="82">
        <f>VLOOKUP(A65,'Data shares'!$C$2:$CX$214,100,0)</f>
        <v>2380900</v>
      </c>
      <c r="D65" s="141">
        <f>VLOOKUP(A65,'Data shares'!$C$2:$CY$537,101,0)</f>
        <v>0.37359999999999999</v>
      </c>
      <c r="E65" s="86">
        <f>VLOOKUP($A65,'Data shares'!$C:$FA,74)</f>
        <v>3357100</v>
      </c>
      <c r="F65" s="86">
        <f>VLOOKUP($A65,'Data shares'!$C:$FA,76)</f>
        <v>317100</v>
      </c>
      <c r="G65" s="87">
        <f>VLOOKUP(A65,'Data shares'!$C$2:$CA$214,77,0)</f>
        <v>0.1043</v>
      </c>
      <c r="H65" s="86">
        <f>VLOOKUP($A65,'Data shares'!$C:$FA,90)</f>
        <v>2769000</v>
      </c>
      <c r="I65" s="86">
        <f>VLOOKUP($A65,'Data shares'!$C:$FA,92)</f>
        <v>873100</v>
      </c>
      <c r="J65" s="87">
        <f>VLOOKUP($A65,'Data shares'!$C:$FA,93)</f>
        <v>0.46050000000000002</v>
      </c>
      <c r="K65" s="86">
        <f>VLOOKUP($A65,'Data shares'!$C:$FA,94)</f>
        <v>2628000</v>
      </c>
      <c r="L65" s="86">
        <f>VLOOKUP($A65,'Data shares'!$C:$FA,96)</f>
        <v>1190700</v>
      </c>
      <c r="M65" s="87">
        <f>VLOOKUP($A65,'Data shares'!$C:$FA,97)</f>
        <v>0.82840000000000003</v>
      </c>
      <c r="N65" s="86">
        <f>VLOOKUP($A65,'Data shares'!$C:$FA,78)</f>
        <v>3149500</v>
      </c>
      <c r="O65" s="87">
        <f>VLOOKUP($A65,'Data shares'!$C:$FA,81)</f>
        <v>7.0099999999999996E-2</v>
      </c>
    </row>
    <row r="66" spans="1:15" x14ac:dyDescent="0.25">
      <c r="A66" s="100" t="str">
        <f>'Data Vlaue (Cr)'!C61</f>
        <v>ETERNAL</v>
      </c>
      <c r="B66" s="82">
        <f>VLOOKUP(A66,'Data shares'!$C$2:$CV$214,98,0)</f>
        <v>386331600</v>
      </c>
      <c r="C66" s="82">
        <f>VLOOKUP(A66,'Data shares'!$C$2:$CX$214,100,0)</f>
        <v>-3140375</v>
      </c>
      <c r="D66" s="141">
        <f>VLOOKUP(A66,'Data shares'!$C$2:$CY$537,101,0)</f>
        <v>-8.0999999999999996E-3</v>
      </c>
      <c r="E66" s="86">
        <f>VLOOKUP($A66,'Data shares'!$C:$FA,74)</f>
        <v>250233325</v>
      </c>
      <c r="F66" s="86">
        <f>VLOOKUP($A66,'Data shares'!$C:$FA,76)</f>
        <v>-1052450</v>
      </c>
      <c r="G66" s="87">
        <f>VLOOKUP(A66,'Data shares'!$C$2:$CA$214,77,0)</f>
        <v>-4.1999999999999997E-3</v>
      </c>
      <c r="H66" s="86">
        <f>VLOOKUP($A66,'Data shares'!$C:$FA,90)</f>
        <v>74774875</v>
      </c>
      <c r="I66" s="86">
        <f>VLOOKUP($A66,'Data shares'!$C:$FA,92)</f>
        <v>1110650</v>
      </c>
      <c r="J66" s="87">
        <f>VLOOKUP($A66,'Data shares'!$C:$FA,93)</f>
        <v>1.5100000000000001E-2</v>
      </c>
      <c r="K66" s="86">
        <f>VLOOKUP($A66,'Data shares'!$C:$FA,94)</f>
        <v>61323400</v>
      </c>
      <c r="L66" s="86">
        <f>VLOOKUP($A66,'Data shares'!$C:$FA,96)</f>
        <v>-3198575</v>
      </c>
      <c r="M66" s="87">
        <f>VLOOKUP($A66,'Data shares'!$C:$FA,97)</f>
        <v>-4.9599999999999998E-2</v>
      </c>
      <c r="N66" s="86">
        <f>VLOOKUP($A66,'Data shares'!$C:$FA,78)</f>
        <v>235865200</v>
      </c>
      <c r="O66" s="87">
        <f>VLOOKUP($A66,'Data shares'!$C:$FA,81)</f>
        <v>-6.4000000000000003E-3</v>
      </c>
    </row>
    <row r="67" spans="1:15" x14ac:dyDescent="0.25">
      <c r="A67" s="100" t="str">
        <f>'Data Vlaue (Cr)'!C62</f>
        <v>EXIDEIND</v>
      </c>
      <c r="B67" s="82">
        <f>VLOOKUP(A67,'Data shares'!$C$2:$CV$214,98,0)</f>
        <v>65145600</v>
      </c>
      <c r="C67" s="82">
        <f>VLOOKUP(A67,'Data shares'!$C$2:$CX$214,100,0)</f>
        <v>185400</v>
      </c>
      <c r="D67" s="141">
        <f>VLOOKUP(A67,'Data shares'!$C$2:$CY$537,101,0)</f>
        <v>2.8999999999999998E-3</v>
      </c>
      <c r="E67" s="86">
        <f>VLOOKUP($A67,'Data shares'!$C:$FA,74)</f>
        <v>34947000</v>
      </c>
      <c r="F67" s="86">
        <f>VLOOKUP($A67,'Data shares'!$C:$FA,76)</f>
        <v>-261000</v>
      </c>
      <c r="G67" s="87">
        <f>VLOOKUP(A67,'Data shares'!$C$2:$CA$214,77,0)</f>
        <v>-7.4000000000000003E-3</v>
      </c>
      <c r="H67" s="86">
        <f>VLOOKUP($A67,'Data shares'!$C:$FA,90)</f>
        <v>19071000</v>
      </c>
      <c r="I67" s="86">
        <f>VLOOKUP($A67,'Data shares'!$C:$FA,92)</f>
        <v>408600</v>
      </c>
      <c r="J67" s="87">
        <f>VLOOKUP($A67,'Data shares'!$C:$FA,93)</f>
        <v>2.1899999999999999E-2</v>
      </c>
      <c r="K67" s="86">
        <f>VLOOKUP($A67,'Data shares'!$C:$FA,94)</f>
        <v>11127600</v>
      </c>
      <c r="L67" s="86">
        <f>VLOOKUP($A67,'Data shares'!$C:$FA,96)</f>
        <v>37800</v>
      </c>
      <c r="M67" s="87">
        <f>VLOOKUP($A67,'Data shares'!$C:$FA,97)</f>
        <v>3.3999999999999998E-3</v>
      </c>
      <c r="N67" s="86">
        <f>VLOOKUP($A67,'Data shares'!$C:$FA,78)</f>
        <v>32650200</v>
      </c>
      <c r="O67" s="87">
        <f>VLOOKUP($A67,'Data shares'!$C:$FA,81)</f>
        <v>-1.0999999999999999E-2</v>
      </c>
    </row>
    <row r="68" spans="1:15" x14ac:dyDescent="0.25">
      <c r="A68" s="100" t="str">
        <f>'Data Vlaue (Cr)'!C63</f>
        <v>FEDERALBNK</v>
      </c>
      <c r="B68" s="82">
        <f>VLOOKUP(A68,'Data shares'!$C$2:$CV$214,98,0)</f>
        <v>138250000</v>
      </c>
      <c r="C68" s="82">
        <f>VLOOKUP(A68,'Data shares'!$C$2:$CX$214,100,0)</f>
        <v>9300000</v>
      </c>
      <c r="D68" s="141">
        <f>VLOOKUP(A68,'Data shares'!$C$2:$CY$537,101,0)</f>
        <v>7.2099999999999997E-2</v>
      </c>
      <c r="E68" s="86">
        <f>VLOOKUP($A68,'Data shares'!$C:$FA,74)</f>
        <v>61090000</v>
      </c>
      <c r="F68" s="86">
        <f>VLOOKUP($A68,'Data shares'!$C:$FA,76)</f>
        <v>5375000</v>
      </c>
      <c r="G68" s="87">
        <f>VLOOKUP(A68,'Data shares'!$C$2:$CA$214,77,0)</f>
        <v>9.6500000000000002E-2</v>
      </c>
      <c r="H68" s="86">
        <f>VLOOKUP($A68,'Data shares'!$C:$FA,90)</f>
        <v>41050000</v>
      </c>
      <c r="I68" s="86">
        <f>VLOOKUP($A68,'Data shares'!$C:$FA,92)</f>
        <v>630000</v>
      </c>
      <c r="J68" s="87">
        <f>VLOOKUP($A68,'Data shares'!$C:$FA,93)</f>
        <v>1.5599999999999999E-2</v>
      </c>
      <c r="K68" s="86">
        <f>VLOOKUP($A68,'Data shares'!$C:$FA,94)</f>
        <v>36110000</v>
      </c>
      <c r="L68" s="86">
        <f>VLOOKUP($A68,'Data shares'!$C:$FA,96)</f>
        <v>3295000</v>
      </c>
      <c r="M68" s="87">
        <f>VLOOKUP($A68,'Data shares'!$C:$FA,97)</f>
        <v>0.1004</v>
      </c>
      <c r="N68" s="86">
        <f>VLOOKUP($A68,'Data shares'!$C:$FA,78)</f>
        <v>57100000</v>
      </c>
      <c r="O68" s="87">
        <f>VLOOKUP($A68,'Data shares'!$C:$FA,81)</f>
        <v>9.8599999999999993E-2</v>
      </c>
    </row>
    <row r="69" spans="1:15" x14ac:dyDescent="0.25">
      <c r="A69" s="100" t="str">
        <f>'Data Vlaue (Cr)'!C64</f>
        <v>FINNIFTY</v>
      </c>
      <c r="B69" s="82">
        <f>VLOOKUP(A69,'Data shares'!$C$2:$CV$214,98,0)</f>
        <v>1859700</v>
      </c>
      <c r="C69" s="82">
        <f>VLOOKUP(A69,'Data shares'!$C$2:$CX$214,100,0)</f>
        <v>159600</v>
      </c>
      <c r="D69" s="141">
        <f>VLOOKUP(A69,'Data shares'!$C$2:$CY$537,101,0)</f>
        <v>9.3899999999999997E-2</v>
      </c>
      <c r="E69" s="86">
        <f>VLOOKUP($A69,'Data shares'!$C:$FA,74)</f>
        <v>47820</v>
      </c>
      <c r="F69" s="86">
        <f>VLOOKUP($A69,'Data shares'!$C:$FA,76)</f>
        <v>-60</v>
      </c>
      <c r="G69" s="87">
        <f>VLOOKUP(A69,'Data shares'!$C$2:$CA$214,77,0)</f>
        <v>-1.2999999999999999E-3</v>
      </c>
      <c r="H69" s="86">
        <f>VLOOKUP($A69,'Data shares'!$C:$FA,90)</f>
        <v>815640</v>
      </c>
      <c r="I69" s="86">
        <f>VLOOKUP($A69,'Data shares'!$C:$FA,92)</f>
        <v>125220</v>
      </c>
      <c r="J69" s="87">
        <f>VLOOKUP($A69,'Data shares'!$C:$FA,93)</f>
        <v>0.18140000000000001</v>
      </c>
      <c r="K69" s="86">
        <f>VLOOKUP($A69,'Data shares'!$C:$FA,94)</f>
        <v>996240</v>
      </c>
      <c r="L69" s="86">
        <f>VLOOKUP($A69,'Data shares'!$C:$FA,96)</f>
        <v>34440</v>
      </c>
      <c r="M69" s="87">
        <f>VLOOKUP($A69,'Data shares'!$C:$FA,97)</f>
        <v>3.5799999999999998E-2</v>
      </c>
      <c r="N69" s="86">
        <f>VLOOKUP($A69,'Data shares'!$C:$FA,78)</f>
        <v>46680</v>
      </c>
      <c r="O69" s="87">
        <f>VLOOKUP($A69,'Data shares'!$C:$FA,81)</f>
        <v>-2.5999999999999999E-3</v>
      </c>
    </row>
    <row r="70" spans="1:15" x14ac:dyDescent="0.25">
      <c r="A70" s="100" t="str">
        <f>'Data Vlaue (Cr)'!C65</f>
        <v>FORTIS</v>
      </c>
      <c r="B70" s="82">
        <f>VLOOKUP(A70,'Data shares'!$C$2:$CV$214,98,0)</f>
        <v>20454575</v>
      </c>
      <c r="C70" s="82">
        <f>VLOOKUP(A70,'Data shares'!$C$2:$CX$214,100,0)</f>
        <v>3262750</v>
      </c>
      <c r="D70" s="141">
        <f>VLOOKUP(A70,'Data shares'!$C$2:$CY$537,101,0)</f>
        <v>0.1898</v>
      </c>
      <c r="E70" s="86">
        <f>VLOOKUP($A70,'Data shares'!$C:$FA,74)</f>
        <v>12547250</v>
      </c>
      <c r="F70" s="86">
        <f>VLOOKUP($A70,'Data shares'!$C:$FA,76)</f>
        <v>422375</v>
      </c>
      <c r="G70" s="87">
        <f>VLOOKUP(A70,'Data shares'!$C$2:$CA$214,77,0)</f>
        <v>3.4799999999999998E-2</v>
      </c>
      <c r="H70" s="86">
        <f>VLOOKUP($A70,'Data shares'!$C:$FA,90)</f>
        <v>4747650</v>
      </c>
      <c r="I70" s="86">
        <f>VLOOKUP($A70,'Data shares'!$C:$FA,92)</f>
        <v>1901850</v>
      </c>
      <c r="J70" s="87">
        <f>VLOOKUP($A70,'Data shares'!$C:$FA,93)</f>
        <v>0.66830000000000001</v>
      </c>
      <c r="K70" s="86">
        <f>VLOOKUP($A70,'Data shares'!$C:$FA,94)</f>
        <v>3159675</v>
      </c>
      <c r="L70" s="86">
        <f>VLOOKUP($A70,'Data shares'!$C:$FA,96)</f>
        <v>938525</v>
      </c>
      <c r="M70" s="87">
        <f>VLOOKUP($A70,'Data shares'!$C:$FA,97)</f>
        <v>0.42249999999999999</v>
      </c>
      <c r="N70" s="86">
        <f>VLOOKUP($A70,'Data shares'!$C:$FA,78)</f>
        <v>12283750</v>
      </c>
      <c r="O70" s="87">
        <f>VLOOKUP($A70,'Data shares'!$C:$FA,81)</f>
        <v>3.1300000000000001E-2</v>
      </c>
    </row>
    <row r="71" spans="1:15" x14ac:dyDescent="0.25">
      <c r="A71" s="100" t="str">
        <f>'Data Vlaue (Cr)'!C66</f>
        <v>GAIL</v>
      </c>
      <c r="B71" s="82">
        <f>VLOOKUP(A71,'Data shares'!$C$2:$CV$214,98,0)</f>
        <v>190278900</v>
      </c>
      <c r="C71" s="82">
        <f>VLOOKUP(A71,'Data shares'!$C$2:$CX$214,100,0)</f>
        <v>1820700</v>
      </c>
      <c r="D71" s="141">
        <f>VLOOKUP(A71,'Data shares'!$C$2:$CY$537,101,0)</f>
        <v>9.7000000000000003E-3</v>
      </c>
      <c r="E71" s="86">
        <f>VLOOKUP($A71,'Data shares'!$C:$FA,74)</f>
        <v>117413100</v>
      </c>
      <c r="F71" s="86">
        <f>VLOOKUP($A71,'Data shares'!$C:$FA,76)</f>
        <v>1455300</v>
      </c>
      <c r="G71" s="87">
        <f>VLOOKUP(A71,'Data shares'!$C$2:$CA$214,77,0)</f>
        <v>1.26E-2</v>
      </c>
      <c r="H71" s="86">
        <f>VLOOKUP($A71,'Data shares'!$C:$FA,90)</f>
        <v>41469750</v>
      </c>
      <c r="I71" s="86">
        <f>VLOOKUP($A71,'Data shares'!$C:$FA,92)</f>
        <v>264600</v>
      </c>
      <c r="J71" s="87">
        <f>VLOOKUP($A71,'Data shares'!$C:$FA,93)</f>
        <v>6.4000000000000003E-3</v>
      </c>
      <c r="K71" s="86">
        <f>VLOOKUP($A71,'Data shares'!$C:$FA,94)</f>
        <v>31396050</v>
      </c>
      <c r="L71" s="86">
        <f>VLOOKUP($A71,'Data shares'!$C:$FA,96)</f>
        <v>100800</v>
      </c>
      <c r="M71" s="87">
        <f>VLOOKUP($A71,'Data shares'!$C:$FA,97)</f>
        <v>3.2000000000000002E-3</v>
      </c>
      <c r="N71" s="86">
        <f>VLOOKUP($A71,'Data shares'!$C:$FA,78)</f>
        <v>110687850</v>
      </c>
      <c r="O71" s="87">
        <f>VLOOKUP($A71,'Data shares'!$C:$FA,81)</f>
        <v>6.1000000000000004E-3</v>
      </c>
    </row>
    <row r="72" spans="1:15" x14ac:dyDescent="0.25">
      <c r="A72" s="100" t="str">
        <f>'Data Vlaue (Cr)'!C67</f>
        <v>GLENMARK</v>
      </c>
      <c r="B72" s="82">
        <f>VLOOKUP(A72,'Data shares'!$C$2:$CV$214,98,0)</f>
        <v>15714000</v>
      </c>
      <c r="C72" s="82">
        <f>VLOOKUP(A72,'Data shares'!$C$2:$CX$214,100,0)</f>
        <v>82875</v>
      </c>
      <c r="D72" s="141">
        <f>VLOOKUP(A72,'Data shares'!$C$2:$CY$537,101,0)</f>
        <v>5.3E-3</v>
      </c>
      <c r="E72" s="86">
        <f>VLOOKUP($A72,'Data shares'!$C:$FA,74)</f>
        <v>11357250</v>
      </c>
      <c r="F72" s="86">
        <f>VLOOKUP($A72,'Data shares'!$C:$FA,76)</f>
        <v>-148875</v>
      </c>
      <c r="G72" s="87">
        <f>VLOOKUP(A72,'Data shares'!$C$2:$CA$214,77,0)</f>
        <v>-1.29E-2</v>
      </c>
      <c r="H72" s="86">
        <f>VLOOKUP($A72,'Data shares'!$C:$FA,90)</f>
        <v>2550750</v>
      </c>
      <c r="I72" s="86">
        <f>VLOOKUP($A72,'Data shares'!$C:$FA,92)</f>
        <v>54000</v>
      </c>
      <c r="J72" s="87">
        <f>VLOOKUP($A72,'Data shares'!$C:$FA,93)</f>
        <v>2.1600000000000001E-2</v>
      </c>
      <c r="K72" s="86">
        <f>VLOOKUP($A72,'Data shares'!$C:$FA,94)</f>
        <v>1806000</v>
      </c>
      <c r="L72" s="86">
        <f>VLOOKUP($A72,'Data shares'!$C:$FA,96)</f>
        <v>177750</v>
      </c>
      <c r="M72" s="87">
        <f>VLOOKUP($A72,'Data shares'!$C:$FA,97)</f>
        <v>0.10920000000000001</v>
      </c>
      <c r="N72" s="86">
        <f>VLOOKUP($A72,'Data shares'!$C:$FA,78)</f>
        <v>11257875</v>
      </c>
      <c r="O72" s="87">
        <f>VLOOKUP($A72,'Data shares'!$C:$FA,81)</f>
        <v>-1.3299999999999999E-2</v>
      </c>
    </row>
    <row r="73" spans="1:15" x14ac:dyDescent="0.25">
      <c r="A73" s="100" t="str">
        <f>'Data Vlaue (Cr)'!C68</f>
        <v>GMRAIRPORT</v>
      </c>
      <c r="B73" s="82">
        <f>VLOOKUP(A73,'Data shares'!$C$2:$CV$214,98,0)</f>
        <v>294059025</v>
      </c>
      <c r="C73" s="82">
        <f>VLOOKUP(A73,'Data shares'!$C$2:$CX$214,100,0)</f>
        <v>7379550</v>
      </c>
      <c r="D73" s="141">
        <f>VLOOKUP(A73,'Data shares'!$C$2:$CY$537,101,0)</f>
        <v>2.5700000000000001E-2</v>
      </c>
      <c r="E73" s="86">
        <f>VLOOKUP($A73,'Data shares'!$C:$FA,74)</f>
        <v>155124000</v>
      </c>
      <c r="F73" s="86">
        <f>VLOOKUP($A73,'Data shares'!$C:$FA,76)</f>
        <v>509175</v>
      </c>
      <c r="G73" s="87">
        <f>VLOOKUP(A73,'Data shares'!$C$2:$CA$214,77,0)</f>
        <v>3.3E-3</v>
      </c>
      <c r="H73" s="86">
        <f>VLOOKUP($A73,'Data shares'!$C:$FA,90)</f>
        <v>82646775</v>
      </c>
      <c r="I73" s="86">
        <f>VLOOKUP($A73,'Data shares'!$C:$FA,92)</f>
        <v>5573025</v>
      </c>
      <c r="J73" s="87">
        <f>VLOOKUP($A73,'Data shares'!$C:$FA,93)</f>
        <v>7.2300000000000003E-2</v>
      </c>
      <c r="K73" s="86">
        <f>VLOOKUP($A73,'Data shares'!$C:$FA,94)</f>
        <v>56288250</v>
      </c>
      <c r="L73" s="86">
        <f>VLOOKUP($A73,'Data shares'!$C:$FA,96)</f>
        <v>1297350</v>
      </c>
      <c r="M73" s="87">
        <f>VLOOKUP($A73,'Data shares'!$C:$FA,97)</f>
        <v>2.3599999999999999E-2</v>
      </c>
      <c r="N73" s="86">
        <f>VLOOKUP($A73,'Data shares'!$C:$FA,78)</f>
        <v>149209200</v>
      </c>
      <c r="O73" s="87">
        <f>VLOOKUP($A73,'Data shares'!$C:$FA,81)</f>
        <v>3.0000000000000001E-3</v>
      </c>
    </row>
    <row r="74" spans="1:15" x14ac:dyDescent="0.25">
      <c r="A74" s="100" t="str">
        <f>'Data Vlaue (Cr)'!C69</f>
        <v>GODREJCP</v>
      </c>
      <c r="B74" s="82">
        <f>VLOOKUP(A74,'Data shares'!$C$2:$CV$214,98,0)</f>
        <v>13404000</v>
      </c>
      <c r="C74" s="82">
        <f>VLOOKUP(A74,'Data shares'!$C$2:$CX$214,100,0)</f>
        <v>-48500</v>
      </c>
      <c r="D74" s="141">
        <f>VLOOKUP(A74,'Data shares'!$C$2:$CY$537,101,0)</f>
        <v>-3.5999999999999999E-3</v>
      </c>
      <c r="E74" s="86">
        <f>VLOOKUP($A74,'Data shares'!$C:$FA,74)</f>
        <v>8652000</v>
      </c>
      <c r="F74" s="86">
        <f>VLOOKUP($A74,'Data shares'!$C:$FA,76)</f>
        <v>-24500</v>
      </c>
      <c r="G74" s="87">
        <f>VLOOKUP(A74,'Data shares'!$C$2:$CA$214,77,0)</f>
        <v>-2.8E-3</v>
      </c>
      <c r="H74" s="86">
        <f>VLOOKUP($A74,'Data shares'!$C:$FA,90)</f>
        <v>2732000</v>
      </c>
      <c r="I74" s="86">
        <f>VLOOKUP($A74,'Data shares'!$C:$FA,92)</f>
        <v>-17500</v>
      </c>
      <c r="J74" s="87">
        <f>VLOOKUP($A74,'Data shares'!$C:$FA,93)</f>
        <v>-6.4000000000000003E-3</v>
      </c>
      <c r="K74" s="86">
        <f>VLOOKUP($A74,'Data shares'!$C:$FA,94)</f>
        <v>2020000</v>
      </c>
      <c r="L74" s="86">
        <f>VLOOKUP($A74,'Data shares'!$C:$FA,96)</f>
        <v>-6500</v>
      </c>
      <c r="M74" s="87">
        <f>VLOOKUP($A74,'Data shares'!$C:$FA,97)</f>
        <v>-3.2000000000000002E-3</v>
      </c>
      <c r="N74" s="86">
        <f>VLOOKUP($A74,'Data shares'!$C:$FA,78)</f>
        <v>8431000</v>
      </c>
      <c r="O74" s="87">
        <f>VLOOKUP($A74,'Data shares'!$C:$FA,81)</f>
        <v>-2.8E-3</v>
      </c>
    </row>
    <row r="75" spans="1:15" x14ac:dyDescent="0.25">
      <c r="A75" s="100" t="str">
        <f>'Data Vlaue (Cr)'!C70</f>
        <v>GODREJPROP</v>
      </c>
      <c r="B75" s="82">
        <f>VLOOKUP(A75,'Data shares'!$C$2:$CV$214,98,0)</f>
        <v>17708350</v>
      </c>
      <c r="C75" s="82">
        <f>VLOOKUP(A75,'Data shares'!$C$2:$CX$214,100,0)</f>
        <v>-452925</v>
      </c>
      <c r="D75" s="141">
        <f>VLOOKUP(A75,'Data shares'!$C$2:$CY$537,101,0)</f>
        <v>-2.4899999999999999E-2</v>
      </c>
      <c r="E75" s="86">
        <f>VLOOKUP($A75,'Data shares'!$C:$FA,74)</f>
        <v>10022925</v>
      </c>
      <c r="F75" s="86">
        <f>VLOOKUP($A75,'Data shares'!$C:$FA,76)</f>
        <v>-433400</v>
      </c>
      <c r="G75" s="87">
        <f>VLOOKUP(A75,'Data shares'!$C$2:$CA$214,77,0)</f>
        <v>-4.1399999999999999E-2</v>
      </c>
      <c r="H75" s="86">
        <f>VLOOKUP($A75,'Data shares'!$C:$FA,90)</f>
        <v>4463800</v>
      </c>
      <c r="I75" s="86">
        <f>VLOOKUP($A75,'Data shares'!$C:$FA,92)</f>
        <v>10725</v>
      </c>
      <c r="J75" s="87">
        <f>VLOOKUP($A75,'Data shares'!$C:$FA,93)</f>
        <v>2.3999999999999998E-3</v>
      </c>
      <c r="K75" s="86">
        <f>VLOOKUP($A75,'Data shares'!$C:$FA,94)</f>
        <v>3221625</v>
      </c>
      <c r="L75" s="86">
        <f>VLOOKUP($A75,'Data shares'!$C:$FA,96)</f>
        <v>-30250</v>
      </c>
      <c r="M75" s="87">
        <f>VLOOKUP($A75,'Data shares'!$C:$FA,97)</f>
        <v>-9.2999999999999992E-3</v>
      </c>
      <c r="N75" s="86">
        <f>VLOOKUP($A75,'Data shares'!$C:$FA,78)</f>
        <v>9599700</v>
      </c>
      <c r="O75" s="87">
        <f>VLOOKUP($A75,'Data shares'!$C:$FA,81)</f>
        <v>-4.4499999999999998E-2</v>
      </c>
    </row>
    <row r="76" spans="1:15" x14ac:dyDescent="0.25">
      <c r="A76" s="100" t="str">
        <f>'Data Vlaue (Cr)'!C71</f>
        <v>GRASIM</v>
      </c>
      <c r="B76" s="82">
        <f>VLOOKUP(A76,'Data shares'!$C$2:$CV$214,98,0)</f>
        <v>21209000</v>
      </c>
      <c r="C76" s="82">
        <f>VLOOKUP(A76,'Data shares'!$C$2:$CX$214,100,0)</f>
        <v>-124500</v>
      </c>
      <c r="D76" s="141">
        <f>VLOOKUP(A76,'Data shares'!$C$2:$CY$537,101,0)</f>
        <v>-5.7999999999999996E-3</v>
      </c>
      <c r="E76" s="86">
        <f>VLOOKUP($A76,'Data shares'!$C:$FA,74)</f>
        <v>16775500</v>
      </c>
      <c r="F76" s="86">
        <f>VLOOKUP($A76,'Data shares'!$C:$FA,76)</f>
        <v>-441000</v>
      </c>
      <c r="G76" s="87">
        <f>VLOOKUP(A76,'Data shares'!$C$2:$CA$214,77,0)</f>
        <v>-2.5600000000000001E-2</v>
      </c>
      <c r="H76" s="86">
        <f>VLOOKUP($A76,'Data shares'!$C:$FA,90)</f>
        <v>2410750</v>
      </c>
      <c r="I76" s="86">
        <f>VLOOKUP($A76,'Data shares'!$C:$FA,92)</f>
        <v>310500</v>
      </c>
      <c r="J76" s="87">
        <f>VLOOKUP($A76,'Data shares'!$C:$FA,93)</f>
        <v>0.14779999999999999</v>
      </c>
      <c r="K76" s="86">
        <f>VLOOKUP($A76,'Data shares'!$C:$FA,94)</f>
        <v>2022750</v>
      </c>
      <c r="L76" s="86">
        <f>VLOOKUP($A76,'Data shares'!$C:$FA,96)</f>
        <v>6000</v>
      </c>
      <c r="M76" s="87">
        <f>VLOOKUP($A76,'Data shares'!$C:$FA,97)</f>
        <v>3.0000000000000001E-3</v>
      </c>
      <c r="N76" s="86">
        <f>VLOOKUP($A76,'Data shares'!$C:$FA,78)</f>
        <v>16437250</v>
      </c>
      <c r="O76" s="87">
        <f>VLOOKUP($A76,'Data shares'!$C:$FA,81)</f>
        <v>-2.6499999999999999E-2</v>
      </c>
    </row>
    <row r="77" spans="1:15" x14ac:dyDescent="0.25">
      <c r="A77" s="100" t="str">
        <f>'Data Vlaue (Cr)'!C72</f>
        <v>HAL</v>
      </c>
      <c r="B77" s="82">
        <f>VLOOKUP(A77,'Data shares'!$C$2:$CV$214,98,0)</f>
        <v>25715700</v>
      </c>
      <c r="C77" s="82">
        <f>VLOOKUP(A77,'Data shares'!$C$2:$CX$214,100,0)</f>
        <v>205350</v>
      </c>
      <c r="D77" s="141">
        <f>VLOOKUP(A77,'Data shares'!$C$2:$CY$537,101,0)</f>
        <v>8.0000000000000002E-3</v>
      </c>
      <c r="E77" s="86">
        <f>VLOOKUP($A77,'Data shares'!$C:$FA,74)</f>
        <v>10698000</v>
      </c>
      <c r="F77" s="86">
        <f>VLOOKUP($A77,'Data shares'!$C:$FA,76)</f>
        <v>43350</v>
      </c>
      <c r="G77" s="87">
        <f>VLOOKUP(A77,'Data shares'!$C$2:$CA$214,77,0)</f>
        <v>4.1000000000000003E-3</v>
      </c>
      <c r="H77" s="86">
        <f>VLOOKUP($A77,'Data shares'!$C:$FA,90)</f>
        <v>9697350</v>
      </c>
      <c r="I77" s="86">
        <f>VLOOKUP($A77,'Data shares'!$C:$FA,92)</f>
        <v>141900</v>
      </c>
      <c r="J77" s="87">
        <f>VLOOKUP($A77,'Data shares'!$C:$FA,93)</f>
        <v>1.49E-2</v>
      </c>
      <c r="K77" s="86">
        <f>VLOOKUP($A77,'Data shares'!$C:$FA,94)</f>
        <v>5320350</v>
      </c>
      <c r="L77" s="86">
        <f>VLOOKUP($A77,'Data shares'!$C:$FA,96)</f>
        <v>20100</v>
      </c>
      <c r="M77" s="87">
        <f>VLOOKUP($A77,'Data shares'!$C:$FA,97)</f>
        <v>3.8E-3</v>
      </c>
      <c r="N77" s="86">
        <f>VLOOKUP($A77,'Data shares'!$C:$FA,78)</f>
        <v>9425400</v>
      </c>
      <c r="O77" s="87">
        <f>VLOOKUP($A77,'Data shares'!$C:$FA,81)</f>
        <v>6.9999999999999999E-4</v>
      </c>
    </row>
    <row r="78" spans="1:15" x14ac:dyDescent="0.25">
      <c r="A78" s="100" t="str">
        <f>'Data Vlaue (Cr)'!C73</f>
        <v>HAVELLS</v>
      </c>
      <c r="B78" s="82">
        <f>VLOOKUP(A78,'Data shares'!$C$2:$CV$214,98,0)</f>
        <v>15843000</v>
      </c>
      <c r="C78" s="82">
        <f>VLOOKUP(A78,'Data shares'!$C$2:$CX$214,100,0)</f>
        <v>29000</v>
      </c>
      <c r="D78" s="141">
        <f>VLOOKUP(A78,'Data shares'!$C$2:$CY$537,101,0)</f>
        <v>1.8E-3</v>
      </c>
      <c r="E78" s="86">
        <f>VLOOKUP($A78,'Data shares'!$C:$FA,74)</f>
        <v>10501000</v>
      </c>
      <c r="F78" s="86">
        <f>VLOOKUP($A78,'Data shares'!$C:$FA,76)</f>
        <v>-35000</v>
      </c>
      <c r="G78" s="87">
        <f>VLOOKUP(A78,'Data shares'!$C$2:$CA$214,77,0)</f>
        <v>-3.3E-3</v>
      </c>
      <c r="H78" s="86">
        <f>VLOOKUP($A78,'Data shares'!$C:$FA,90)</f>
        <v>3173000</v>
      </c>
      <c r="I78" s="86">
        <f>VLOOKUP($A78,'Data shares'!$C:$FA,92)</f>
        <v>49500</v>
      </c>
      <c r="J78" s="87">
        <f>VLOOKUP($A78,'Data shares'!$C:$FA,93)</f>
        <v>1.5800000000000002E-2</v>
      </c>
      <c r="K78" s="86">
        <f>VLOOKUP($A78,'Data shares'!$C:$FA,94)</f>
        <v>2169000</v>
      </c>
      <c r="L78" s="86">
        <f>VLOOKUP($A78,'Data shares'!$C:$FA,96)</f>
        <v>14500</v>
      </c>
      <c r="M78" s="87">
        <f>VLOOKUP($A78,'Data shares'!$C:$FA,97)</f>
        <v>6.7000000000000002E-3</v>
      </c>
      <c r="N78" s="86">
        <f>VLOOKUP($A78,'Data shares'!$C:$FA,78)</f>
        <v>10206500</v>
      </c>
      <c r="O78" s="87">
        <f>VLOOKUP($A78,'Data shares'!$C:$FA,81)</f>
        <v>-4.1999999999999997E-3</v>
      </c>
    </row>
    <row r="79" spans="1:15" x14ac:dyDescent="0.25">
      <c r="A79" s="100" t="str">
        <f>'Data Vlaue (Cr)'!C74</f>
        <v>HCLTECH</v>
      </c>
      <c r="B79" s="82">
        <f>VLOOKUP(A79,'Data shares'!$C$2:$CV$214,98,0)</f>
        <v>35658000</v>
      </c>
      <c r="C79" s="82">
        <f>VLOOKUP(A79,'Data shares'!$C$2:$CX$214,100,0)</f>
        <v>1263850</v>
      </c>
      <c r="D79" s="141">
        <f>VLOOKUP(A79,'Data shares'!$C$2:$CY$537,101,0)</f>
        <v>3.6700000000000003E-2</v>
      </c>
      <c r="E79" s="86">
        <f>VLOOKUP($A79,'Data shares'!$C:$FA,74)</f>
        <v>19005700</v>
      </c>
      <c r="F79" s="86">
        <f>VLOOKUP($A79,'Data shares'!$C:$FA,76)</f>
        <v>-700</v>
      </c>
      <c r="G79" s="87">
        <f>VLOOKUP(A79,'Data shares'!$C$2:$CA$214,77,0)</f>
        <v>0</v>
      </c>
      <c r="H79" s="86">
        <f>VLOOKUP($A79,'Data shares'!$C:$FA,90)</f>
        <v>10905650</v>
      </c>
      <c r="I79" s="86">
        <f>VLOOKUP($A79,'Data shares'!$C:$FA,92)</f>
        <v>1232350</v>
      </c>
      <c r="J79" s="87">
        <f>VLOOKUP($A79,'Data shares'!$C:$FA,93)</f>
        <v>0.12740000000000001</v>
      </c>
      <c r="K79" s="86">
        <f>VLOOKUP($A79,'Data shares'!$C:$FA,94)</f>
        <v>5746650</v>
      </c>
      <c r="L79" s="86">
        <f>VLOOKUP($A79,'Data shares'!$C:$FA,96)</f>
        <v>32200</v>
      </c>
      <c r="M79" s="87">
        <f>VLOOKUP($A79,'Data shares'!$C:$FA,97)</f>
        <v>5.5999999999999999E-3</v>
      </c>
      <c r="N79" s="86">
        <f>VLOOKUP($A79,'Data shares'!$C:$FA,78)</f>
        <v>18071900</v>
      </c>
      <c r="O79" s="87">
        <f>VLOOKUP($A79,'Data shares'!$C:$FA,81)</f>
        <v>-2.5999999999999999E-3</v>
      </c>
    </row>
    <row r="80" spans="1:15" x14ac:dyDescent="0.25">
      <c r="A80" s="100" t="str">
        <f>'Data Vlaue (Cr)'!C75</f>
        <v>HDFCAMC</v>
      </c>
      <c r="B80" s="82">
        <f>VLOOKUP(A80,'Data shares'!$C$2:$CV$214,98,0)</f>
        <v>9884700</v>
      </c>
      <c r="C80" s="82">
        <f>VLOOKUP(A80,'Data shares'!$C$2:$CX$214,100,0)</f>
        <v>-72600</v>
      </c>
      <c r="D80" s="141">
        <f>VLOOKUP(A80,'Data shares'!$C$2:$CY$537,101,0)</f>
        <v>-7.3000000000000001E-3</v>
      </c>
      <c r="E80" s="86">
        <f>VLOOKUP($A80,'Data shares'!$C:$FA,74)</f>
        <v>6191700</v>
      </c>
      <c r="F80" s="86">
        <f>VLOOKUP($A80,'Data shares'!$C:$FA,76)</f>
        <v>-143100</v>
      </c>
      <c r="G80" s="87">
        <f>VLOOKUP(A80,'Data shares'!$C$2:$CA$214,77,0)</f>
        <v>-2.2599999999999999E-2</v>
      </c>
      <c r="H80" s="86">
        <f>VLOOKUP($A80,'Data shares'!$C:$FA,90)</f>
        <v>1933500</v>
      </c>
      <c r="I80" s="86">
        <f>VLOOKUP($A80,'Data shares'!$C:$FA,92)</f>
        <v>33000</v>
      </c>
      <c r="J80" s="87">
        <f>VLOOKUP($A80,'Data shares'!$C:$FA,93)</f>
        <v>1.7399999999999999E-2</v>
      </c>
      <c r="K80" s="86">
        <f>VLOOKUP($A80,'Data shares'!$C:$FA,94)</f>
        <v>1759500</v>
      </c>
      <c r="L80" s="86">
        <f>VLOOKUP($A80,'Data shares'!$C:$FA,96)</f>
        <v>37500</v>
      </c>
      <c r="M80" s="87">
        <f>VLOOKUP($A80,'Data shares'!$C:$FA,97)</f>
        <v>2.18E-2</v>
      </c>
      <c r="N80" s="86">
        <f>VLOOKUP($A80,'Data shares'!$C:$FA,78)</f>
        <v>6081900</v>
      </c>
      <c r="O80" s="87">
        <f>VLOOKUP($A80,'Data shares'!$C:$FA,81)</f>
        <v>-2.3599999999999999E-2</v>
      </c>
    </row>
    <row r="81" spans="1:15" x14ac:dyDescent="0.25">
      <c r="A81" s="100" t="str">
        <f>'Data Vlaue (Cr)'!C76</f>
        <v>HDFCBANK</v>
      </c>
      <c r="B81" s="82">
        <f>VLOOKUP(A81,'Data shares'!$C$2:$CV$214,98,0)</f>
        <v>363347050</v>
      </c>
      <c r="C81" s="82">
        <f>VLOOKUP(A81,'Data shares'!$C$2:$CX$214,100,0)</f>
        <v>10602350</v>
      </c>
      <c r="D81" s="141">
        <f>VLOOKUP(A81,'Data shares'!$C$2:$CY$537,101,0)</f>
        <v>3.0099999999999998E-2</v>
      </c>
      <c r="E81" s="86">
        <f>VLOOKUP($A81,'Data shares'!$C:$FA,74)</f>
        <v>263130450</v>
      </c>
      <c r="F81" s="86">
        <f>VLOOKUP($A81,'Data shares'!$C:$FA,76)</f>
        <v>2512950</v>
      </c>
      <c r="G81" s="87">
        <f>VLOOKUP(A81,'Data shares'!$C$2:$CA$214,77,0)</f>
        <v>9.5999999999999992E-3</v>
      </c>
      <c r="H81" s="86">
        <f>VLOOKUP($A81,'Data shares'!$C:$FA,90)</f>
        <v>64589250</v>
      </c>
      <c r="I81" s="86">
        <f>VLOOKUP($A81,'Data shares'!$C:$FA,92)</f>
        <v>6340400</v>
      </c>
      <c r="J81" s="87">
        <f>VLOOKUP($A81,'Data shares'!$C:$FA,93)</f>
        <v>0.1089</v>
      </c>
      <c r="K81" s="86">
        <f>VLOOKUP($A81,'Data shares'!$C:$FA,94)</f>
        <v>35627350</v>
      </c>
      <c r="L81" s="86">
        <f>VLOOKUP($A81,'Data shares'!$C:$FA,96)</f>
        <v>1749000</v>
      </c>
      <c r="M81" s="87">
        <f>VLOOKUP($A81,'Data shares'!$C:$FA,97)</f>
        <v>5.16E-2</v>
      </c>
      <c r="N81" s="86">
        <f>VLOOKUP($A81,'Data shares'!$C:$FA,78)</f>
        <v>232007050</v>
      </c>
      <c r="O81" s="87">
        <f>VLOOKUP($A81,'Data shares'!$C:$FA,81)</f>
        <v>6.1000000000000004E-3</v>
      </c>
    </row>
    <row r="82" spans="1:15" x14ac:dyDescent="0.25">
      <c r="A82" s="100" t="str">
        <f>'Data Vlaue (Cr)'!C77</f>
        <v>HDFCLIFE</v>
      </c>
      <c r="B82" s="82">
        <f>VLOOKUP(A82,'Data shares'!$C$2:$CV$214,98,0)</f>
        <v>61413000</v>
      </c>
      <c r="C82" s="82">
        <f>VLOOKUP(A82,'Data shares'!$C$2:$CX$214,100,0)</f>
        <v>1315600</v>
      </c>
      <c r="D82" s="141">
        <f>VLOOKUP(A82,'Data shares'!$C$2:$CY$537,101,0)</f>
        <v>2.1899999999999999E-2</v>
      </c>
      <c r="E82" s="86">
        <f>VLOOKUP($A82,'Data shares'!$C:$FA,74)</f>
        <v>38634200</v>
      </c>
      <c r="F82" s="86">
        <f>VLOOKUP($A82,'Data shares'!$C:$FA,76)</f>
        <v>440000</v>
      </c>
      <c r="G82" s="87">
        <f>VLOOKUP(A82,'Data shares'!$C$2:$CA$214,77,0)</f>
        <v>1.15E-2</v>
      </c>
      <c r="H82" s="86">
        <f>VLOOKUP($A82,'Data shares'!$C:$FA,90)</f>
        <v>15975300</v>
      </c>
      <c r="I82" s="86">
        <f>VLOOKUP($A82,'Data shares'!$C:$FA,92)</f>
        <v>705100</v>
      </c>
      <c r="J82" s="87">
        <f>VLOOKUP($A82,'Data shares'!$C:$FA,93)</f>
        <v>4.6199999999999998E-2</v>
      </c>
      <c r="K82" s="86">
        <f>VLOOKUP($A82,'Data shares'!$C:$FA,94)</f>
        <v>6803500</v>
      </c>
      <c r="L82" s="86">
        <f>VLOOKUP($A82,'Data shares'!$C:$FA,96)</f>
        <v>170500</v>
      </c>
      <c r="M82" s="87">
        <f>VLOOKUP($A82,'Data shares'!$C:$FA,97)</f>
        <v>2.5700000000000001E-2</v>
      </c>
      <c r="N82" s="86">
        <f>VLOOKUP($A82,'Data shares'!$C:$FA,78)</f>
        <v>36741100</v>
      </c>
      <c r="O82" s="87">
        <f>VLOOKUP($A82,'Data shares'!$C:$FA,81)</f>
        <v>-3.8E-3</v>
      </c>
    </row>
    <row r="83" spans="1:15" x14ac:dyDescent="0.25">
      <c r="A83" s="100" t="str">
        <f>'Data Vlaue (Cr)'!C78</f>
        <v>HEROMOTOCO</v>
      </c>
      <c r="B83" s="82">
        <f>VLOOKUP(A83,'Data shares'!$C$2:$CV$214,98,0)</f>
        <v>8917200</v>
      </c>
      <c r="C83" s="82">
        <f>VLOOKUP(A83,'Data shares'!$C$2:$CX$214,100,0)</f>
        <v>-510150</v>
      </c>
      <c r="D83" s="141">
        <f>VLOOKUP(A83,'Data shares'!$C$2:$CY$537,101,0)</f>
        <v>-5.4100000000000002E-2</v>
      </c>
      <c r="E83" s="86">
        <f>VLOOKUP($A83,'Data shares'!$C:$FA,74)</f>
        <v>3740700</v>
      </c>
      <c r="F83" s="86">
        <f>VLOOKUP($A83,'Data shares'!$C:$FA,76)</f>
        <v>-151950</v>
      </c>
      <c r="G83" s="87">
        <f>VLOOKUP(A83,'Data shares'!$C$2:$CA$214,77,0)</f>
        <v>-3.9E-2</v>
      </c>
      <c r="H83" s="86">
        <f>VLOOKUP($A83,'Data shares'!$C:$FA,90)</f>
        <v>3206400</v>
      </c>
      <c r="I83" s="86">
        <f>VLOOKUP($A83,'Data shares'!$C:$FA,92)</f>
        <v>-351150</v>
      </c>
      <c r="J83" s="87">
        <f>VLOOKUP($A83,'Data shares'!$C:$FA,93)</f>
        <v>-9.8699999999999996E-2</v>
      </c>
      <c r="K83" s="86">
        <f>VLOOKUP($A83,'Data shares'!$C:$FA,94)</f>
        <v>1970100</v>
      </c>
      <c r="L83" s="86">
        <f>VLOOKUP($A83,'Data shares'!$C:$FA,96)</f>
        <v>-7050</v>
      </c>
      <c r="M83" s="87">
        <f>VLOOKUP($A83,'Data shares'!$C:$FA,97)</f>
        <v>-3.5999999999999999E-3</v>
      </c>
      <c r="N83" s="86">
        <f>VLOOKUP($A83,'Data shares'!$C:$FA,78)</f>
        <v>3617100</v>
      </c>
      <c r="O83" s="87">
        <f>VLOOKUP($A83,'Data shares'!$C:$FA,81)</f>
        <v>-4.3700000000000003E-2</v>
      </c>
    </row>
    <row r="84" spans="1:15" x14ac:dyDescent="0.25">
      <c r="A84" s="100" t="str">
        <f>'Data Vlaue (Cr)'!C79</f>
        <v>HINDALCO</v>
      </c>
      <c r="B84" s="82">
        <f>VLOOKUP(A84,'Data shares'!$C$2:$CV$214,98,0)</f>
        <v>70389900</v>
      </c>
      <c r="C84" s="82">
        <f>VLOOKUP(A84,'Data shares'!$C$2:$CX$214,100,0)</f>
        <v>2983400</v>
      </c>
      <c r="D84" s="141">
        <f>VLOOKUP(A84,'Data shares'!$C$2:$CY$537,101,0)</f>
        <v>4.4299999999999999E-2</v>
      </c>
      <c r="E84" s="86">
        <f>VLOOKUP($A84,'Data shares'!$C:$FA,74)</f>
        <v>46258800</v>
      </c>
      <c r="F84" s="86">
        <f>VLOOKUP($A84,'Data shares'!$C:$FA,76)</f>
        <v>748300</v>
      </c>
      <c r="G84" s="87">
        <f>VLOOKUP(A84,'Data shares'!$C$2:$CA$214,77,0)</f>
        <v>1.6400000000000001E-2</v>
      </c>
      <c r="H84" s="86">
        <f>VLOOKUP($A84,'Data shares'!$C:$FA,90)</f>
        <v>13443500</v>
      </c>
      <c r="I84" s="86">
        <f>VLOOKUP($A84,'Data shares'!$C:$FA,92)</f>
        <v>915600</v>
      </c>
      <c r="J84" s="87">
        <f>VLOOKUP($A84,'Data shares'!$C:$FA,93)</f>
        <v>7.3099999999999998E-2</v>
      </c>
      <c r="K84" s="86">
        <f>VLOOKUP($A84,'Data shares'!$C:$FA,94)</f>
        <v>10687600</v>
      </c>
      <c r="L84" s="86">
        <f>VLOOKUP($A84,'Data shares'!$C:$FA,96)</f>
        <v>1319500</v>
      </c>
      <c r="M84" s="87">
        <f>VLOOKUP($A84,'Data shares'!$C:$FA,97)</f>
        <v>0.1409</v>
      </c>
      <c r="N84" s="86">
        <f>VLOOKUP($A84,'Data shares'!$C:$FA,78)</f>
        <v>43402800</v>
      </c>
      <c r="O84" s="87">
        <f>VLOOKUP($A84,'Data shares'!$C:$FA,81)</f>
        <v>7.1000000000000004E-3</v>
      </c>
    </row>
    <row r="85" spans="1:15" x14ac:dyDescent="0.25">
      <c r="A85" s="100" t="str">
        <f>'Data Vlaue (Cr)'!C80</f>
        <v>HINDPETRO</v>
      </c>
      <c r="B85" s="82">
        <f>VLOOKUP(A85,'Data shares'!$C$2:$CV$214,98,0)</f>
        <v>65662650</v>
      </c>
      <c r="C85" s="82">
        <f>VLOOKUP(A85,'Data shares'!$C$2:$CX$214,100,0)</f>
        <v>222750</v>
      </c>
      <c r="D85" s="141">
        <f>VLOOKUP(A85,'Data shares'!$C$2:$CY$537,101,0)</f>
        <v>3.3999999999999998E-3</v>
      </c>
      <c r="E85" s="86">
        <f>VLOOKUP($A85,'Data shares'!$C:$FA,74)</f>
        <v>38944800</v>
      </c>
      <c r="F85" s="86">
        <f>VLOOKUP($A85,'Data shares'!$C:$FA,76)</f>
        <v>251100</v>
      </c>
      <c r="G85" s="87">
        <f>VLOOKUP(A85,'Data shares'!$C$2:$CA$214,77,0)</f>
        <v>6.4999999999999997E-3</v>
      </c>
      <c r="H85" s="86">
        <f>VLOOKUP($A85,'Data shares'!$C:$FA,90)</f>
        <v>16100775</v>
      </c>
      <c r="I85" s="86">
        <f>VLOOKUP($A85,'Data shares'!$C:$FA,92)</f>
        <v>85050</v>
      </c>
      <c r="J85" s="87">
        <f>VLOOKUP($A85,'Data shares'!$C:$FA,93)</f>
        <v>5.3E-3</v>
      </c>
      <c r="K85" s="86">
        <f>VLOOKUP($A85,'Data shares'!$C:$FA,94)</f>
        <v>10617075</v>
      </c>
      <c r="L85" s="86">
        <f>VLOOKUP($A85,'Data shares'!$C:$FA,96)</f>
        <v>-113400</v>
      </c>
      <c r="M85" s="87">
        <f>VLOOKUP($A85,'Data shares'!$C:$FA,97)</f>
        <v>-1.06E-2</v>
      </c>
      <c r="N85" s="86">
        <f>VLOOKUP($A85,'Data shares'!$C:$FA,78)</f>
        <v>38053800</v>
      </c>
      <c r="O85" s="87">
        <f>VLOOKUP($A85,'Data shares'!$C:$FA,81)</f>
        <v>4.4999999999999997E-3</v>
      </c>
    </row>
    <row r="86" spans="1:15" x14ac:dyDescent="0.25">
      <c r="A86" s="100" t="str">
        <f>'Data Vlaue (Cr)'!C81</f>
        <v>HINDUNILVR</v>
      </c>
      <c r="B86" s="82">
        <f>VLOOKUP(A86,'Data shares'!$C$2:$CV$214,98,0)</f>
        <v>24653400</v>
      </c>
      <c r="C86" s="82">
        <f>VLOOKUP(A86,'Data shares'!$C$2:$CX$214,100,0)</f>
        <v>618600</v>
      </c>
      <c r="D86" s="141">
        <f>VLOOKUP(A86,'Data shares'!$C$2:$CY$537,101,0)</f>
        <v>2.5700000000000001E-2</v>
      </c>
      <c r="E86" s="86">
        <f>VLOOKUP($A86,'Data shares'!$C:$FA,74)</f>
        <v>14951400</v>
      </c>
      <c r="F86" s="86">
        <f>VLOOKUP($A86,'Data shares'!$C:$FA,76)</f>
        <v>32100</v>
      </c>
      <c r="G86" s="87">
        <f>VLOOKUP(A86,'Data shares'!$C$2:$CA$214,77,0)</f>
        <v>2.2000000000000001E-3</v>
      </c>
      <c r="H86" s="86">
        <f>VLOOKUP($A86,'Data shares'!$C:$FA,90)</f>
        <v>5642100</v>
      </c>
      <c r="I86" s="86">
        <f>VLOOKUP($A86,'Data shares'!$C:$FA,92)</f>
        <v>285600</v>
      </c>
      <c r="J86" s="87">
        <f>VLOOKUP($A86,'Data shares'!$C:$FA,93)</f>
        <v>5.33E-2</v>
      </c>
      <c r="K86" s="86">
        <f>VLOOKUP($A86,'Data shares'!$C:$FA,94)</f>
        <v>4059900</v>
      </c>
      <c r="L86" s="86">
        <f>VLOOKUP($A86,'Data shares'!$C:$FA,96)</f>
        <v>300900</v>
      </c>
      <c r="M86" s="87">
        <f>VLOOKUP($A86,'Data shares'!$C:$FA,97)</f>
        <v>0.08</v>
      </c>
      <c r="N86" s="86">
        <f>VLOOKUP($A86,'Data shares'!$C:$FA,78)</f>
        <v>14511000</v>
      </c>
      <c r="O86" s="87">
        <f>VLOOKUP($A86,'Data shares'!$C:$FA,81)</f>
        <v>-2.5000000000000001E-3</v>
      </c>
    </row>
    <row r="87" spans="1:15" x14ac:dyDescent="0.25">
      <c r="A87" s="100" t="str">
        <f>'Data Vlaue (Cr)'!C82</f>
        <v>HINDZINC</v>
      </c>
      <c r="B87" s="82">
        <f>VLOOKUP(A87,'Data shares'!$C$2:$CV$214,98,0)</f>
        <v>144107775</v>
      </c>
      <c r="C87" s="82">
        <f>VLOOKUP(A87,'Data shares'!$C$2:$CX$214,100,0)</f>
        <v>-3431225</v>
      </c>
      <c r="D87" s="141">
        <f>VLOOKUP(A87,'Data shares'!$C$2:$CY$537,101,0)</f>
        <v>-2.3300000000000001E-2</v>
      </c>
      <c r="E87" s="86">
        <f>VLOOKUP($A87,'Data shares'!$C:$FA,74)</f>
        <v>38767575</v>
      </c>
      <c r="F87" s="86">
        <f>VLOOKUP($A87,'Data shares'!$C:$FA,76)</f>
        <v>-689675</v>
      </c>
      <c r="G87" s="87">
        <f>VLOOKUP(A87,'Data shares'!$C$2:$CA$214,77,0)</f>
        <v>-1.7500000000000002E-2</v>
      </c>
      <c r="H87" s="86">
        <f>VLOOKUP($A87,'Data shares'!$C:$FA,90)</f>
        <v>67835600</v>
      </c>
      <c r="I87" s="86">
        <f>VLOOKUP($A87,'Data shares'!$C:$FA,92)</f>
        <v>-2219700</v>
      </c>
      <c r="J87" s="87">
        <f>VLOOKUP($A87,'Data shares'!$C:$FA,93)</f>
        <v>-3.1699999999999999E-2</v>
      </c>
      <c r="K87" s="86">
        <f>VLOOKUP($A87,'Data shares'!$C:$FA,94)</f>
        <v>37504600</v>
      </c>
      <c r="L87" s="86">
        <f>VLOOKUP($A87,'Data shares'!$C:$FA,96)</f>
        <v>-521850</v>
      </c>
      <c r="M87" s="87">
        <f>VLOOKUP($A87,'Data shares'!$C:$FA,97)</f>
        <v>-1.37E-2</v>
      </c>
      <c r="N87" s="86">
        <f>VLOOKUP($A87,'Data shares'!$C:$FA,78)</f>
        <v>34851250</v>
      </c>
      <c r="O87" s="87">
        <f>VLOOKUP($A87,'Data shares'!$C:$FA,81)</f>
        <v>-1.9199999999999998E-2</v>
      </c>
    </row>
    <row r="88" spans="1:15" x14ac:dyDescent="0.25">
      <c r="A88" s="100" t="str">
        <f>'Data Vlaue (Cr)'!C83</f>
        <v>HUDCO</v>
      </c>
      <c r="B88" s="82">
        <f>VLOOKUP(A88,'Data shares'!$C$2:$CV$214,98,0)</f>
        <v>96084375</v>
      </c>
      <c r="C88" s="82">
        <f>VLOOKUP(A88,'Data shares'!$C$2:$CX$214,100,0)</f>
        <v>682650</v>
      </c>
      <c r="D88" s="141">
        <f>VLOOKUP(A88,'Data shares'!$C$2:$CY$537,101,0)</f>
        <v>7.1999999999999998E-3</v>
      </c>
      <c r="E88" s="86">
        <f>VLOOKUP($A88,'Data shares'!$C:$FA,74)</f>
        <v>42618450</v>
      </c>
      <c r="F88" s="86">
        <f>VLOOKUP($A88,'Data shares'!$C:$FA,76)</f>
        <v>951825</v>
      </c>
      <c r="G88" s="87">
        <f>VLOOKUP(A88,'Data shares'!$C$2:$CA$214,77,0)</f>
        <v>2.2800000000000001E-2</v>
      </c>
      <c r="H88" s="86">
        <f>VLOOKUP($A88,'Data shares'!$C:$FA,90)</f>
        <v>33871650</v>
      </c>
      <c r="I88" s="86">
        <f>VLOOKUP($A88,'Data shares'!$C:$FA,92)</f>
        <v>163725</v>
      </c>
      <c r="J88" s="87">
        <f>VLOOKUP($A88,'Data shares'!$C:$FA,93)</f>
        <v>4.8999999999999998E-3</v>
      </c>
      <c r="K88" s="86">
        <f>VLOOKUP($A88,'Data shares'!$C:$FA,94)</f>
        <v>19594275</v>
      </c>
      <c r="L88" s="86">
        <f>VLOOKUP($A88,'Data shares'!$C:$FA,96)</f>
        <v>-432900</v>
      </c>
      <c r="M88" s="87">
        <f>VLOOKUP($A88,'Data shares'!$C:$FA,97)</f>
        <v>-2.1600000000000001E-2</v>
      </c>
      <c r="N88" s="86">
        <f>VLOOKUP($A88,'Data shares'!$C:$FA,78)</f>
        <v>39715800</v>
      </c>
      <c r="O88" s="87">
        <f>VLOOKUP($A88,'Data shares'!$C:$FA,81)</f>
        <v>1.6799999999999999E-2</v>
      </c>
    </row>
    <row r="89" spans="1:15" x14ac:dyDescent="0.25">
      <c r="A89" s="100" t="str">
        <f>'Data Vlaue (Cr)'!C84</f>
        <v>ICICIBANK</v>
      </c>
      <c r="B89" s="82">
        <f>VLOOKUP(A89,'Data shares'!$C$2:$CV$214,98,0)</f>
        <v>183897000</v>
      </c>
      <c r="C89" s="82">
        <f>VLOOKUP(A89,'Data shares'!$C$2:$CX$214,100,0)</f>
        <v>2086000</v>
      </c>
      <c r="D89" s="141">
        <f>VLOOKUP(A89,'Data shares'!$C$2:$CY$537,101,0)</f>
        <v>1.15E-2</v>
      </c>
      <c r="E89" s="86">
        <f>VLOOKUP($A89,'Data shares'!$C:$FA,74)</f>
        <v>123474400</v>
      </c>
      <c r="F89" s="86">
        <f>VLOOKUP($A89,'Data shares'!$C:$FA,76)</f>
        <v>1836100</v>
      </c>
      <c r="G89" s="87">
        <f>VLOOKUP(A89,'Data shares'!$C$2:$CA$214,77,0)</f>
        <v>1.5100000000000001E-2</v>
      </c>
      <c r="H89" s="86">
        <f>VLOOKUP($A89,'Data shares'!$C:$FA,90)</f>
        <v>36578500</v>
      </c>
      <c r="I89" s="86">
        <f>VLOOKUP($A89,'Data shares'!$C:$FA,92)</f>
        <v>-86800</v>
      </c>
      <c r="J89" s="87">
        <f>VLOOKUP($A89,'Data shares'!$C:$FA,93)</f>
        <v>-2.3999999999999998E-3</v>
      </c>
      <c r="K89" s="86">
        <f>VLOOKUP($A89,'Data shares'!$C:$FA,94)</f>
        <v>23844100</v>
      </c>
      <c r="L89" s="86">
        <f>VLOOKUP($A89,'Data shares'!$C:$FA,96)</f>
        <v>336700</v>
      </c>
      <c r="M89" s="87">
        <f>VLOOKUP($A89,'Data shares'!$C:$FA,97)</f>
        <v>1.43E-2</v>
      </c>
      <c r="N89" s="86">
        <f>VLOOKUP($A89,'Data shares'!$C:$FA,78)</f>
        <v>109717300</v>
      </c>
      <c r="O89" s="87">
        <f>VLOOKUP($A89,'Data shares'!$C:$FA,81)</f>
        <v>1.5299999999999999E-2</v>
      </c>
    </row>
    <row r="90" spans="1:15" x14ac:dyDescent="0.25">
      <c r="A90" s="100" t="str">
        <f>'Data Vlaue (Cr)'!C85</f>
        <v>ICICIGI</v>
      </c>
      <c r="B90" s="82">
        <f>VLOOKUP(A90,'Data shares'!$C$2:$CV$214,98,0)</f>
        <v>8249150</v>
      </c>
      <c r="C90" s="82">
        <f>VLOOKUP(A90,'Data shares'!$C$2:$CX$214,100,0)</f>
        <v>293475</v>
      </c>
      <c r="D90" s="141">
        <f>VLOOKUP(A90,'Data shares'!$C$2:$CY$537,101,0)</f>
        <v>3.6900000000000002E-2</v>
      </c>
      <c r="E90" s="86">
        <f>VLOOKUP($A90,'Data shares'!$C:$FA,74)</f>
        <v>6041425</v>
      </c>
      <c r="F90" s="86">
        <f>VLOOKUP($A90,'Data shares'!$C:$FA,76)</f>
        <v>177125</v>
      </c>
      <c r="G90" s="87">
        <f>VLOOKUP(A90,'Data shares'!$C$2:$CA$214,77,0)</f>
        <v>3.0200000000000001E-2</v>
      </c>
      <c r="H90" s="86">
        <f>VLOOKUP($A90,'Data shares'!$C:$FA,90)</f>
        <v>1077375</v>
      </c>
      <c r="I90" s="86">
        <f>VLOOKUP($A90,'Data shares'!$C:$FA,92)</f>
        <v>41275</v>
      </c>
      <c r="J90" s="87">
        <f>VLOOKUP($A90,'Data shares'!$C:$FA,93)</f>
        <v>3.9800000000000002E-2</v>
      </c>
      <c r="K90" s="86">
        <f>VLOOKUP($A90,'Data shares'!$C:$FA,94)</f>
        <v>1130350</v>
      </c>
      <c r="L90" s="86">
        <f>VLOOKUP($A90,'Data shares'!$C:$FA,96)</f>
        <v>75075</v>
      </c>
      <c r="M90" s="87">
        <f>VLOOKUP($A90,'Data shares'!$C:$FA,97)</f>
        <v>7.1099999999999997E-2</v>
      </c>
      <c r="N90" s="86">
        <f>VLOOKUP($A90,'Data shares'!$C:$FA,78)</f>
        <v>5942300</v>
      </c>
      <c r="O90" s="87">
        <f>VLOOKUP($A90,'Data shares'!$C:$FA,81)</f>
        <v>2.9600000000000001E-2</v>
      </c>
    </row>
    <row r="91" spans="1:15" x14ac:dyDescent="0.25">
      <c r="A91" s="100" t="str">
        <f>'Data Vlaue (Cr)'!C86</f>
        <v>ICICIPRULI</v>
      </c>
      <c r="B91" s="82">
        <f>VLOOKUP(A91,'Data shares'!$C$2:$CV$214,98,0)</f>
        <v>20746825</v>
      </c>
      <c r="C91" s="82">
        <f>VLOOKUP(A91,'Data shares'!$C$2:$CX$214,100,0)</f>
        <v>-98050</v>
      </c>
      <c r="D91" s="141">
        <f>VLOOKUP(A91,'Data shares'!$C$2:$CY$537,101,0)</f>
        <v>-4.7000000000000002E-3</v>
      </c>
      <c r="E91" s="86">
        <f>VLOOKUP($A91,'Data shares'!$C:$FA,74)</f>
        <v>15579775</v>
      </c>
      <c r="F91" s="86">
        <f>VLOOKUP($A91,'Data shares'!$C:$FA,76)</f>
        <v>112850</v>
      </c>
      <c r="G91" s="87">
        <f>VLOOKUP(A91,'Data shares'!$C$2:$CA$214,77,0)</f>
        <v>7.3000000000000001E-3</v>
      </c>
      <c r="H91" s="86">
        <f>VLOOKUP($A91,'Data shares'!$C:$FA,90)</f>
        <v>2999775</v>
      </c>
      <c r="I91" s="86">
        <f>VLOOKUP($A91,'Data shares'!$C:$FA,92)</f>
        <v>-107300</v>
      </c>
      <c r="J91" s="87">
        <f>VLOOKUP($A91,'Data shares'!$C:$FA,93)</f>
        <v>-3.4500000000000003E-2</v>
      </c>
      <c r="K91" s="86">
        <f>VLOOKUP($A91,'Data shares'!$C:$FA,94)</f>
        <v>2167275</v>
      </c>
      <c r="L91" s="86">
        <f>VLOOKUP($A91,'Data shares'!$C:$FA,96)</f>
        <v>-103600</v>
      </c>
      <c r="M91" s="87">
        <f>VLOOKUP($A91,'Data shares'!$C:$FA,97)</f>
        <v>-4.5600000000000002E-2</v>
      </c>
      <c r="N91" s="86">
        <f>VLOOKUP($A91,'Data shares'!$C:$FA,78)</f>
        <v>15477100</v>
      </c>
      <c r="O91" s="87">
        <f>VLOOKUP($A91,'Data shares'!$C:$FA,81)</f>
        <v>6.7999999999999996E-3</v>
      </c>
    </row>
    <row r="92" spans="1:15" x14ac:dyDescent="0.25">
      <c r="A92" s="100" t="str">
        <f>'Data Vlaue (Cr)'!C87</f>
        <v>IDEA</v>
      </c>
      <c r="B92" s="82">
        <f>VLOOKUP(A92,'Data shares'!$C$2:$CV$214,98,0)</f>
        <v>9926305050</v>
      </c>
      <c r="C92" s="82">
        <f>VLOOKUP(A92,'Data shares'!$C$2:$CX$214,100,0)</f>
        <v>-17511375</v>
      </c>
      <c r="D92" s="141">
        <f>VLOOKUP(A92,'Data shares'!$C$2:$CY$537,101,0)</f>
        <v>-1.8E-3</v>
      </c>
      <c r="E92" s="86">
        <f>VLOOKUP($A92,'Data shares'!$C:$FA,74)</f>
        <v>7137707925</v>
      </c>
      <c r="F92" s="86">
        <f>VLOOKUP($A92,'Data shares'!$C:$FA,76)</f>
        <v>-53391825</v>
      </c>
      <c r="G92" s="87">
        <f>VLOOKUP(A92,'Data shares'!$C$2:$CA$214,77,0)</f>
        <v>-7.4000000000000003E-3</v>
      </c>
      <c r="H92" s="86">
        <f>VLOOKUP($A92,'Data shares'!$C:$FA,90)</f>
        <v>1717401300</v>
      </c>
      <c r="I92" s="86">
        <f>VLOOKUP($A92,'Data shares'!$C:$FA,92)</f>
        <v>12079275</v>
      </c>
      <c r="J92" s="87">
        <f>VLOOKUP($A92,'Data shares'!$C:$FA,93)</f>
        <v>7.1000000000000004E-3</v>
      </c>
      <c r="K92" s="86">
        <f>VLOOKUP($A92,'Data shares'!$C:$FA,94)</f>
        <v>1071195825</v>
      </c>
      <c r="L92" s="86">
        <f>VLOOKUP($A92,'Data shares'!$C:$FA,96)</f>
        <v>23801175</v>
      </c>
      <c r="M92" s="87">
        <f>VLOOKUP($A92,'Data shares'!$C:$FA,97)</f>
        <v>2.2700000000000001E-2</v>
      </c>
      <c r="N92" s="86">
        <f>VLOOKUP($A92,'Data shares'!$C:$FA,78)</f>
        <v>6611080125</v>
      </c>
      <c r="O92" s="87">
        <f>VLOOKUP($A92,'Data shares'!$C:$FA,81)</f>
        <v>-0.02</v>
      </c>
    </row>
    <row r="93" spans="1:15" x14ac:dyDescent="0.25">
      <c r="A93" s="100" t="str">
        <f>'Data Vlaue (Cr)'!C88</f>
        <v>IDFCFIRSTB</v>
      </c>
      <c r="B93" s="82">
        <f>VLOOKUP(A93,'Data shares'!$C$2:$CV$214,98,0)</f>
        <v>530196100</v>
      </c>
      <c r="C93" s="82">
        <f>VLOOKUP(A93,'Data shares'!$C$2:$CX$214,100,0)</f>
        <v>27073725</v>
      </c>
      <c r="D93" s="141">
        <f>VLOOKUP(A93,'Data shares'!$C$2:$CY$537,101,0)</f>
        <v>5.3800000000000001E-2</v>
      </c>
      <c r="E93" s="86">
        <f>VLOOKUP($A93,'Data shares'!$C:$FA,74)</f>
        <v>288897700</v>
      </c>
      <c r="F93" s="86">
        <f>VLOOKUP($A93,'Data shares'!$C:$FA,76)</f>
        <v>11862725</v>
      </c>
      <c r="G93" s="87">
        <f>VLOOKUP(A93,'Data shares'!$C$2:$CA$214,77,0)</f>
        <v>4.2799999999999998E-2</v>
      </c>
      <c r="H93" s="86">
        <f>VLOOKUP($A93,'Data shares'!$C:$FA,90)</f>
        <v>143252375</v>
      </c>
      <c r="I93" s="86">
        <f>VLOOKUP($A93,'Data shares'!$C:$FA,92)</f>
        <v>11120725</v>
      </c>
      <c r="J93" s="87">
        <f>VLOOKUP($A93,'Data shares'!$C:$FA,93)</f>
        <v>8.4199999999999997E-2</v>
      </c>
      <c r="K93" s="86">
        <f>VLOOKUP($A93,'Data shares'!$C:$FA,94)</f>
        <v>98046025</v>
      </c>
      <c r="L93" s="86">
        <f>VLOOKUP($A93,'Data shares'!$C:$FA,96)</f>
        <v>4090275</v>
      </c>
      <c r="M93" s="87">
        <f>VLOOKUP($A93,'Data shares'!$C:$FA,97)</f>
        <v>4.3499999999999997E-2</v>
      </c>
      <c r="N93" s="86">
        <f>VLOOKUP($A93,'Data shares'!$C:$FA,78)</f>
        <v>264420975</v>
      </c>
      <c r="O93" s="87">
        <f>VLOOKUP($A93,'Data shares'!$C:$FA,81)</f>
        <v>3.2599999999999997E-2</v>
      </c>
    </row>
    <row r="94" spans="1:15" x14ac:dyDescent="0.25">
      <c r="A94" s="100" t="str">
        <f>'Data Vlaue (Cr)'!C89</f>
        <v>IEX</v>
      </c>
      <c r="B94" s="82">
        <f>VLOOKUP(A94,'Data shares'!$C$2:$CV$214,98,0)</f>
        <v>204697500</v>
      </c>
      <c r="C94" s="82">
        <f>VLOOKUP(A94,'Data shares'!$C$2:$CX$214,100,0)</f>
        <v>1755000</v>
      </c>
      <c r="D94" s="141">
        <f>VLOOKUP(A94,'Data shares'!$C$2:$CY$537,101,0)</f>
        <v>8.6E-3</v>
      </c>
      <c r="E94" s="86">
        <f>VLOOKUP($A94,'Data shares'!$C:$FA,74)</f>
        <v>85518750</v>
      </c>
      <c r="F94" s="86">
        <f>VLOOKUP($A94,'Data shares'!$C:$FA,76)</f>
        <v>-975000</v>
      </c>
      <c r="G94" s="87">
        <f>VLOOKUP(A94,'Data shares'!$C$2:$CA$214,77,0)</f>
        <v>-1.1299999999999999E-2</v>
      </c>
      <c r="H94" s="86">
        <f>VLOOKUP($A94,'Data shares'!$C:$FA,90)</f>
        <v>71156250</v>
      </c>
      <c r="I94" s="86">
        <f>VLOOKUP($A94,'Data shares'!$C:$FA,92)</f>
        <v>2317500</v>
      </c>
      <c r="J94" s="87">
        <f>VLOOKUP($A94,'Data shares'!$C:$FA,93)</f>
        <v>3.3700000000000001E-2</v>
      </c>
      <c r="K94" s="86">
        <f>VLOOKUP($A94,'Data shares'!$C:$FA,94)</f>
        <v>48022500</v>
      </c>
      <c r="L94" s="86">
        <f>VLOOKUP($A94,'Data shares'!$C:$FA,96)</f>
        <v>412500</v>
      </c>
      <c r="M94" s="87">
        <f>VLOOKUP($A94,'Data shares'!$C:$FA,97)</f>
        <v>8.6999999999999994E-3</v>
      </c>
      <c r="N94" s="86">
        <f>VLOOKUP($A94,'Data shares'!$C:$FA,78)</f>
        <v>75630000</v>
      </c>
      <c r="O94" s="87">
        <f>VLOOKUP($A94,'Data shares'!$C:$FA,81)</f>
        <v>-2.5600000000000001E-2</v>
      </c>
    </row>
    <row r="95" spans="1:15" x14ac:dyDescent="0.25">
      <c r="A95" s="100" t="str">
        <f>'Data Vlaue (Cr)'!C90</f>
        <v>INDHOTEL</v>
      </c>
      <c r="B95" s="82">
        <f>VLOOKUP(A95,'Data shares'!$C$2:$CV$214,98,0)</f>
        <v>44815000</v>
      </c>
      <c r="C95" s="82">
        <f>VLOOKUP(A95,'Data shares'!$C$2:$CX$214,100,0)</f>
        <v>2412000</v>
      </c>
      <c r="D95" s="141">
        <f>VLOOKUP(A95,'Data shares'!$C$2:$CY$537,101,0)</f>
        <v>5.6899999999999999E-2</v>
      </c>
      <c r="E95" s="86">
        <f>VLOOKUP($A95,'Data shares'!$C:$FA,74)</f>
        <v>26312000</v>
      </c>
      <c r="F95" s="86">
        <f>VLOOKUP($A95,'Data shares'!$C:$FA,76)</f>
        <v>285000</v>
      </c>
      <c r="G95" s="87">
        <f>VLOOKUP(A95,'Data shares'!$C$2:$CA$214,77,0)</f>
        <v>1.0999999999999999E-2</v>
      </c>
      <c r="H95" s="86">
        <f>VLOOKUP($A95,'Data shares'!$C:$FA,90)</f>
        <v>10390000</v>
      </c>
      <c r="I95" s="86">
        <f>VLOOKUP($A95,'Data shares'!$C:$FA,92)</f>
        <v>1512000</v>
      </c>
      <c r="J95" s="87">
        <f>VLOOKUP($A95,'Data shares'!$C:$FA,93)</f>
        <v>0.17030000000000001</v>
      </c>
      <c r="K95" s="86">
        <f>VLOOKUP($A95,'Data shares'!$C:$FA,94)</f>
        <v>8113000</v>
      </c>
      <c r="L95" s="86">
        <f>VLOOKUP($A95,'Data shares'!$C:$FA,96)</f>
        <v>615000</v>
      </c>
      <c r="M95" s="87">
        <f>VLOOKUP($A95,'Data shares'!$C:$FA,97)</f>
        <v>8.2000000000000003E-2</v>
      </c>
      <c r="N95" s="86">
        <f>VLOOKUP($A95,'Data shares'!$C:$FA,78)</f>
        <v>25479000</v>
      </c>
      <c r="O95" s="87">
        <f>VLOOKUP($A95,'Data shares'!$C:$FA,81)</f>
        <v>9.1999999999999998E-3</v>
      </c>
    </row>
    <row r="96" spans="1:15" x14ac:dyDescent="0.25">
      <c r="A96" s="100" t="str">
        <f>'Data Vlaue (Cr)'!C91</f>
        <v>INDIANB</v>
      </c>
      <c r="B96" s="82">
        <f>VLOOKUP(A96,'Data shares'!$C$2:$CV$214,98,0)</f>
        <v>18753000</v>
      </c>
      <c r="C96" s="82">
        <f>VLOOKUP(A96,'Data shares'!$C$2:$CX$214,100,0)</f>
        <v>500000</v>
      </c>
      <c r="D96" s="141">
        <f>VLOOKUP(A96,'Data shares'!$C$2:$CY$537,101,0)</f>
        <v>2.7400000000000001E-2</v>
      </c>
      <c r="E96" s="86">
        <f>VLOOKUP($A96,'Data shares'!$C:$FA,74)</f>
        <v>9090000</v>
      </c>
      <c r="F96" s="86">
        <f>VLOOKUP($A96,'Data shares'!$C:$FA,76)</f>
        <v>502000</v>
      </c>
      <c r="G96" s="87">
        <f>VLOOKUP(A96,'Data shares'!$C$2:$CA$214,77,0)</f>
        <v>5.8500000000000003E-2</v>
      </c>
      <c r="H96" s="86">
        <f>VLOOKUP($A96,'Data shares'!$C:$FA,90)</f>
        <v>5722000</v>
      </c>
      <c r="I96" s="86">
        <f>VLOOKUP($A96,'Data shares'!$C:$FA,92)</f>
        <v>-162000</v>
      </c>
      <c r="J96" s="87">
        <f>VLOOKUP($A96,'Data shares'!$C:$FA,93)</f>
        <v>-2.75E-2</v>
      </c>
      <c r="K96" s="86">
        <f>VLOOKUP($A96,'Data shares'!$C:$FA,94)</f>
        <v>3941000</v>
      </c>
      <c r="L96" s="86">
        <f>VLOOKUP($A96,'Data shares'!$C:$FA,96)</f>
        <v>160000</v>
      </c>
      <c r="M96" s="87">
        <f>VLOOKUP($A96,'Data shares'!$C:$FA,97)</f>
        <v>4.2299999999999997E-2</v>
      </c>
      <c r="N96" s="86">
        <f>VLOOKUP($A96,'Data shares'!$C:$FA,78)</f>
        <v>8705000</v>
      </c>
      <c r="O96" s="87">
        <f>VLOOKUP($A96,'Data shares'!$C:$FA,81)</f>
        <v>6.0600000000000001E-2</v>
      </c>
    </row>
    <row r="97" spans="1:15" x14ac:dyDescent="0.25">
      <c r="A97" s="100" t="str">
        <f>'Data Vlaue (Cr)'!C92</f>
        <v>INDIAVIX</v>
      </c>
      <c r="B97" s="82">
        <f>VLOOKUP(A97,'Data shares'!$C$2:$CV$214,98,0)</f>
        <v>0</v>
      </c>
      <c r="C97" s="82">
        <f>VLOOKUP(A97,'Data shares'!$C$2:$CX$214,100,0)</f>
        <v>0</v>
      </c>
      <c r="D97" s="141">
        <f>VLOOKUP(A97,'Data shares'!$C$2:$CY$537,101,0)</f>
        <v>0</v>
      </c>
      <c r="E97" s="86">
        <f>VLOOKUP($A97,'Data shares'!$C:$FA,74)</f>
        <v>0</v>
      </c>
      <c r="F97" s="86">
        <f>VLOOKUP($A97,'Data shares'!$C:$FA,76)</f>
        <v>0</v>
      </c>
      <c r="G97" s="87">
        <f>VLOOKUP(A97,'Data shares'!$C$2:$CA$214,77,0)</f>
        <v>0</v>
      </c>
      <c r="H97" s="86">
        <f>VLOOKUP($A97,'Data shares'!$C:$FA,90)</f>
        <v>0</v>
      </c>
      <c r="I97" s="86">
        <f>VLOOKUP($A97,'Data shares'!$C:$FA,92)</f>
        <v>0</v>
      </c>
      <c r="J97" s="87">
        <f>VLOOKUP($A97,'Data shares'!$C:$FA,93)</f>
        <v>0</v>
      </c>
      <c r="K97" s="86">
        <f>VLOOKUP($A97,'Data shares'!$C:$FA,94)</f>
        <v>0</v>
      </c>
      <c r="L97" s="86">
        <f>VLOOKUP($A97,'Data shares'!$C:$FA,96)</f>
        <v>0</v>
      </c>
      <c r="M97" s="87">
        <f>VLOOKUP($A97,'Data shares'!$C:$FA,97)</f>
        <v>0</v>
      </c>
      <c r="N97" s="86">
        <f>VLOOKUP($A97,'Data shares'!$C:$FA,78)</f>
        <v>0</v>
      </c>
      <c r="O97" s="87">
        <f>VLOOKUP($A97,'Data shares'!$C:$FA,81)</f>
        <v>0</v>
      </c>
    </row>
    <row r="98" spans="1:15" x14ac:dyDescent="0.25">
      <c r="A98" s="100" t="str">
        <f>'Data Vlaue (Cr)'!C93</f>
        <v>INDIGO</v>
      </c>
      <c r="B98" s="82">
        <f>VLOOKUP(A98,'Data shares'!$C$2:$CV$214,98,0)</f>
        <v>15203550</v>
      </c>
      <c r="C98" s="82">
        <f>VLOOKUP(A98,'Data shares'!$C$2:$CX$214,100,0)</f>
        <v>245250</v>
      </c>
      <c r="D98" s="141">
        <f>VLOOKUP(A98,'Data shares'!$C$2:$CY$537,101,0)</f>
        <v>1.6400000000000001E-2</v>
      </c>
      <c r="E98" s="86">
        <f>VLOOKUP($A98,'Data shares'!$C:$FA,74)</f>
        <v>9291900</v>
      </c>
      <c r="F98" s="86">
        <f>VLOOKUP($A98,'Data shares'!$C:$FA,76)</f>
        <v>-85500</v>
      </c>
      <c r="G98" s="87">
        <f>VLOOKUP(A98,'Data shares'!$C$2:$CA$214,77,0)</f>
        <v>-9.1000000000000004E-3</v>
      </c>
      <c r="H98" s="86">
        <f>VLOOKUP($A98,'Data shares'!$C:$FA,90)</f>
        <v>3189900</v>
      </c>
      <c r="I98" s="86">
        <f>VLOOKUP($A98,'Data shares'!$C:$FA,92)</f>
        <v>191700</v>
      </c>
      <c r="J98" s="87">
        <f>VLOOKUP($A98,'Data shares'!$C:$FA,93)</f>
        <v>6.3899999999999998E-2</v>
      </c>
      <c r="K98" s="86">
        <f>VLOOKUP($A98,'Data shares'!$C:$FA,94)</f>
        <v>2721750</v>
      </c>
      <c r="L98" s="86">
        <f>VLOOKUP($A98,'Data shares'!$C:$FA,96)</f>
        <v>139050</v>
      </c>
      <c r="M98" s="87">
        <f>VLOOKUP($A98,'Data shares'!$C:$FA,97)</f>
        <v>5.3800000000000001E-2</v>
      </c>
      <c r="N98" s="86">
        <f>VLOOKUP($A98,'Data shares'!$C:$FA,78)</f>
        <v>9124500</v>
      </c>
      <c r="O98" s="87">
        <f>VLOOKUP($A98,'Data shares'!$C:$FA,81)</f>
        <v>-0.01</v>
      </c>
    </row>
    <row r="99" spans="1:15" x14ac:dyDescent="0.25">
      <c r="A99" s="100" t="str">
        <f>'Data Vlaue (Cr)'!C94</f>
        <v>INDUSINDBK</v>
      </c>
      <c r="B99" s="82">
        <f>VLOOKUP(A99,'Data shares'!$C$2:$CV$214,98,0)</f>
        <v>50677900</v>
      </c>
      <c r="C99" s="82">
        <f>VLOOKUP(A99,'Data shares'!$C$2:$CX$214,100,0)</f>
        <v>-933100</v>
      </c>
      <c r="D99" s="141">
        <f>VLOOKUP(A99,'Data shares'!$C$2:$CY$537,101,0)</f>
        <v>-1.8100000000000002E-2</v>
      </c>
      <c r="E99" s="86">
        <f>VLOOKUP($A99,'Data shares'!$C:$FA,74)</f>
        <v>34881000</v>
      </c>
      <c r="F99" s="86">
        <f>VLOOKUP($A99,'Data shares'!$C:$FA,76)</f>
        <v>-634200</v>
      </c>
      <c r="G99" s="87">
        <f>VLOOKUP(A99,'Data shares'!$C$2:$CA$214,77,0)</f>
        <v>-1.7899999999999999E-2</v>
      </c>
      <c r="H99" s="86">
        <f>VLOOKUP($A99,'Data shares'!$C:$FA,90)</f>
        <v>9187500</v>
      </c>
      <c r="I99" s="86">
        <f>VLOOKUP($A99,'Data shares'!$C:$FA,92)</f>
        <v>-161000</v>
      </c>
      <c r="J99" s="87">
        <f>VLOOKUP($A99,'Data shares'!$C:$FA,93)</f>
        <v>-1.72E-2</v>
      </c>
      <c r="K99" s="86">
        <f>VLOOKUP($A99,'Data shares'!$C:$FA,94)</f>
        <v>6609400</v>
      </c>
      <c r="L99" s="86">
        <f>VLOOKUP($A99,'Data shares'!$C:$FA,96)</f>
        <v>-137900</v>
      </c>
      <c r="M99" s="87">
        <f>VLOOKUP($A99,'Data shares'!$C:$FA,97)</f>
        <v>-2.0400000000000001E-2</v>
      </c>
      <c r="N99" s="86">
        <f>VLOOKUP($A99,'Data shares'!$C:$FA,78)</f>
        <v>33308100</v>
      </c>
      <c r="O99" s="87">
        <f>VLOOKUP($A99,'Data shares'!$C:$FA,81)</f>
        <v>-1.9400000000000001E-2</v>
      </c>
    </row>
    <row r="100" spans="1:15" x14ac:dyDescent="0.25">
      <c r="A100" s="100" t="str">
        <f>'Data Vlaue (Cr)'!C95</f>
        <v>INDUSTOWER</v>
      </c>
      <c r="B100" s="82">
        <f>VLOOKUP(A100,'Data shares'!$C$2:$CV$214,98,0)</f>
        <v>121050200</v>
      </c>
      <c r="C100" s="82">
        <f>VLOOKUP(A100,'Data shares'!$C$2:$CX$214,100,0)</f>
        <v>6092800</v>
      </c>
      <c r="D100" s="141">
        <f>VLOOKUP(A100,'Data shares'!$C$2:$CY$537,101,0)</f>
        <v>5.2999999999999999E-2</v>
      </c>
      <c r="E100" s="86">
        <f>VLOOKUP($A100,'Data shares'!$C:$FA,74)</f>
        <v>84501900</v>
      </c>
      <c r="F100" s="86">
        <f>VLOOKUP($A100,'Data shares'!$C:$FA,76)</f>
        <v>255000</v>
      </c>
      <c r="G100" s="87">
        <f>VLOOKUP(A100,'Data shares'!$C$2:$CA$214,77,0)</f>
        <v>3.0000000000000001E-3</v>
      </c>
      <c r="H100" s="86">
        <f>VLOOKUP($A100,'Data shares'!$C:$FA,90)</f>
        <v>21610400</v>
      </c>
      <c r="I100" s="86">
        <f>VLOOKUP($A100,'Data shares'!$C:$FA,92)</f>
        <v>2371500</v>
      </c>
      <c r="J100" s="87">
        <f>VLOOKUP($A100,'Data shares'!$C:$FA,93)</f>
        <v>0.12330000000000001</v>
      </c>
      <c r="K100" s="86">
        <f>VLOOKUP($A100,'Data shares'!$C:$FA,94)</f>
        <v>14937900</v>
      </c>
      <c r="L100" s="86">
        <f>VLOOKUP($A100,'Data shares'!$C:$FA,96)</f>
        <v>3466300</v>
      </c>
      <c r="M100" s="87">
        <f>VLOOKUP($A100,'Data shares'!$C:$FA,97)</f>
        <v>0.30220000000000002</v>
      </c>
      <c r="N100" s="86">
        <f>VLOOKUP($A100,'Data shares'!$C:$FA,78)</f>
        <v>83439400</v>
      </c>
      <c r="O100" s="87">
        <f>VLOOKUP($A100,'Data shares'!$C:$FA,81)</f>
        <v>2.2000000000000001E-3</v>
      </c>
    </row>
    <row r="101" spans="1:15" x14ac:dyDescent="0.25">
      <c r="A101" s="100" t="str">
        <f>'Data Vlaue (Cr)'!C96</f>
        <v>INFY</v>
      </c>
      <c r="B101" s="82">
        <f>VLOOKUP(A101,'Data shares'!$C$2:$CV$214,98,0)</f>
        <v>149304400</v>
      </c>
      <c r="C101" s="82">
        <f>VLOOKUP(A101,'Data shares'!$C$2:$CX$214,100,0)</f>
        <v>2088000</v>
      </c>
      <c r="D101" s="141">
        <f>VLOOKUP(A101,'Data shares'!$C$2:$CY$537,101,0)</f>
        <v>1.4200000000000001E-2</v>
      </c>
      <c r="E101" s="86">
        <f>VLOOKUP($A101,'Data shares'!$C:$FA,74)</f>
        <v>75071200</v>
      </c>
      <c r="F101" s="86">
        <f>VLOOKUP($A101,'Data shares'!$C:$FA,76)</f>
        <v>-430400</v>
      </c>
      <c r="G101" s="87">
        <f>VLOOKUP(A101,'Data shares'!$C$2:$CA$214,77,0)</f>
        <v>-5.7000000000000002E-3</v>
      </c>
      <c r="H101" s="86">
        <f>VLOOKUP($A101,'Data shares'!$C:$FA,90)</f>
        <v>51607200</v>
      </c>
      <c r="I101" s="86">
        <f>VLOOKUP($A101,'Data shares'!$C:$FA,92)</f>
        <v>2198800</v>
      </c>
      <c r="J101" s="87">
        <f>VLOOKUP($A101,'Data shares'!$C:$FA,93)</f>
        <v>4.4499999999999998E-2</v>
      </c>
      <c r="K101" s="86">
        <f>VLOOKUP($A101,'Data shares'!$C:$FA,94)</f>
        <v>22626000</v>
      </c>
      <c r="L101" s="86">
        <f>VLOOKUP($A101,'Data shares'!$C:$FA,96)</f>
        <v>319600</v>
      </c>
      <c r="M101" s="87">
        <f>VLOOKUP($A101,'Data shares'!$C:$FA,97)</f>
        <v>1.43E-2</v>
      </c>
      <c r="N101" s="86">
        <f>VLOOKUP($A101,'Data shares'!$C:$FA,78)</f>
        <v>69483600</v>
      </c>
      <c r="O101" s="87">
        <f>VLOOKUP($A101,'Data shares'!$C:$FA,81)</f>
        <v>-1.37E-2</v>
      </c>
    </row>
    <row r="102" spans="1:15" x14ac:dyDescent="0.25">
      <c r="A102" s="100" t="str">
        <f>'Data Vlaue (Cr)'!C97</f>
        <v>INOXWIND</v>
      </c>
      <c r="B102" s="82">
        <f>VLOOKUP(A102,'Data shares'!$C$2:$CV$214,98,0)</f>
        <v>146567850</v>
      </c>
      <c r="C102" s="82">
        <f>VLOOKUP(A102,'Data shares'!$C$2:$CX$214,100,0)</f>
        <v>4082650</v>
      </c>
      <c r="D102" s="141">
        <f>VLOOKUP(A102,'Data shares'!$C$2:$CY$537,101,0)</f>
        <v>2.87E-2</v>
      </c>
      <c r="E102" s="86">
        <f>VLOOKUP($A102,'Data shares'!$C:$FA,74)</f>
        <v>98569900</v>
      </c>
      <c r="F102" s="86">
        <f>VLOOKUP($A102,'Data shares'!$C:$FA,76)</f>
        <v>715000</v>
      </c>
      <c r="G102" s="87">
        <f>VLOOKUP(A102,'Data shares'!$C$2:$CA$214,77,0)</f>
        <v>7.3000000000000001E-3</v>
      </c>
      <c r="H102" s="86">
        <f>VLOOKUP($A102,'Data shares'!$C:$FA,90)</f>
        <v>28621450</v>
      </c>
      <c r="I102" s="86">
        <f>VLOOKUP($A102,'Data shares'!$C:$FA,92)</f>
        <v>3235375</v>
      </c>
      <c r="J102" s="87">
        <f>VLOOKUP($A102,'Data shares'!$C:$FA,93)</f>
        <v>0.12740000000000001</v>
      </c>
      <c r="K102" s="86">
        <f>VLOOKUP($A102,'Data shares'!$C:$FA,94)</f>
        <v>19376500</v>
      </c>
      <c r="L102" s="86">
        <f>VLOOKUP($A102,'Data shares'!$C:$FA,96)</f>
        <v>132275</v>
      </c>
      <c r="M102" s="87">
        <f>VLOOKUP($A102,'Data shares'!$C:$FA,97)</f>
        <v>6.8999999999999999E-3</v>
      </c>
      <c r="N102" s="86">
        <f>VLOOKUP($A102,'Data shares'!$C:$FA,78)</f>
        <v>92967875</v>
      </c>
      <c r="O102" s="87">
        <f>VLOOKUP($A102,'Data shares'!$C:$FA,81)</f>
        <v>5.3E-3</v>
      </c>
    </row>
    <row r="103" spans="1:15" x14ac:dyDescent="0.25">
      <c r="A103" s="100" t="str">
        <f>'Data Vlaue (Cr)'!C98</f>
        <v>IOC</v>
      </c>
      <c r="B103" s="82">
        <f>VLOOKUP(A103,'Data shares'!$C$2:$CV$214,98,0)</f>
        <v>201649500</v>
      </c>
      <c r="C103" s="82">
        <f>VLOOKUP(A103,'Data shares'!$C$2:$CX$214,100,0)</f>
        <v>-8935875</v>
      </c>
      <c r="D103" s="141">
        <f>VLOOKUP(A103,'Data shares'!$C$2:$CY$537,101,0)</f>
        <v>-4.24E-2</v>
      </c>
      <c r="E103" s="86">
        <f>VLOOKUP($A103,'Data shares'!$C:$FA,74)</f>
        <v>93692625</v>
      </c>
      <c r="F103" s="86">
        <f>VLOOKUP($A103,'Data shares'!$C:$FA,76)</f>
        <v>-6123000</v>
      </c>
      <c r="G103" s="87">
        <f>VLOOKUP(A103,'Data shares'!$C$2:$CA$214,77,0)</f>
        <v>-6.13E-2</v>
      </c>
      <c r="H103" s="86">
        <f>VLOOKUP($A103,'Data shares'!$C:$FA,90)</f>
        <v>62010000</v>
      </c>
      <c r="I103" s="86">
        <f>VLOOKUP($A103,'Data shares'!$C:$FA,92)</f>
        <v>-4719000</v>
      </c>
      <c r="J103" s="87">
        <f>VLOOKUP($A103,'Data shares'!$C:$FA,93)</f>
        <v>-7.0699999999999999E-2</v>
      </c>
      <c r="K103" s="86">
        <f>VLOOKUP($A103,'Data shares'!$C:$FA,94)</f>
        <v>45946875</v>
      </c>
      <c r="L103" s="86">
        <f>VLOOKUP($A103,'Data shares'!$C:$FA,96)</f>
        <v>1906125</v>
      </c>
      <c r="M103" s="87">
        <f>VLOOKUP($A103,'Data shares'!$C:$FA,97)</f>
        <v>4.3299999999999998E-2</v>
      </c>
      <c r="N103" s="86">
        <f>VLOOKUP($A103,'Data shares'!$C:$FA,78)</f>
        <v>90109500</v>
      </c>
      <c r="O103" s="87">
        <f>VLOOKUP($A103,'Data shares'!$C:$FA,81)</f>
        <v>-6.7799999999999999E-2</v>
      </c>
    </row>
    <row r="104" spans="1:15" x14ac:dyDescent="0.25">
      <c r="A104" s="100" t="str">
        <f>'Data Vlaue (Cr)'!C99</f>
        <v>IRCTC</v>
      </c>
      <c r="B104" s="82">
        <f>VLOOKUP(A104,'Data shares'!$C$2:$CV$214,98,0)</f>
        <v>42609000</v>
      </c>
      <c r="C104" s="82">
        <f>VLOOKUP(A104,'Data shares'!$C$2:$CX$214,100,0)</f>
        <v>1011500</v>
      </c>
      <c r="D104" s="141">
        <f>VLOOKUP(A104,'Data shares'!$C$2:$CY$537,101,0)</f>
        <v>2.4299999999999999E-2</v>
      </c>
      <c r="E104" s="86">
        <f>VLOOKUP($A104,'Data shares'!$C:$FA,74)</f>
        <v>18407375</v>
      </c>
      <c r="F104" s="86">
        <f>VLOOKUP($A104,'Data shares'!$C:$FA,76)</f>
        <v>-38500</v>
      </c>
      <c r="G104" s="87">
        <f>VLOOKUP(A104,'Data shares'!$C$2:$CA$214,77,0)</f>
        <v>-2.0999999999999999E-3</v>
      </c>
      <c r="H104" s="86">
        <f>VLOOKUP($A104,'Data shares'!$C:$FA,90)</f>
        <v>15045625</v>
      </c>
      <c r="I104" s="86">
        <f>VLOOKUP($A104,'Data shares'!$C:$FA,92)</f>
        <v>1050000</v>
      </c>
      <c r="J104" s="87">
        <f>VLOOKUP($A104,'Data shares'!$C:$FA,93)</f>
        <v>7.4999999999999997E-2</v>
      </c>
      <c r="K104" s="86">
        <f>VLOOKUP($A104,'Data shares'!$C:$FA,94)</f>
        <v>9156000</v>
      </c>
      <c r="L104" s="86">
        <f>VLOOKUP($A104,'Data shares'!$C:$FA,96)</f>
        <v>0</v>
      </c>
      <c r="M104" s="87">
        <f>VLOOKUP($A104,'Data shares'!$C:$FA,97)</f>
        <v>0</v>
      </c>
      <c r="N104" s="86">
        <f>VLOOKUP($A104,'Data shares'!$C:$FA,78)</f>
        <v>18407375</v>
      </c>
      <c r="O104" s="87">
        <f>VLOOKUP($A104,'Data shares'!$C:$FA,81)</f>
        <v>-2.0999999999999999E-3</v>
      </c>
    </row>
    <row r="105" spans="1:15" x14ac:dyDescent="0.25">
      <c r="A105" s="100" t="str">
        <f>'Data Vlaue (Cr)'!C100</f>
        <v>IREDA</v>
      </c>
      <c r="B105" s="82">
        <f>VLOOKUP(A105,'Data shares'!$C$2:$CV$214,98,0)</f>
        <v>148563900</v>
      </c>
      <c r="C105" s="82">
        <f>VLOOKUP(A105,'Data shares'!$C$2:$CX$214,100,0)</f>
        <v>13427400</v>
      </c>
      <c r="D105" s="141">
        <f>VLOOKUP(A105,'Data shares'!$C$2:$CY$537,101,0)</f>
        <v>9.9400000000000002E-2</v>
      </c>
      <c r="E105" s="86">
        <f>VLOOKUP($A105,'Data shares'!$C:$FA,74)</f>
        <v>84090300</v>
      </c>
      <c r="F105" s="86">
        <f>VLOOKUP($A105,'Data shares'!$C:$FA,76)</f>
        <v>8573250</v>
      </c>
      <c r="G105" s="87">
        <f>VLOOKUP(A105,'Data shares'!$C$2:$CA$214,77,0)</f>
        <v>0.1135</v>
      </c>
      <c r="H105" s="86">
        <f>VLOOKUP($A105,'Data shares'!$C:$FA,90)</f>
        <v>42248700</v>
      </c>
      <c r="I105" s="86">
        <f>VLOOKUP($A105,'Data shares'!$C:$FA,92)</f>
        <v>3870900</v>
      </c>
      <c r="J105" s="87">
        <f>VLOOKUP($A105,'Data shares'!$C:$FA,93)</f>
        <v>0.1009</v>
      </c>
      <c r="K105" s="86">
        <f>VLOOKUP($A105,'Data shares'!$C:$FA,94)</f>
        <v>22224900</v>
      </c>
      <c r="L105" s="86">
        <f>VLOOKUP($A105,'Data shares'!$C:$FA,96)</f>
        <v>983250</v>
      </c>
      <c r="M105" s="87">
        <f>VLOOKUP($A105,'Data shares'!$C:$FA,97)</f>
        <v>4.6300000000000001E-2</v>
      </c>
      <c r="N105" s="86">
        <f>VLOOKUP($A105,'Data shares'!$C:$FA,78)</f>
        <v>65781150</v>
      </c>
      <c r="O105" s="87">
        <f>VLOOKUP($A105,'Data shares'!$C:$FA,81)</f>
        <v>7.8E-2</v>
      </c>
    </row>
    <row r="106" spans="1:15" x14ac:dyDescent="0.25">
      <c r="A106" s="100" t="str">
        <f>'Data Vlaue (Cr)'!C101</f>
        <v>IRFC</v>
      </c>
      <c r="B106" s="82">
        <f>VLOOKUP(A106,'Data shares'!$C$2:$CV$214,98,0)</f>
        <v>222874250</v>
      </c>
      <c r="C106" s="82">
        <f>VLOOKUP(A106,'Data shares'!$C$2:$CX$214,100,0)</f>
        <v>3404250</v>
      </c>
      <c r="D106" s="141">
        <f>VLOOKUP(A106,'Data shares'!$C$2:$CY$537,101,0)</f>
        <v>1.55E-2</v>
      </c>
      <c r="E106" s="86">
        <f>VLOOKUP($A106,'Data shares'!$C:$FA,74)</f>
        <v>78127750</v>
      </c>
      <c r="F106" s="86">
        <f>VLOOKUP($A106,'Data shares'!$C:$FA,76)</f>
        <v>-391000</v>
      </c>
      <c r="G106" s="87">
        <f>VLOOKUP(A106,'Data shares'!$C$2:$CA$214,77,0)</f>
        <v>-5.0000000000000001E-3</v>
      </c>
      <c r="H106" s="86">
        <f>VLOOKUP($A106,'Data shares'!$C:$FA,90)</f>
        <v>104571250</v>
      </c>
      <c r="I106" s="86">
        <f>VLOOKUP($A106,'Data shares'!$C:$FA,92)</f>
        <v>3030250</v>
      </c>
      <c r="J106" s="87">
        <f>VLOOKUP($A106,'Data shares'!$C:$FA,93)</f>
        <v>2.98E-2</v>
      </c>
      <c r="K106" s="86">
        <f>VLOOKUP($A106,'Data shares'!$C:$FA,94)</f>
        <v>40175250</v>
      </c>
      <c r="L106" s="86">
        <f>VLOOKUP($A106,'Data shares'!$C:$FA,96)</f>
        <v>765000</v>
      </c>
      <c r="M106" s="87">
        <f>VLOOKUP($A106,'Data shares'!$C:$FA,97)</f>
        <v>1.9400000000000001E-2</v>
      </c>
      <c r="N106" s="86">
        <f>VLOOKUP($A106,'Data shares'!$C:$FA,78)</f>
        <v>64217500</v>
      </c>
      <c r="O106" s="87">
        <f>VLOOKUP($A106,'Data shares'!$C:$FA,81)</f>
        <v>-2.3599999999999999E-2</v>
      </c>
    </row>
    <row r="107" spans="1:15" x14ac:dyDescent="0.25">
      <c r="A107" s="100" t="str">
        <f>'Data Vlaue (Cr)'!C102</f>
        <v>ITC</v>
      </c>
      <c r="B107" s="82">
        <f>VLOOKUP(A107,'Data shares'!$C$2:$CV$214,98,0)</f>
        <v>486958400</v>
      </c>
      <c r="C107" s="82">
        <f>VLOOKUP(A107,'Data shares'!$C$2:$CX$214,100,0)</f>
        <v>10811200</v>
      </c>
      <c r="D107" s="141">
        <f>VLOOKUP(A107,'Data shares'!$C$2:$CY$537,101,0)</f>
        <v>2.2700000000000001E-2</v>
      </c>
      <c r="E107" s="86">
        <f>VLOOKUP($A107,'Data shares'!$C:$FA,74)</f>
        <v>201121600</v>
      </c>
      <c r="F107" s="86">
        <f>VLOOKUP($A107,'Data shares'!$C:$FA,76)</f>
        <v>2936000</v>
      </c>
      <c r="G107" s="87">
        <f>VLOOKUP(A107,'Data shares'!$C$2:$CA$214,77,0)</f>
        <v>1.4800000000000001E-2</v>
      </c>
      <c r="H107" s="86">
        <f>VLOOKUP($A107,'Data shares'!$C:$FA,90)</f>
        <v>195238400</v>
      </c>
      <c r="I107" s="86">
        <f>VLOOKUP($A107,'Data shares'!$C:$FA,92)</f>
        <v>8070400</v>
      </c>
      <c r="J107" s="87">
        <f>VLOOKUP($A107,'Data shares'!$C:$FA,93)</f>
        <v>4.3099999999999999E-2</v>
      </c>
      <c r="K107" s="86">
        <f>VLOOKUP($A107,'Data shares'!$C:$FA,94)</f>
        <v>90598400</v>
      </c>
      <c r="L107" s="86">
        <f>VLOOKUP($A107,'Data shares'!$C:$FA,96)</f>
        <v>-195200</v>
      </c>
      <c r="M107" s="87">
        <f>VLOOKUP($A107,'Data shares'!$C:$FA,97)</f>
        <v>-2.0999999999999999E-3</v>
      </c>
      <c r="N107" s="86">
        <f>VLOOKUP($A107,'Data shares'!$C:$FA,78)</f>
        <v>178345600</v>
      </c>
      <c r="O107" s="87">
        <f>VLOOKUP($A107,'Data shares'!$C:$FA,81)</f>
        <v>5.3E-3</v>
      </c>
    </row>
    <row r="108" spans="1:15" x14ac:dyDescent="0.25">
      <c r="A108" s="100" t="str">
        <f>'Data Vlaue (Cr)'!C103</f>
        <v>JINDALSTEL</v>
      </c>
      <c r="B108" s="82">
        <f>VLOOKUP(A108,'Data shares'!$C$2:$CV$214,98,0)</f>
        <v>20226250</v>
      </c>
      <c r="C108" s="82">
        <f>VLOOKUP(A108,'Data shares'!$C$2:$CX$214,100,0)</f>
        <v>-346875</v>
      </c>
      <c r="D108" s="141">
        <f>VLOOKUP(A108,'Data shares'!$C$2:$CY$537,101,0)</f>
        <v>-1.6899999999999998E-2</v>
      </c>
      <c r="E108" s="86">
        <f>VLOOKUP($A108,'Data shares'!$C:$FA,74)</f>
        <v>11356875</v>
      </c>
      <c r="F108" s="86">
        <f>VLOOKUP($A108,'Data shares'!$C:$FA,76)</f>
        <v>-237500</v>
      </c>
      <c r="G108" s="87">
        <f>VLOOKUP(A108,'Data shares'!$C$2:$CA$214,77,0)</f>
        <v>-2.0500000000000001E-2</v>
      </c>
      <c r="H108" s="86">
        <f>VLOOKUP($A108,'Data shares'!$C:$FA,90)</f>
        <v>4626875</v>
      </c>
      <c r="I108" s="86">
        <f>VLOOKUP($A108,'Data shares'!$C:$FA,92)</f>
        <v>-100625</v>
      </c>
      <c r="J108" s="87">
        <f>VLOOKUP($A108,'Data shares'!$C:$FA,93)</f>
        <v>-2.1299999999999999E-2</v>
      </c>
      <c r="K108" s="86">
        <f>VLOOKUP($A108,'Data shares'!$C:$FA,94)</f>
        <v>4242500</v>
      </c>
      <c r="L108" s="86">
        <f>VLOOKUP($A108,'Data shares'!$C:$FA,96)</f>
        <v>-8750</v>
      </c>
      <c r="M108" s="87">
        <f>VLOOKUP($A108,'Data shares'!$C:$FA,97)</f>
        <v>-2.0999999999999999E-3</v>
      </c>
      <c r="N108" s="86">
        <f>VLOOKUP($A108,'Data shares'!$C:$FA,78)</f>
        <v>11000000</v>
      </c>
      <c r="O108" s="87">
        <f>VLOOKUP($A108,'Data shares'!$C:$FA,81)</f>
        <v>-2.1999999999999999E-2</v>
      </c>
    </row>
    <row r="109" spans="1:15" x14ac:dyDescent="0.25">
      <c r="A109" s="100" t="str">
        <f>'Data Vlaue (Cr)'!C104</f>
        <v>JIOFIN</v>
      </c>
      <c r="B109" s="82">
        <f>VLOOKUP(A109,'Data shares'!$C$2:$CV$214,98,0)</f>
        <v>299907000</v>
      </c>
      <c r="C109" s="82">
        <f>VLOOKUP(A109,'Data shares'!$C$2:$CX$214,100,0)</f>
        <v>-4582500</v>
      </c>
      <c r="D109" s="141">
        <f>VLOOKUP(A109,'Data shares'!$C$2:$CY$537,101,0)</f>
        <v>-1.4999999999999999E-2</v>
      </c>
      <c r="E109" s="86">
        <f>VLOOKUP($A109,'Data shares'!$C:$FA,74)</f>
        <v>169200000</v>
      </c>
      <c r="F109" s="86">
        <f>VLOOKUP($A109,'Data shares'!$C:$FA,76)</f>
        <v>263200</v>
      </c>
      <c r="G109" s="87">
        <f>VLOOKUP(A109,'Data shares'!$C$2:$CA$214,77,0)</f>
        <v>1.6000000000000001E-3</v>
      </c>
      <c r="H109" s="86">
        <f>VLOOKUP($A109,'Data shares'!$C:$FA,90)</f>
        <v>76957800</v>
      </c>
      <c r="I109" s="86">
        <f>VLOOKUP($A109,'Data shares'!$C:$FA,92)</f>
        <v>-4627150</v>
      </c>
      <c r="J109" s="87">
        <f>VLOOKUP($A109,'Data shares'!$C:$FA,93)</f>
        <v>-5.67E-2</v>
      </c>
      <c r="K109" s="86">
        <f>VLOOKUP($A109,'Data shares'!$C:$FA,94)</f>
        <v>53749200</v>
      </c>
      <c r="L109" s="86">
        <f>VLOOKUP($A109,'Data shares'!$C:$FA,96)</f>
        <v>-218550</v>
      </c>
      <c r="M109" s="87">
        <f>VLOOKUP($A109,'Data shares'!$C:$FA,97)</f>
        <v>-4.0000000000000001E-3</v>
      </c>
      <c r="N109" s="86">
        <f>VLOOKUP($A109,'Data shares'!$C:$FA,78)</f>
        <v>153997850</v>
      </c>
      <c r="O109" s="87">
        <f>VLOOKUP($A109,'Data shares'!$C:$FA,81)</f>
        <v>-3.8E-3</v>
      </c>
    </row>
    <row r="110" spans="1:15" x14ac:dyDescent="0.25">
      <c r="A110" s="100" t="str">
        <f>'Data Vlaue (Cr)'!C105</f>
        <v>JSWENERGY</v>
      </c>
      <c r="B110" s="82">
        <f>VLOOKUP(A110,'Data shares'!$C$2:$CV$214,98,0)</f>
        <v>48586000</v>
      </c>
      <c r="C110" s="82">
        <f>VLOOKUP(A110,'Data shares'!$C$2:$CX$214,100,0)</f>
        <v>834000</v>
      </c>
      <c r="D110" s="141">
        <f>VLOOKUP(A110,'Data shares'!$C$2:$CY$537,101,0)</f>
        <v>1.7500000000000002E-2</v>
      </c>
      <c r="E110" s="86">
        <f>VLOOKUP($A110,'Data shares'!$C:$FA,74)</f>
        <v>33667000</v>
      </c>
      <c r="F110" s="86">
        <f>VLOOKUP($A110,'Data shares'!$C:$FA,76)</f>
        <v>174000</v>
      </c>
      <c r="G110" s="87">
        <f>VLOOKUP(A110,'Data shares'!$C$2:$CA$214,77,0)</f>
        <v>5.1999999999999998E-3</v>
      </c>
      <c r="H110" s="86">
        <f>VLOOKUP($A110,'Data shares'!$C:$FA,90)</f>
        <v>7760000</v>
      </c>
      <c r="I110" s="86">
        <f>VLOOKUP($A110,'Data shares'!$C:$FA,92)</f>
        <v>541000</v>
      </c>
      <c r="J110" s="87">
        <f>VLOOKUP($A110,'Data shares'!$C:$FA,93)</f>
        <v>7.4899999999999994E-2</v>
      </c>
      <c r="K110" s="86">
        <f>VLOOKUP($A110,'Data shares'!$C:$FA,94)</f>
        <v>7159000</v>
      </c>
      <c r="L110" s="86">
        <f>VLOOKUP($A110,'Data shares'!$C:$FA,96)</f>
        <v>119000</v>
      </c>
      <c r="M110" s="87">
        <f>VLOOKUP($A110,'Data shares'!$C:$FA,97)</f>
        <v>1.6899999999999998E-2</v>
      </c>
      <c r="N110" s="86">
        <f>VLOOKUP($A110,'Data shares'!$C:$FA,78)</f>
        <v>33263000</v>
      </c>
      <c r="O110" s="87">
        <f>VLOOKUP($A110,'Data shares'!$C:$FA,81)</f>
        <v>3.7000000000000002E-3</v>
      </c>
    </row>
    <row r="111" spans="1:15" x14ac:dyDescent="0.25">
      <c r="A111" s="100" t="str">
        <f>'Data Vlaue (Cr)'!C106</f>
        <v>JSWSTEEL</v>
      </c>
      <c r="B111" s="82">
        <f>VLOOKUP(A111,'Data shares'!$C$2:$CV$214,98,0)</f>
        <v>65612700</v>
      </c>
      <c r="C111" s="82">
        <f>VLOOKUP(A111,'Data shares'!$C$2:$CX$214,100,0)</f>
        <v>-330750</v>
      </c>
      <c r="D111" s="141">
        <f>VLOOKUP(A111,'Data shares'!$C$2:$CY$537,101,0)</f>
        <v>-5.0000000000000001E-3</v>
      </c>
      <c r="E111" s="86">
        <f>VLOOKUP($A111,'Data shares'!$C:$FA,74)</f>
        <v>54212625</v>
      </c>
      <c r="F111" s="86">
        <f>VLOOKUP($A111,'Data shares'!$C:$FA,76)</f>
        <v>-58050</v>
      </c>
      <c r="G111" s="87">
        <f>VLOOKUP(A111,'Data shares'!$C$2:$CA$214,77,0)</f>
        <v>-1.1000000000000001E-3</v>
      </c>
      <c r="H111" s="86">
        <f>VLOOKUP($A111,'Data shares'!$C:$FA,90)</f>
        <v>6637950</v>
      </c>
      <c r="I111" s="86">
        <f>VLOOKUP($A111,'Data shares'!$C:$FA,92)</f>
        <v>-184275</v>
      </c>
      <c r="J111" s="87">
        <f>VLOOKUP($A111,'Data shares'!$C:$FA,93)</f>
        <v>-2.7E-2</v>
      </c>
      <c r="K111" s="86">
        <f>VLOOKUP($A111,'Data shares'!$C:$FA,94)</f>
        <v>4762125</v>
      </c>
      <c r="L111" s="86">
        <f>VLOOKUP($A111,'Data shares'!$C:$FA,96)</f>
        <v>-88425</v>
      </c>
      <c r="M111" s="87">
        <f>VLOOKUP($A111,'Data shares'!$C:$FA,97)</f>
        <v>-1.8200000000000001E-2</v>
      </c>
      <c r="N111" s="86">
        <f>VLOOKUP($A111,'Data shares'!$C:$FA,78)</f>
        <v>53412075</v>
      </c>
      <c r="O111" s="87">
        <f>VLOOKUP($A111,'Data shares'!$C:$FA,81)</f>
        <v>-1.1999999999999999E-3</v>
      </c>
    </row>
    <row r="112" spans="1:15" x14ac:dyDescent="0.25">
      <c r="A112" s="100" t="str">
        <f>'Data Vlaue (Cr)'!C107</f>
        <v>JUBLFOOD</v>
      </c>
      <c r="B112" s="82">
        <f>VLOOKUP(A112,'Data shares'!$C$2:$CV$214,98,0)</f>
        <v>52853750</v>
      </c>
      <c r="C112" s="82">
        <f>VLOOKUP(A112,'Data shares'!$C$2:$CX$214,100,0)</f>
        <v>14492500</v>
      </c>
      <c r="D112" s="141">
        <f>VLOOKUP(A112,'Data shares'!$C$2:$CY$537,101,0)</f>
        <v>0.37780000000000002</v>
      </c>
      <c r="E112" s="86">
        <f>VLOOKUP($A112,'Data shares'!$C:$FA,74)</f>
        <v>26176250</v>
      </c>
      <c r="F112" s="86">
        <f>VLOOKUP($A112,'Data shares'!$C:$FA,76)</f>
        <v>2746250</v>
      </c>
      <c r="G112" s="87">
        <f>VLOOKUP(A112,'Data shares'!$C$2:$CA$214,77,0)</f>
        <v>0.1172</v>
      </c>
      <c r="H112" s="86">
        <f>VLOOKUP($A112,'Data shares'!$C:$FA,90)</f>
        <v>17876250</v>
      </c>
      <c r="I112" s="86">
        <f>VLOOKUP($A112,'Data shares'!$C:$FA,92)</f>
        <v>9426250</v>
      </c>
      <c r="J112" s="87">
        <f>VLOOKUP($A112,'Data shares'!$C:$FA,93)</f>
        <v>1.1154999999999999</v>
      </c>
      <c r="K112" s="86">
        <f>VLOOKUP($A112,'Data shares'!$C:$FA,94)</f>
        <v>8801250</v>
      </c>
      <c r="L112" s="86">
        <f>VLOOKUP($A112,'Data shares'!$C:$FA,96)</f>
        <v>2320000</v>
      </c>
      <c r="M112" s="87">
        <f>VLOOKUP($A112,'Data shares'!$C:$FA,97)</f>
        <v>0.35799999999999998</v>
      </c>
      <c r="N112" s="86">
        <f>VLOOKUP($A112,'Data shares'!$C:$FA,78)</f>
        <v>23282500</v>
      </c>
      <c r="O112" s="87">
        <f>VLOOKUP($A112,'Data shares'!$C:$FA,81)</f>
        <v>8.4599999999999995E-2</v>
      </c>
    </row>
    <row r="113" spans="1:15" x14ac:dyDescent="0.25">
      <c r="A113" s="100" t="str">
        <f>'Data Vlaue (Cr)'!C108</f>
        <v>KALYANKJIL</v>
      </c>
      <c r="B113" s="82">
        <f>VLOOKUP(A113,'Data shares'!$C$2:$CV$214,98,0)</f>
        <v>73902800</v>
      </c>
      <c r="C113" s="82">
        <f>VLOOKUP(A113,'Data shares'!$C$2:$CX$214,100,0)</f>
        <v>-3193650</v>
      </c>
      <c r="D113" s="141">
        <f>VLOOKUP(A113,'Data shares'!$C$2:$CY$537,101,0)</f>
        <v>-4.1399999999999999E-2</v>
      </c>
      <c r="E113" s="86">
        <f>VLOOKUP($A113,'Data shares'!$C:$FA,74)</f>
        <v>32908225</v>
      </c>
      <c r="F113" s="86">
        <f>VLOOKUP($A113,'Data shares'!$C:$FA,76)</f>
        <v>-583975</v>
      </c>
      <c r="G113" s="87">
        <f>VLOOKUP(A113,'Data shares'!$C$2:$CA$214,77,0)</f>
        <v>-1.7399999999999999E-2</v>
      </c>
      <c r="H113" s="86">
        <f>VLOOKUP($A113,'Data shares'!$C:$FA,90)</f>
        <v>22812625</v>
      </c>
      <c r="I113" s="86">
        <f>VLOOKUP($A113,'Data shares'!$C:$FA,92)</f>
        <v>-1630900</v>
      </c>
      <c r="J113" s="87">
        <f>VLOOKUP($A113,'Data shares'!$C:$FA,93)</f>
        <v>-6.6699999999999995E-2</v>
      </c>
      <c r="K113" s="86">
        <f>VLOOKUP($A113,'Data shares'!$C:$FA,94)</f>
        <v>18181950</v>
      </c>
      <c r="L113" s="86">
        <f>VLOOKUP($A113,'Data shares'!$C:$FA,96)</f>
        <v>-978775</v>
      </c>
      <c r="M113" s="87">
        <f>VLOOKUP($A113,'Data shares'!$C:$FA,97)</f>
        <v>-5.11E-2</v>
      </c>
      <c r="N113" s="86">
        <f>VLOOKUP($A113,'Data shares'!$C:$FA,78)</f>
        <v>30647525</v>
      </c>
      <c r="O113" s="87">
        <f>VLOOKUP($A113,'Data shares'!$C:$FA,81)</f>
        <v>-2.0199999999999999E-2</v>
      </c>
    </row>
    <row r="114" spans="1:15" x14ac:dyDescent="0.25">
      <c r="A114" s="100" t="str">
        <f>'Data Vlaue (Cr)'!C109</f>
        <v>KAYNES</v>
      </c>
      <c r="B114" s="82">
        <f>VLOOKUP(A114,'Data shares'!$C$2:$CV$214,98,0)</f>
        <v>8717200</v>
      </c>
      <c r="C114" s="82">
        <f>VLOOKUP(A114,'Data shares'!$C$2:$CX$214,100,0)</f>
        <v>594700</v>
      </c>
      <c r="D114" s="141">
        <f>VLOOKUP(A114,'Data shares'!$C$2:$CY$537,101,0)</f>
        <v>7.3200000000000001E-2</v>
      </c>
      <c r="E114" s="86">
        <f>VLOOKUP($A114,'Data shares'!$C:$FA,74)</f>
        <v>4132300</v>
      </c>
      <c r="F114" s="86">
        <f>VLOOKUP($A114,'Data shares'!$C:$FA,76)</f>
        <v>-26900</v>
      </c>
      <c r="G114" s="87">
        <f>VLOOKUP(A114,'Data shares'!$C$2:$CA$214,77,0)</f>
        <v>-6.4999999999999997E-3</v>
      </c>
      <c r="H114" s="86">
        <f>VLOOKUP($A114,'Data shares'!$C:$FA,90)</f>
        <v>2431600</v>
      </c>
      <c r="I114" s="86">
        <f>VLOOKUP($A114,'Data shares'!$C:$FA,92)</f>
        <v>418300</v>
      </c>
      <c r="J114" s="87">
        <f>VLOOKUP($A114,'Data shares'!$C:$FA,93)</f>
        <v>0.20780000000000001</v>
      </c>
      <c r="K114" s="86">
        <f>VLOOKUP($A114,'Data shares'!$C:$FA,94)</f>
        <v>2153300</v>
      </c>
      <c r="L114" s="86">
        <f>VLOOKUP($A114,'Data shares'!$C:$FA,96)</f>
        <v>203300</v>
      </c>
      <c r="M114" s="87">
        <f>VLOOKUP($A114,'Data shares'!$C:$FA,97)</f>
        <v>0.1043</v>
      </c>
      <c r="N114" s="86">
        <f>VLOOKUP($A114,'Data shares'!$C:$FA,78)</f>
        <v>3777000</v>
      </c>
      <c r="O114" s="87">
        <f>VLOOKUP($A114,'Data shares'!$C:$FA,81)</f>
        <v>-1.6799999999999999E-2</v>
      </c>
    </row>
    <row r="115" spans="1:15" x14ac:dyDescent="0.25">
      <c r="A115" s="100" t="str">
        <f>'Data Vlaue (Cr)'!C110</f>
        <v>KEI</v>
      </c>
      <c r="B115" s="82">
        <f>VLOOKUP(A115,'Data shares'!$C$2:$CV$214,98,0)</f>
        <v>2997925</v>
      </c>
      <c r="C115" s="82">
        <f>VLOOKUP(A115,'Data shares'!$C$2:$CX$214,100,0)</f>
        <v>25375</v>
      </c>
      <c r="D115" s="141">
        <f>VLOOKUP(A115,'Data shares'!$C$2:$CY$537,101,0)</f>
        <v>8.5000000000000006E-3</v>
      </c>
      <c r="E115" s="86">
        <f>VLOOKUP($A115,'Data shares'!$C:$FA,74)</f>
        <v>1869000</v>
      </c>
      <c r="F115" s="86">
        <f>VLOOKUP($A115,'Data shares'!$C:$FA,76)</f>
        <v>43225</v>
      </c>
      <c r="G115" s="87">
        <f>VLOOKUP(A115,'Data shares'!$C$2:$CA$214,77,0)</f>
        <v>2.3699999999999999E-2</v>
      </c>
      <c r="H115" s="86">
        <f>VLOOKUP($A115,'Data shares'!$C:$FA,90)</f>
        <v>580300</v>
      </c>
      <c r="I115" s="86">
        <f>VLOOKUP($A115,'Data shares'!$C:$FA,92)</f>
        <v>-25375</v>
      </c>
      <c r="J115" s="87">
        <f>VLOOKUP($A115,'Data shares'!$C:$FA,93)</f>
        <v>-4.19E-2</v>
      </c>
      <c r="K115" s="86">
        <f>VLOOKUP($A115,'Data shares'!$C:$FA,94)</f>
        <v>548625</v>
      </c>
      <c r="L115" s="86">
        <f>VLOOKUP($A115,'Data shares'!$C:$FA,96)</f>
        <v>7525</v>
      </c>
      <c r="M115" s="87">
        <f>VLOOKUP($A115,'Data shares'!$C:$FA,97)</f>
        <v>1.3899999999999999E-2</v>
      </c>
      <c r="N115" s="86">
        <f>VLOOKUP($A115,'Data shares'!$C:$FA,78)</f>
        <v>1629950</v>
      </c>
      <c r="O115" s="87">
        <f>VLOOKUP($A115,'Data shares'!$C:$FA,81)</f>
        <v>1.8599999999999998E-2</v>
      </c>
    </row>
    <row r="116" spans="1:15" x14ac:dyDescent="0.25">
      <c r="A116" s="100" t="str">
        <f>'Data Vlaue (Cr)'!C111</f>
        <v>KFINTECH</v>
      </c>
      <c r="B116" s="82">
        <f>VLOOKUP(A116,'Data shares'!$C$2:$CV$214,98,0)</f>
        <v>8923500</v>
      </c>
      <c r="C116" s="82">
        <f>VLOOKUP(A116,'Data shares'!$C$2:$CX$214,100,0)</f>
        <v>525500</v>
      </c>
      <c r="D116" s="141">
        <f>VLOOKUP(A116,'Data shares'!$C$2:$CY$537,101,0)</f>
        <v>6.2600000000000003E-2</v>
      </c>
      <c r="E116" s="86">
        <f>VLOOKUP($A116,'Data shares'!$C:$FA,74)</f>
        <v>6376000</v>
      </c>
      <c r="F116" s="86">
        <f>VLOOKUP($A116,'Data shares'!$C:$FA,76)</f>
        <v>282000</v>
      </c>
      <c r="G116" s="87">
        <f>VLOOKUP(A116,'Data shares'!$C$2:$CA$214,77,0)</f>
        <v>4.6300000000000001E-2</v>
      </c>
      <c r="H116" s="86">
        <f>VLOOKUP($A116,'Data shares'!$C:$FA,90)</f>
        <v>1448500</v>
      </c>
      <c r="I116" s="86">
        <f>VLOOKUP($A116,'Data shares'!$C:$FA,92)</f>
        <v>138000</v>
      </c>
      <c r="J116" s="87">
        <f>VLOOKUP($A116,'Data shares'!$C:$FA,93)</f>
        <v>0.1053</v>
      </c>
      <c r="K116" s="86">
        <f>VLOOKUP($A116,'Data shares'!$C:$FA,94)</f>
        <v>1099000</v>
      </c>
      <c r="L116" s="86">
        <f>VLOOKUP($A116,'Data shares'!$C:$FA,96)</f>
        <v>105500</v>
      </c>
      <c r="M116" s="87">
        <f>VLOOKUP($A116,'Data shares'!$C:$FA,97)</f>
        <v>0.1062</v>
      </c>
      <c r="N116" s="86">
        <f>VLOOKUP($A116,'Data shares'!$C:$FA,78)</f>
        <v>4863000</v>
      </c>
      <c r="O116" s="87">
        <f>VLOOKUP($A116,'Data shares'!$C:$FA,81)</f>
        <v>3.2899999999999999E-2</v>
      </c>
    </row>
    <row r="117" spans="1:15" x14ac:dyDescent="0.25">
      <c r="A117" s="100" t="str">
        <f>'Data Vlaue (Cr)'!C112</f>
        <v>KOTAKBANK</v>
      </c>
      <c r="B117" s="82">
        <f>VLOOKUP(A117,'Data shares'!$C$2:$CV$214,98,0)</f>
        <v>274856000</v>
      </c>
      <c r="C117" s="82">
        <f>VLOOKUP(A117,'Data shares'!$C$2:$CX$214,100,0)</f>
        <v>-4186000</v>
      </c>
      <c r="D117" s="141">
        <f>VLOOKUP(A117,'Data shares'!$C$2:$CY$537,101,0)</f>
        <v>-1.4999999999999999E-2</v>
      </c>
      <c r="E117" s="86">
        <f>VLOOKUP($A117,'Data shares'!$C:$FA,74)</f>
        <v>201884000</v>
      </c>
      <c r="F117" s="86">
        <f>VLOOKUP($A117,'Data shares'!$C:$FA,76)</f>
        <v>-3056000</v>
      </c>
      <c r="G117" s="87">
        <f>VLOOKUP(A117,'Data shares'!$C$2:$CA$214,77,0)</f>
        <v>-1.49E-2</v>
      </c>
      <c r="H117" s="86">
        <f>VLOOKUP($A117,'Data shares'!$C:$FA,90)</f>
        <v>37068000</v>
      </c>
      <c r="I117" s="86">
        <f>VLOOKUP($A117,'Data shares'!$C:$FA,92)</f>
        <v>-264000</v>
      </c>
      <c r="J117" s="87">
        <f>VLOOKUP($A117,'Data shares'!$C:$FA,93)</f>
        <v>-7.1000000000000004E-3</v>
      </c>
      <c r="K117" s="86">
        <f>VLOOKUP($A117,'Data shares'!$C:$FA,94)</f>
        <v>35904000</v>
      </c>
      <c r="L117" s="86">
        <f>VLOOKUP($A117,'Data shares'!$C:$FA,96)</f>
        <v>-866000</v>
      </c>
      <c r="M117" s="87">
        <f>VLOOKUP($A117,'Data shares'!$C:$FA,97)</f>
        <v>-2.3599999999999999E-2</v>
      </c>
      <c r="N117" s="86">
        <f>VLOOKUP($A117,'Data shares'!$C:$FA,78)</f>
        <v>186174000</v>
      </c>
      <c r="O117" s="87">
        <f>VLOOKUP($A117,'Data shares'!$C:$FA,81)</f>
        <v>-1.66E-2</v>
      </c>
    </row>
    <row r="118" spans="1:15" x14ac:dyDescent="0.25">
      <c r="A118" s="100" t="str">
        <f>'Data Vlaue (Cr)'!C113</f>
        <v>KPITTECH</v>
      </c>
      <c r="B118" s="82">
        <f>VLOOKUP(A118,'Data shares'!$C$2:$CV$214,98,0)</f>
        <v>12962500</v>
      </c>
      <c r="C118" s="82">
        <f>VLOOKUP(A118,'Data shares'!$C$2:$CX$214,100,0)</f>
        <v>372725</v>
      </c>
      <c r="D118" s="141">
        <f>VLOOKUP(A118,'Data shares'!$C$2:$CY$537,101,0)</f>
        <v>2.9600000000000001E-2</v>
      </c>
      <c r="E118" s="86">
        <f>VLOOKUP($A118,'Data shares'!$C:$FA,74)</f>
        <v>4723875</v>
      </c>
      <c r="F118" s="86">
        <f>VLOOKUP($A118,'Data shares'!$C:$FA,76)</f>
        <v>138975</v>
      </c>
      <c r="G118" s="87">
        <f>VLOOKUP(A118,'Data shares'!$C$2:$CA$214,77,0)</f>
        <v>3.0300000000000001E-2</v>
      </c>
      <c r="H118" s="86">
        <f>VLOOKUP($A118,'Data shares'!$C:$FA,90)</f>
        <v>5842900</v>
      </c>
      <c r="I118" s="86">
        <f>VLOOKUP($A118,'Data shares'!$C:$FA,92)</f>
        <v>96900</v>
      </c>
      <c r="J118" s="87">
        <f>VLOOKUP($A118,'Data shares'!$C:$FA,93)</f>
        <v>1.6899999999999998E-2</v>
      </c>
      <c r="K118" s="86">
        <f>VLOOKUP($A118,'Data shares'!$C:$FA,94)</f>
        <v>2395725</v>
      </c>
      <c r="L118" s="86">
        <f>VLOOKUP($A118,'Data shares'!$C:$FA,96)</f>
        <v>136850</v>
      </c>
      <c r="M118" s="87">
        <f>VLOOKUP($A118,'Data shares'!$C:$FA,97)</f>
        <v>6.0600000000000001E-2</v>
      </c>
      <c r="N118" s="86">
        <f>VLOOKUP($A118,'Data shares'!$C:$FA,78)</f>
        <v>4046425</v>
      </c>
      <c r="O118" s="87">
        <f>VLOOKUP($A118,'Data shares'!$C:$FA,81)</f>
        <v>2.3E-2</v>
      </c>
    </row>
    <row r="119" spans="1:15" x14ac:dyDescent="0.25">
      <c r="A119" s="100" t="str">
        <f>'Data Vlaue (Cr)'!C114</f>
        <v>LAURUSLABS</v>
      </c>
      <c r="B119" s="82">
        <f>VLOOKUP(A119,'Data shares'!$C$2:$CV$214,98,0)</f>
        <v>38451450</v>
      </c>
      <c r="C119" s="82">
        <f>VLOOKUP(A119,'Data shares'!$C$2:$CX$214,100,0)</f>
        <v>856800</v>
      </c>
      <c r="D119" s="141">
        <f>VLOOKUP(A119,'Data shares'!$C$2:$CY$537,101,0)</f>
        <v>2.2800000000000001E-2</v>
      </c>
      <c r="E119" s="86">
        <f>VLOOKUP($A119,'Data shares'!$C:$FA,74)</f>
        <v>20366000</v>
      </c>
      <c r="F119" s="86">
        <f>VLOOKUP($A119,'Data shares'!$C:$FA,76)</f>
        <v>382500</v>
      </c>
      <c r="G119" s="87">
        <f>VLOOKUP(A119,'Data shares'!$C$2:$CA$214,77,0)</f>
        <v>1.9099999999999999E-2</v>
      </c>
      <c r="H119" s="86">
        <f>VLOOKUP($A119,'Data shares'!$C:$FA,90)</f>
        <v>12003700</v>
      </c>
      <c r="I119" s="86">
        <f>VLOOKUP($A119,'Data shares'!$C:$FA,92)</f>
        <v>147050</v>
      </c>
      <c r="J119" s="87">
        <f>VLOOKUP($A119,'Data shares'!$C:$FA,93)</f>
        <v>1.24E-2</v>
      </c>
      <c r="K119" s="86">
        <f>VLOOKUP($A119,'Data shares'!$C:$FA,94)</f>
        <v>6081750</v>
      </c>
      <c r="L119" s="86">
        <f>VLOOKUP($A119,'Data shares'!$C:$FA,96)</f>
        <v>327250</v>
      </c>
      <c r="M119" s="87">
        <f>VLOOKUP($A119,'Data shares'!$C:$FA,97)</f>
        <v>5.6899999999999999E-2</v>
      </c>
      <c r="N119" s="86">
        <f>VLOOKUP($A119,'Data shares'!$C:$FA,78)</f>
        <v>19421650</v>
      </c>
      <c r="O119" s="87">
        <f>VLOOKUP($A119,'Data shares'!$C:$FA,81)</f>
        <v>9.5999999999999992E-3</v>
      </c>
    </row>
    <row r="120" spans="1:15" x14ac:dyDescent="0.25">
      <c r="A120" s="100" t="str">
        <f>'Data Vlaue (Cr)'!C115</f>
        <v>LICHSGFIN</v>
      </c>
      <c r="B120" s="82">
        <f>VLOOKUP(A120,'Data shares'!$C$2:$CV$214,98,0)</f>
        <v>52803000</v>
      </c>
      <c r="C120" s="82">
        <f>VLOOKUP(A120,'Data shares'!$C$2:$CX$214,100,0)</f>
        <v>427000</v>
      </c>
      <c r="D120" s="141">
        <f>VLOOKUP(A120,'Data shares'!$C$2:$CY$537,101,0)</f>
        <v>8.2000000000000007E-3</v>
      </c>
      <c r="E120" s="86">
        <f>VLOOKUP($A120,'Data shares'!$C:$FA,74)</f>
        <v>33840000</v>
      </c>
      <c r="F120" s="86">
        <f>VLOOKUP($A120,'Data shares'!$C:$FA,76)</f>
        <v>-127000</v>
      </c>
      <c r="G120" s="87">
        <f>VLOOKUP(A120,'Data shares'!$C$2:$CA$214,77,0)</f>
        <v>-3.7000000000000002E-3</v>
      </c>
      <c r="H120" s="86">
        <f>VLOOKUP($A120,'Data shares'!$C:$FA,90)</f>
        <v>10660000</v>
      </c>
      <c r="I120" s="86">
        <f>VLOOKUP($A120,'Data shares'!$C:$FA,92)</f>
        <v>400000</v>
      </c>
      <c r="J120" s="87">
        <f>VLOOKUP($A120,'Data shares'!$C:$FA,93)</f>
        <v>3.9E-2</v>
      </c>
      <c r="K120" s="86">
        <f>VLOOKUP($A120,'Data shares'!$C:$FA,94)</f>
        <v>8303000</v>
      </c>
      <c r="L120" s="86">
        <f>VLOOKUP($A120,'Data shares'!$C:$FA,96)</f>
        <v>154000</v>
      </c>
      <c r="M120" s="87">
        <f>VLOOKUP($A120,'Data shares'!$C:$FA,97)</f>
        <v>1.89E-2</v>
      </c>
      <c r="N120" s="86">
        <f>VLOOKUP($A120,'Data shares'!$C:$FA,78)</f>
        <v>31929000</v>
      </c>
      <c r="O120" s="87">
        <f>VLOOKUP($A120,'Data shares'!$C:$FA,81)</f>
        <v>-1.34E-2</v>
      </c>
    </row>
    <row r="121" spans="1:15" x14ac:dyDescent="0.25">
      <c r="A121" s="100" t="str">
        <f>'Data Vlaue (Cr)'!C116</f>
        <v>LICI</v>
      </c>
      <c r="B121" s="82">
        <f>VLOOKUP(A121,'Data shares'!$C$2:$CV$214,98,0)</f>
        <v>30218300</v>
      </c>
      <c r="C121" s="82">
        <f>VLOOKUP(A121,'Data shares'!$C$2:$CX$214,100,0)</f>
        <v>607600</v>
      </c>
      <c r="D121" s="141">
        <f>VLOOKUP(A121,'Data shares'!$C$2:$CY$537,101,0)</f>
        <v>2.0500000000000001E-2</v>
      </c>
      <c r="E121" s="86">
        <f>VLOOKUP($A121,'Data shares'!$C:$FA,74)</f>
        <v>12450900</v>
      </c>
      <c r="F121" s="86">
        <f>VLOOKUP($A121,'Data shares'!$C:$FA,76)</f>
        <v>641900</v>
      </c>
      <c r="G121" s="87">
        <f>VLOOKUP(A121,'Data shares'!$C$2:$CA$214,77,0)</f>
        <v>5.4399999999999997E-2</v>
      </c>
      <c r="H121" s="86">
        <f>VLOOKUP($A121,'Data shares'!$C:$FA,90)</f>
        <v>12051900</v>
      </c>
      <c r="I121" s="86">
        <f>VLOOKUP($A121,'Data shares'!$C:$FA,92)</f>
        <v>499100</v>
      </c>
      <c r="J121" s="87">
        <f>VLOOKUP($A121,'Data shares'!$C:$FA,93)</f>
        <v>4.3200000000000002E-2</v>
      </c>
      <c r="K121" s="86">
        <f>VLOOKUP($A121,'Data shares'!$C:$FA,94)</f>
        <v>5715500</v>
      </c>
      <c r="L121" s="86">
        <f>VLOOKUP($A121,'Data shares'!$C:$FA,96)</f>
        <v>-533400</v>
      </c>
      <c r="M121" s="87">
        <f>VLOOKUP($A121,'Data shares'!$C:$FA,97)</f>
        <v>-8.5400000000000004E-2</v>
      </c>
      <c r="N121" s="86">
        <f>VLOOKUP($A121,'Data shares'!$C:$FA,78)</f>
        <v>11522700</v>
      </c>
      <c r="O121" s="87">
        <f>VLOOKUP($A121,'Data shares'!$C:$FA,81)</f>
        <v>4.3200000000000002E-2</v>
      </c>
    </row>
    <row r="122" spans="1:15" x14ac:dyDescent="0.25">
      <c r="A122" s="100" t="str">
        <f>'Data Vlaue (Cr)'!C117</f>
        <v>LODHA</v>
      </c>
      <c r="B122" s="82">
        <f>VLOOKUP(A122,'Data shares'!$C$2:$CV$214,98,0)</f>
        <v>14924250</v>
      </c>
      <c r="C122" s="82">
        <f>VLOOKUP(A122,'Data shares'!$C$2:$CX$214,100,0)</f>
        <v>-31050</v>
      </c>
      <c r="D122" s="141">
        <f>VLOOKUP(A122,'Data shares'!$C$2:$CY$537,101,0)</f>
        <v>-2.0999999999999999E-3</v>
      </c>
      <c r="E122" s="86">
        <f>VLOOKUP($A122,'Data shares'!$C:$FA,74)</f>
        <v>8891550</v>
      </c>
      <c r="F122" s="86">
        <f>VLOOKUP($A122,'Data shares'!$C:$FA,76)</f>
        <v>-49950</v>
      </c>
      <c r="G122" s="87">
        <f>VLOOKUP(A122,'Data shares'!$C$2:$CA$214,77,0)</f>
        <v>-5.5999999999999999E-3</v>
      </c>
      <c r="H122" s="86">
        <f>VLOOKUP($A122,'Data shares'!$C:$FA,90)</f>
        <v>2962800</v>
      </c>
      <c r="I122" s="86">
        <f>VLOOKUP($A122,'Data shares'!$C:$FA,92)</f>
        <v>88200</v>
      </c>
      <c r="J122" s="87">
        <f>VLOOKUP($A122,'Data shares'!$C:$FA,93)</f>
        <v>3.0700000000000002E-2</v>
      </c>
      <c r="K122" s="86">
        <f>VLOOKUP($A122,'Data shares'!$C:$FA,94)</f>
        <v>3069900</v>
      </c>
      <c r="L122" s="86">
        <f>VLOOKUP($A122,'Data shares'!$C:$FA,96)</f>
        <v>-69300</v>
      </c>
      <c r="M122" s="87">
        <f>VLOOKUP($A122,'Data shares'!$C:$FA,97)</f>
        <v>-2.2100000000000002E-2</v>
      </c>
      <c r="N122" s="86">
        <f>VLOOKUP($A122,'Data shares'!$C:$FA,78)</f>
        <v>8559000</v>
      </c>
      <c r="O122" s="87">
        <f>VLOOKUP($A122,'Data shares'!$C:$FA,81)</f>
        <v>-7.9000000000000008E-3</v>
      </c>
    </row>
    <row r="123" spans="1:15" x14ac:dyDescent="0.25">
      <c r="A123" s="100" t="str">
        <f>'Data Vlaue (Cr)'!C118</f>
        <v>LT</v>
      </c>
      <c r="B123" s="82">
        <f>VLOOKUP(A123,'Data shares'!$C$2:$CV$214,98,0)</f>
        <v>30440375</v>
      </c>
      <c r="C123" s="82">
        <f>VLOOKUP(A123,'Data shares'!$C$2:$CX$214,100,0)</f>
        <v>466200</v>
      </c>
      <c r="D123" s="141">
        <f>VLOOKUP(A123,'Data shares'!$C$2:$CY$537,101,0)</f>
        <v>1.5599999999999999E-2</v>
      </c>
      <c r="E123" s="86">
        <f>VLOOKUP($A123,'Data shares'!$C:$FA,74)</f>
        <v>15129275</v>
      </c>
      <c r="F123" s="86">
        <f>VLOOKUP($A123,'Data shares'!$C:$FA,76)</f>
        <v>97475</v>
      </c>
      <c r="G123" s="87">
        <f>VLOOKUP(A123,'Data shares'!$C$2:$CA$214,77,0)</f>
        <v>6.4999999999999997E-3</v>
      </c>
      <c r="H123" s="86">
        <f>VLOOKUP($A123,'Data shares'!$C:$FA,90)</f>
        <v>8380050</v>
      </c>
      <c r="I123" s="86">
        <f>VLOOKUP($A123,'Data shares'!$C:$FA,92)</f>
        <v>298025</v>
      </c>
      <c r="J123" s="87">
        <f>VLOOKUP($A123,'Data shares'!$C:$FA,93)</f>
        <v>3.6900000000000002E-2</v>
      </c>
      <c r="K123" s="86">
        <f>VLOOKUP($A123,'Data shares'!$C:$FA,94)</f>
        <v>6931050</v>
      </c>
      <c r="L123" s="86">
        <f>VLOOKUP($A123,'Data shares'!$C:$FA,96)</f>
        <v>70700</v>
      </c>
      <c r="M123" s="87">
        <f>VLOOKUP($A123,'Data shares'!$C:$FA,97)</f>
        <v>1.03E-2</v>
      </c>
      <c r="N123" s="86">
        <f>VLOOKUP($A123,'Data shares'!$C:$FA,78)</f>
        <v>13720525</v>
      </c>
      <c r="O123" s="87">
        <f>VLOOKUP($A123,'Data shares'!$C:$FA,81)</f>
        <v>5.7000000000000002E-3</v>
      </c>
    </row>
    <row r="124" spans="1:15" x14ac:dyDescent="0.25">
      <c r="A124" s="100" t="str">
        <f>'Data Vlaue (Cr)'!C119</f>
        <v>LTF</v>
      </c>
      <c r="B124" s="82">
        <f>VLOOKUP(A124,'Data shares'!$C$2:$CV$214,98,0)</f>
        <v>112214250</v>
      </c>
      <c r="C124" s="82">
        <f>VLOOKUP(A124,'Data shares'!$C$2:$CX$214,100,0)</f>
        <v>12987000</v>
      </c>
      <c r="D124" s="141">
        <f>VLOOKUP(A124,'Data shares'!$C$2:$CY$537,101,0)</f>
        <v>0.13089999999999999</v>
      </c>
      <c r="E124" s="86">
        <f>VLOOKUP($A124,'Data shares'!$C:$FA,74)</f>
        <v>56475000</v>
      </c>
      <c r="F124" s="86">
        <f>VLOOKUP($A124,'Data shares'!$C:$FA,76)</f>
        <v>4448250</v>
      </c>
      <c r="G124" s="87">
        <f>VLOOKUP(A124,'Data shares'!$C$2:$CA$214,77,0)</f>
        <v>8.5500000000000007E-2</v>
      </c>
      <c r="H124" s="86">
        <f>VLOOKUP($A124,'Data shares'!$C:$FA,90)</f>
        <v>34906500</v>
      </c>
      <c r="I124" s="86">
        <f>VLOOKUP($A124,'Data shares'!$C:$FA,92)</f>
        <v>6720750</v>
      </c>
      <c r="J124" s="87">
        <f>VLOOKUP($A124,'Data shares'!$C:$FA,93)</f>
        <v>0.2384</v>
      </c>
      <c r="K124" s="86">
        <f>VLOOKUP($A124,'Data shares'!$C:$FA,94)</f>
        <v>20832750</v>
      </c>
      <c r="L124" s="86">
        <f>VLOOKUP($A124,'Data shares'!$C:$FA,96)</f>
        <v>1818000</v>
      </c>
      <c r="M124" s="87">
        <f>VLOOKUP($A124,'Data shares'!$C:$FA,97)</f>
        <v>9.5600000000000004E-2</v>
      </c>
      <c r="N124" s="86">
        <f>VLOOKUP($A124,'Data shares'!$C:$FA,78)</f>
        <v>53320500</v>
      </c>
      <c r="O124" s="87">
        <f>VLOOKUP($A124,'Data shares'!$C:$FA,81)</f>
        <v>8.1600000000000006E-2</v>
      </c>
    </row>
    <row r="125" spans="1:15" x14ac:dyDescent="0.25">
      <c r="A125" s="100" t="str">
        <f>'Data Vlaue (Cr)'!C120</f>
        <v>LTIM</v>
      </c>
      <c r="B125" s="82">
        <f>VLOOKUP(A125,'Data shares'!$C$2:$CV$214,98,0)</f>
        <v>4591650</v>
      </c>
      <c r="C125" s="82">
        <f>VLOOKUP(A125,'Data shares'!$C$2:$CX$214,100,0)</f>
        <v>387450</v>
      </c>
      <c r="D125" s="141">
        <f>VLOOKUP(A125,'Data shares'!$C$2:$CY$537,101,0)</f>
        <v>9.2200000000000004E-2</v>
      </c>
      <c r="E125" s="86">
        <f>VLOOKUP($A125,'Data shares'!$C:$FA,74)</f>
        <v>2148000</v>
      </c>
      <c r="F125" s="86">
        <f>VLOOKUP($A125,'Data shares'!$C:$FA,76)</f>
        <v>103950</v>
      </c>
      <c r="G125" s="87">
        <f>VLOOKUP(A125,'Data shares'!$C$2:$CA$214,77,0)</f>
        <v>5.0900000000000001E-2</v>
      </c>
      <c r="H125" s="86">
        <f>VLOOKUP($A125,'Data shares'!$C:$FA,90)</f>
        <v>1438500</v>
      </c>
      <c r="I125" s="86">
        <f>VLOOKUP($A125,'Data shares'!$C:$FA,92)</f>
        <v>187200</v>
      </c>
      <c r="J125" s="87">
        <f>VLOOKUP($A125,'Data shares'!$C:$FA,93)</f>
        <v>0.14960000000000001</v>
      </c>
      <c r="K125" s="86">
        <f>VLOOKUP($A125,'Data shares'!$C:$FA,94)</f>
        <v>1005150</v>
      </c>
      <c r="L125" s="86">
        <f>VLOOKUP($A125,'Data shares'!$C:$FA,96)</f>
        <v>96300</v>
      </c>
      <c r="M125" s="87">
        <f>VLOOKUP($A125,'Data shares'!$C:$FA,97)</f>
        <v>0.106</v>
      </c>
      <c r="N125" s="86">
        <f>VLOOKUP($A125,'Data shares'!$C:$FA,78)</f>
        <v>2053200</v>
      </c>
      <c r="O125" s="87">
        <f>VLOOKUP($A125,'Data shares'!$C:$FA,81)</f>
        <v>3.5000000000000003E-2</v>
      </c>
    </row>
    <row r="126" spans="1:15" x14ac:dyDescent="0.25">
      <c r="A126" s="100" t="str">
        <f>'Data Vlaue (Cr)'!C121</f>
        <v>LUPIN</v>
      </c>
      <c r="B126" s="82">
        <f>VLOOKUP(A126,'Data shares'!$C$2:$CV$214,98,0)</f>
        <v>14693525</v>
      </c>
      <c r="C126" s="82">
        <f>VLOOKUP(A126,'Data shares'!$C$2:$CX$214,100,0)</f>
        <v>1302200</v>
      </c>
      <c r="D126" s="141">
        <f>VLOOKUP(A126,'Data shares'!$C$2:$CY$537,101,0)</f>
        <v>9.7199999999999995E-2</v>
      </c>
      <c r="E126" s="86">
        <f>VLOOKUP($A126,'Data shares'!$C:$FA,74)</f>
        <v>8279850</v>
      </c>
      <c r="F126" s="86">
        <f>VLOOKUP($A126,'Data shares'!$C:$FA,76)</f>
        <v>501075</v>
      </c>
      <c r="G126" s="87">
        <f>VLOOKUP(A126,'Data shares'!$C$2:$CA$214,77,0)</f>
        <v>6.4399999999999999E-2</v>
      </c>
      <c r="H126" s="86">
        <f>VLOOKUP($A126,'Data shares'!$C:$FA,90)</f>
        <v>4159475</v>
      </c>
      <c r="I126" s="86">
        <f>VLOOKUP($A126,'Data shares'!$C:$FA,92)</f>
        <v>542300</v>
      </c>
      <c r="J126" s="87">
        <f>VLOOKUP($A126,'Data shares'!$C:$FA,93)</f>
        <v>0.14990000000000001</v>
      </c>
      <c r="K126" s="86">
        <f>VLOOKUP($A126,'Data shares'!$C:$FA,94)</f>
        <v>2254200</v>
      </c>
      <c r="L126" s="86">
        <f>VLOOKUP($A126,'Data shares'!$C:$FA,96)</f>
        <v>258825</v>
      </c>
      <c r="M126" s="87">
        <f>VLOOKUP($A126,'Data shares'!$C:$FA,97)</f>
        <v>0.12970000000000001</v>
      </c>
      <c r="N126" s="86">
        <f>VLOOKUP($A126,'Data shares'!$C:$FA,78)</f>
        <v>8083075</v>
      </c>
      <c r="O126" s="87">
        <f>VLOOKUP($A126,'Data shares'!$C:$FA,81)</f>
        <v>6.4000000000000001E-2</v>
      </c>
    </row>
    <row r="127" spans="1:15" x14ac:dyDescent="0.25">
      <c r="A127" s="100" t="str">
        <f>'Data Vlaue (Cr)'!C122</f>
        <v>M&amp;M</v>
      </c>
      <c r="B127" s="82">
        <f>VLOOKUP(A127,'Data shares'!$C$2:$CV$214,98,0)</f>
        <v>33439600</v>
      </c>
      <c r="C127" s="82">
        <f>VLOOKUP(A127,'Data shares'!$C$2:$CX$214,100,0)</f>
        <v>5258800</v>
      </c>
      <c r="D127" s="141">
        <f>VLOOKUP(A127,'Data shares'!$C$2:$CY$537,101,0)</f>
        <v>0.18659999999999999</v>
      </c>
      <c r="E127" s="86">
        <f>VLOOKUP($A127,'Data shares'!$C:$FA,74)</f>
        <v>19366600</v>
      </c>
      <c r="F127" s="86">
        <f>VLOOKUP($A127,'Data shares'!$C:$FA,76)</f>
        <v>-192000</v>
      </c>
      <c r="G127" s="87">
        <f>VLOOKUP(A127,'Data shares'!$C$2:$CA$214,77,0)</f>
        <v>-9.7999999999999997E-3</v>
      </c>
      <c r="H127" s="86">
        <f>VLOOKUP($A127,'Data shares'!$C:$FA,90)</f>
        <v>9578800</v>
      </c>
      <c r="I127" s="86">
        <f>VLOOKUP($A127,'Data shares'!$C:$FA,92)</f>
        <v>4395200</v>
      </c>
      <c r="J127" s="87">
        <f>VLOOKUP($A127,'Data shares'!$C:$FA,93)</f>
        <v>0.84789999999999999</v>
      </c>
      <c r="K127" s="86">
        <f>VLOOKUP($A127,'Data shares'!$C:$FA,94)</f>
        <v>4494200</v>
      </c>
      <c r="L127" s="86">
        <f>VLOOKUP($A127,'Data shares'!$C:$FA,96)</f>
        <v>1055600</v>
      </c>
      <c r="M127" s="87">
        <f>VLOOKUP($A127,'Data shares'!$C:$FA,97)</f>
        <v>0.307</v>
      </c>
      <c r="N127" s="86">
        <f>VLOOKUP($A127,'Data shares'!$C:$FA,78)</f>
        <v>17448600</v>
      </c>
      <c r="O127" s="87">
        <f>VLOOKUP($A127,'Data shares'!$C:$FA,81)</f>
        <v>-1.66E-2</v>
      </c>
    </row>
    <row r="128" spans="1:15" x14ac:dyDescent="0.25">
      <c r="A128" s="100" t="str">
        <f>'Data Vlaue (Cr)'!C123</f>
        <v>MANAPPURAM</v>
      </c>
      <c r="B128" s="82">
        <f>VLOOKUP(A128,'Data shares'!$C$2:$CV$214,98,0)</f>
        <v>92697000</v>
      </c>
      <c r="C128" s="82">
        <f>VLOOKUP(A128,'Data shares'!$C$2:$CX$214,100,0)</f>
        <v>2277000</v>
      </c>
      <c r="D128" s="141">
        <f>VLOOKUP(A128,'Data shares'!$C$2:$CY$537,101,0)</f>
        <v>2.52E-2</v>
      </c>
      <c r="E128" s="86">
        <f>VLOOKUP($A128,'Data shares'!$C:$FA,74)</f>
        <v>49098000</v>
      </c>
      <c r="F128" s="86">
        <f>VLOOKUP($A128,'Data shares'!$C:$FA,76)</f>
        <v>-396000</v>
      </c>
      <c r="G128" s="87">
        <f>VLOOKUP(A128,'Data shares'!$C$2:$CA$214,77,0)</f>
        <v>-8.0000000000000002E-3</v>
      </c>
      <c r="H128" s="86">
        <f>VLOOKUP($A128,'Data shares'!$C:$FA,90)</f>
        <v>22245000</v>
      </c>
      <c r="I128" s="86">
        <f>VLOOKUP($A128,'Data shares'!$C:$FA,92)</f>
        <v>-585000</v>
      </c>
      <c r="J128" s="87">
        <f>VLOOKUP($A128,'Data shares'!$C:$FA,93)</f>
        <v>-2.5600000000000001E-2</v>
      </c>
      <c r="K128" s="86">
        <f>VLOOKUP($A128,'Data shares'!$C:$FA,94)</f>
        <v>21354000</v>
      </c>
      <c r="L128" s="86">
        <f>VLOOKUP($A128,'Data shares'!$C:$FA,96)</f>
        <v>3258000</v>
      </c>
      <c r="M128" s="87">
        <f>VLOOKUP($A128,'Data shares'!$C:$FA,97)</f>
        <v>0.18</v>
      </c>
      <c r="N128" s="86">
        <f>VLOOKUP($A128,'Data shares'!$C:$FA,78)</f>
        <v>48009000</v>
      </c>
      <c r="O128" s="87">
        <f>VLOOKUP($A128,'Data shares'!$C:$FA,81)</f>
        <v>-9.2999999999999992E-3</v>
      </c>
    </row>
    <row r="129" spans="1:15" x14ac:dyDescent="0.25">
      <c r="A129" s="100" t="str">
        <f>'Data Vlaue (Cr)'!C124</f>
        <v>MANKIND</v>
      </c>
      <c r="B129" s="82">
        <f>VLOOKUP(A129,'Data shares'!$C$2:$CV$214,98,0)</f>
        <v>5134500</v>
      </c>
      <c r="C129" s="82">
        <f>VLOOKUP(A129,'Data shares'!$C$2:$CX$214,100,0)</f>
        <v>-19575</v>
      </c>
      <c r="D129" s="141">
        <f>VLOOKUP(A129,'Data shares'!$C$2:$CY$537,101,0)</f>
        <v>-3.8E-3</v>
      </c>
      <c r="E129" s="86">
        <f>VLOOKUP($A129,'Data shares'!$C:$FA,74)</f>
        <v>2744325</v>
      </c>
      <c r="F129" s="86">
        <f>VLOOKUP($A129,'Data shares'!$C:$FA,76)</f>
        <v>18675</v>
      </c>
      <c r="G129" s="87">
        <f>VLOOKUP(A129,'Data shares'!$C$2:$CA$214,77,0)</f>
        <v>6.8999999999999999E-3</v>
      </c>
      <c r="H129" s="86">
        <f>VLOOKUP($A129,'Data shares'!$C:$FA,90)</f>
        <v>1732725</v>
      </c>
      <c r="I129" s="86">
        <f>VLOOKUP($A129,'Data shares'!$C:$FA,92)</f>
        <v>-34650</v>
      </c>
      <c r="J129" s="87">
        <f>VLOOKUP($A129,'Data shares'!$C:$FA,93)</f>
        <v>-1.9599999999999999E-2</v>
      </c>
      <c r="K129" s="86">
        <f>VLOOKUP($A129,'Data shares'!$C:$FA,94)</f>
        <v>657450</v>
      </c>
      <c r="L129" s="86">
        <f>VLOOKUP($A129,'Data shares'!$C:$FA,96)</f>
        <v>-3600</v>
      </c>
      <c r="M129" s="87">
        <f>VLOOKUP($A129,'Data shares'!$C:$FA,97)</f>
        <v>-5.4000000000000003E-3</v>
      </c>
      <c r="N129" s="86">
        <f>VLOOKUP($A129,'Data shares'!$C:$FA,78)</f>
        <v>2529225</v>
      </c>
      <c r="O129" s="87">
        <f>VLOOKUP($A129,'Data shares'!$C:$FA,81)</f>
        <v>4.0000000000000001E-3</v>
      </c>
    </row>
    <row r="130" spans="1:15" x14ac:dyDescent="0.25">
      <c r="A130" s="100" t="str">
        <f>'Data Vlaue (Cr)'!C125</f>
        <v>MARICO</v>
      </c>
      <c r="B130" s="82">
        <f>VLOOKUP(A130,'Data shares'!$C$2:$CV$214,98,0)</f>
        <v>38026800</v>
      </c>
      <c r="C130" s="82">
        <f>VLOOKUP(A130,'Data shares'!$C$2:$CX$214,100,0)</f>
        <v>145200</v>
      </c>
      <c r="D130" s="141">
        <f>VLOOKUP(A130,'Data shares'!$C$2:$CY$537,101,0)</f>
        <v>3.8E-3</v>
      </c>
      <c r="E130" s="86">
        <f>VLOOKUP($A130,'Data shares'!$C:$FA,74)</f>
        <v>28555200</v>
      </c>
      <c r="F130" s="86">
        <f>VLOOKUP($A130,'Data shares'!$C:$FA,76)</f>
        <v>-62400</v>
      </c>
      <c r="G130" s="87">
        <f>VLOOKUP(A130,'Data shares'!$C$2:$CA$214,77,0)</f>
        <v>-2.2000000000000001E-3</v>
      </c>
      <c r="H130" s="86">
        <f>VLOOKUP($A130,'Data shares'!$C:$FA,90)</f>
        <v>5157600</v>
      </c>
      <c r="I130" s="86">
        <f>VLOOKUP($A130,'Data shares'!$C:$FA,92)</f>
        <v>-86400</v>
      </c>
      <c r="J130" s="87">
        <f>VLOOKUP($A130,'Data shares'!$C:$FA,93)</f>
        <v>-1.6500000000000001E-2</v>
      </c>
      <c r="K130" s="86">
        <f>VLOOKUP($A130,'Data shares'!$C:$FA,94)</f>
        <v>4314000</v>
      </c>
      <c r="L130" s="86">
        <f>VLOOKUP($A130,'Data shares'!$C:$FA,96)</f>
        <v>294000</v>
      </c>
      <c r="M130" s="87">
        <f>VLOOKUP($A130,'Data shares'!$C:$FA,97)</f>
        <v>7.3099999999999998E-2</v>
      </c>
      <c r="N130" s="86">
        <f>VLOOKUP($A130,'Data shares'!$C:$FA,78)</f>
        <v>28366800</v>
      </c>
      <c r="O130" s="87">
        <f>VLOOKUP($A130,'Data shares'!$C:$FA,81)</f>
        <v>-2.5999999999999999E-3</v>
      </c>
    </row>
    <row r="131" spans="1:15" x14ac:dyDescent="0.25">
      <c r="A131" s="100" t="str">
        <f>'Data Vlaue (Cr)'!C126</f>
        <v>MARUTI</v>
      </c>
      <c r="B131" s="82">
        <f>VLOOKUP(A131,'Data shares'!$C$2:$CV$214,98,0)</f>
        <v>7710050</v>
      </c>
      <c r="C131" s="82">
        <f>VLOOKUP(A131,'Data shares'!$C$2:$CX$214,100,0)</f>
        <v>48750</v>
      </c>
      <c r="D131" s="141">
        <f>VLOOKUP(A131,'Data shares'!$C$2:$CY$537,101,0)</f>
        <v>6.4000000000000003E-3</v>
      </c>
      <c r="E131" s="86">
        <f>VLOOKUP($A131,'Data shares'!$C:$FA,74)</f>
        <v>3214900</v>
      </c>
      <c r="F131" s="86">
        <f>VLOOKUP($A131,'Data shares'!$C:$FA,76)</f>
        <v>25700</v>
      </c>
      <c r="G131" s="87">
        <f>VLOOKUP(A131,'Data shares'!$C$2:$CA$214,77,0)</f>
        <v>8.0999999999999996E-3</v>
      </c>
      <c r="H131" s="86">
        <f>VLOOKUP($A131,'Data shares'!$C:$FA,90)</f>
        <v>2839200</v>
      </c>
      <c r="I131" s="86">
        <f>VLOOKUP($A131,'Data shares'!$C:$FA,92)</f>
        <v>-164250</v>
      </c>
      <c r="J131" s="87">
        <f>VLOOKUP($A131,'Data shares'!$C:$FA,93)</f>
        <v>-5.4699999999999999E-2</v>
      </c>
      <c r="K131" s="86">
        <f>VLOOKUP($A131,'Data shares'!$C:$FA,94)</f>
        <v>1655950</v>
      </c>
      <c r="L131" s="86">
        <f>VLOOKUP($A131,'Data shares'!$C:$FA,96)</f>
        <v>187300</v>
      </c>
      <c r="M131" s="87">
        <f>VLOOKUP($A131,'Data shares'!$C:$FA,97)</f>
        <v>0.1275</v>
      </c>
      <c r="N131" s="86">
        <f>VLOOKUP($A131,'Data shares'!$C:$FA,78)</f>
        <v>2984850</v>
      </c>
      <c r="O131" s="87">
        <f>VLOOKUP($A131,'Data shares'!$C:$FA,81)</f>
        <v>5.4999999999999997E-3</v>
      </c>
    </row>
    <row r="132" spans="1:15" x14ac:dyDescent="0.25">
      <c r="A132" s="100" t="str">
        <f>'Data Vlaue (Cr)'!C127</f>
        <v>MAXHEALTH</v>
      </c>
      <c r="B132" s="82">
        <f>VLOOKUP(A132,'Data shares'!$C$2:$CV$214,98,0)</f>
        <v>23437575</v>
      </c>
      <c r="C132" s="82">
        <f>VLOOKUP(A132,'Data shares'!$C$2:$CX$214,100,0)</f>
        <v>1338750</v>
      </c>
      <c r="D132" s="141">
        <f>VLOOKUP(A132,'Data shares'!$C$2:$CY$537,101,0)</f>
        <v>6.0600000000000001E-2</v>
      </c>
      <c r="E132" s="86">
        <f>VLOOKUP($A132,'Data shares'!$C:$FA,74)</f>
        <v>15758400</v>
      </c>
      <c r="F132" s="86">
        <f>VLOOKUP($A132,'Data shares'!$C:$FA,76)</f>
        <v>-129675</v>
      </c>
      <c r="G132" s="87">
        <f>VLOOKUP(A132,'Data shares'!$C$2:$CA$214,77,0)</f>
        <v>-8.2000000000000007E-3</v>
      </c>
      <c r="H132" s="86">
        <f>VLOOKUP($A132,'Data shares'!$C:$FA,90)</f>
        <v>4279800</v>
      </c>
      <c r="I132" s="86">
        <f>VLOOKUP($A132,'Data shares'!$C:$FA,92)</f>
        <v>1100925</v>
      </c>
      <c r="J132" s="87">
        <f>VLOOKUP($A132,'Data shares'!$C:$FA,93)</f>
        <v>0.3463</v>
      </c>
      <c r="K132" s="86">
        <f>VLOOKUP($A132,'Data shares'!$C:$FA,94)</f>
        <v>3399375</v>
      </c>
      <c r="L132" s="86">
        <f>VLOOKUP($A132,'Data shares'!$C:$FA,96)</f>
        <v>367500</v>
      </c>
      <c r="M132" s="87">
        <f>VLOOKUP($A132,'Data shares'!$C:$FA,97)</f>
        <v>0.1212</v>
      </c>
      <c r="N132" s="86">
        <f>VLOOKUP($A132,'Data shares'!$C:$FA,78)</f>
        <v>14965125</v>
      </c>
      <c r="O132" s="87">
        <f>VLOOKUP($A132,'Data shares'!$C:$FA,81)</f>
        <v>-7.4999999999999997E-3</v>
      </c>
    </row>
    <row r="133" spans="1:15" x14ac:dyDescent="0.25">
      <c r="A133" s="100" t="str">
        <f>'Data Vlaue (Cr)'!C128</f>
        <v>MAZDOCK</v>
      </c>
      <c r="B133" s="82">
        <f>VLOOKUP(A133,'Data shares'!$C$2:$CV$214,98,0)</f>
        <v>11001400</v>
      </c>
      <c r="C133" s="82">
        <f>VLOOKUP(A133,'Data shares'!$C$2:$CX$214,100,0)</f>
        <v>81800</v>
      </c>
      <c r="D133" s="141">
        <f>VLOOKUP(A133,'Data shares'!$C$2:$CY$537,101,0)</f>
        <v>7.4999999999999997E-3</v>
      </c>
      <c r="E133" s="86">
        <f>VLOOKUP($A133,'Data shares'!$C:$FA,74)</f>
        <v>4842800</v>
      </c>
      <c r="F133" s="86">
        <f>VLOOKUP($A133,'Data shares'!$C:$FA,76)</f>
        <v>61600</v>
      </c>
      <c r="G133" s="87">
        <f>VLOOKUP(A133,'Data shares'!$C$2:$CA$214,77,0)</f>
        <v>1.29E-2</v>
      </c>
      <c r="H133" s="86">
        <f>VLOOKUP($A133,'Data shares'!$C:$FA,90)</f>
        <v>4344400</v>
      </c>
      <c r="I133" s="86">
        <f>VLOOKUP($A133,'Data shares'!$C:$FA,92)</f>
        <v>21400</v>
      </c>
      <c r="J133" s="87">
        <f>VLOOKUP($A133,'Data shares'!$C:$FA,93)</f>
        <v>5.0000000000000001E-3</v>
      </c>
      <c r="K133" s="86">
        <f>VLOOKUP($A133,'Data shares'!$C:$FA,94)</f>
        <v>1814200</v>
      </c>
      <c r="L133" s="86">
        <f>VLOOKUP($A133,'Data shares'!$C:$FA,96)</f>
        <v>-1200</v>
      </c>
      <c r="M133" s="87">
        <f>VLOOKUP($A133,'Data shares'!$C:$FA,97)</f>
        <v>-6.9999999999999999E-4</v>
      </c>
      <c r="N133" s="86">
        <f>VLOOKUP($A133,'Data shares'!$C:$FA,78)</f>
        <v>4399600</v>
      </c>
      <c r="O133" s="87">
        <f>VLOOKUP($A133,'Data shares'!$C:$FA,81)</f>
        <v>9.1000000000000004E-3</v>
      </c>
    </row>
    <row r="134" spans="1:15" x14ac:dyDescent="0.25">
      <c r="A134" s="100" t="str">
        <f>'Data Vlaue (Cr)'!C129</f>
        <v>MCX</v>
      </c>
      <c r="B134" s="82">
        <f>VLOOKUP(A134,'Data shares'!$C$2:$CV$214,98,0)</f>
        <v>43411250</v>
      </c>
      <c r="C134" s="82">
        <f>VLOOKUP(A134,'Data shares'!$C$2:$CX$214,100,0)</f>
        <v>2946250</v>
      </c>
      <c r="D134" s="141">
        <f>VLOOKUP(A134,'Data shares'!$C$2:$CY$537,101,0)</f>
        <v>7.2800000000000004E-2</v>
      </c>
      <c r="E134" s="86">
        <f>VLOOKUP($A134,'Data shares'!$C:$FA,74)</f>
        <v>14713125</v>
      </c>
      <c r="F134" s="86">
        <f>VLOOKUP($A134,'Data shares'!$C:$FA,76)</f>
        <v>11250</v>
      </c>
      <c r="G134" s="87">
        <f>VLOOKUP(A134,'Data shares'!$C$2:$CA$214,77,0)</f>
        <v>8.0000000000000004E-4</v>
      </c>
      <c r="H134" s="86">
        <f>VLOOKUP($A134,'Data shares'!$C:$FA,90)</f>
        <v>17214375</v>
      </c>
      <c r="I134" s="86">
        <f>VLOOKUP($A134,'Data shares'!$C:$FA,92)</f>
        <v>2405000</v>
      </c>
      <c r="J134" s="87">
        <f>VLOOKUP($A134,'Data shares'!$C:$FA,93)</f>
        <v>0.16239999999999999</v>
      </c>
      <c r="K134" s="86">
        <f>VLOOKUP($A134,'Data shares'!$C:$FA,94)</f>
        <v>11483750</v>
      </c>
      <c r="L134" s="86">
        <f>VLOOKUP($A134,'Data shares'!$C:$FA,96)</f>
        <v>530000</v>
      </c>
      <c r="M134" s="87">
        <f>VLOOKUP($A134,'Data shares'!$C:$FA,97)</f>
        <v>4.8399999999999999E-2</v>
      </c>
      <c r="N134" s="86">
        <f>VLOOKUP($A134,'Data shares'!$C:$FA,78)</f>
        <v>13723125</v>
      </c>
      <c r="O134" s="87">
        <f>VLOOKUP($A134,'Data shares'!$C:$FA,81)</f>
        <v>-1.9300000000000001E-2</v>
      </c>
    </row>
    <row r="135" spans="1:15" x14ac:dyDescent="0.25">
      <c r="A135" s="100" t="str">
        <f>'Data Vlaue (Cr)'!C130</f>
        <v>MFSL</v>
      </c>
      <c r="B135" s="82">
        <f>VLOOKUP(A135,'Data shares'!$C$2:$CV$214,98,0)</f>
        <v>13657600</v>
      </c>
      <c r="C135" s="82">
        <f>VLOOKUP(A135,'Data shares'!$C$2:$CX$214,100,0)</f>
        <v>1142000</v>
      </c>
      <c r="D135" s="141">
        <f>VLOOKUP(A135,'Data shares'!$C$2:$CY$537,101,0)</f>
        <v>9.1200000000000003E-2</v>
      </c>
      <c r="E135" s="86">
        <f>VLOOKUP($A135,'Data shares'!$C:$FA,74)</f>
        <v>9300000</v>
      </c>
      <c r="F135" s="86">
        <f>VLOOKUP($A135,'Data shares'!$C:$FA,76)</f>
        <v>-20800</v>
      </c>
      <c r="G135" s="87">
        <f>VLOOKUP(A135,'Data shares'!$C$2:$CA$214,77,0)</f>
        <v>-2.2000000000000001E-3</v>
      </c>
      <c r="H135" s="86">
        <f>VLOOKUP($A135,'Data shares'!$C:$FA,90)</f>
        <v>2754000</v>
      </c>
      <c r="I135" s="86">
        <f>VLOOKUP($A135,'Data shares'!$C:$FA,92)</f>
        <v>785200</v>
      </c>
      <c r="J135" s="87">
        <f>VLOOKUP($A135,'Data shares'!$C:$FA,93)</f>
        <v>0.39879999999999999</v>
      </c>
      <c r="K135" s="86">
        <f>VLOOKUP($A135,'Data shares'!$C:$FA,94)</f>
        <v>1603600</v>
      </c>
      <c r="L135" s="86">
        <f>VLOOKUP($A135,'Data shares'!$C:$FA,96)</f>
        <v>377600</v>
      </c>
      <c r="M135" s="87">
        <f>VLOOKUP($A135,'Data shares'!$C:$FA,97)</f>
        <v>0.308</v>
      </c>
      <c r="N135" s="86">
        <f>VLOOKUP($A135,'Data shares'!$C:$FA,78)</f>
        <v>9236400</v>
      </c>
      <c r="O135" s="87">
        <f>VLOOKUP($A135,'Data shares'!$C:$FA,81)</f>
        <v>-1.9E-3</v>
      </c>
    </row>
    <row r="136" spans="1:15" x14ac:dyDescent="0.25">
      <c r="A136" s="100" t="str">
        <f>'Data Vlaue (Cr)'!C131</f>
        <v>MIDCPNIFTY</v>
      </c>
      <c r="B136" s="82">
        <f>VLOOKUP(A136,'Data shares'!$C$2:$CV$214,98,0)</f>
        <v>17191800</v>
      </c>
      <c r="C136" s="82">
        <f>VLOOKUP(A136,'Data shares'!$C$2:$CX$214,100,0)</f>
        <v>485160</v>
      </c>
      <c r="D136" s="141">
        <f>VLOOKUP(A136,'Data shares'!$C$2:$CY$537,101,0)</f>
        <v>2.9000000000000001E-2</v>
      </c>
      <c r="E136" s="86">
        <f>VLOOKUP($A136,'Data shares'!$C:$FA,74)</f>
        <v>2130240</v>
      </c>
      <c r="F136" s="86">
        <f>VLOOKUP($A136,'Data shares'!$C:$FA,76)</f>
        <v>-15600</v>
      </c>
      <c r="G136" s="87">
        <f>VLOOKUP(A136,'Data shares'!$C$2:$CA$214,77,0)</f>
        <v>-7.3000000000000001E-3</v>
      </c>
      <c r="H136" s="86">
        <f>VLOOKUP($A136,'Data shares'!$C:$FA,90)</f>
        <v>6898680</v>
      </c>
      <c r="I136" s="86">
        <f>VLOOKUP($A136,'Data shares'!$C:$FA,92)</f>
        <v>326400</v>
      </c>
      <c r="J136" s="87">
        <f>VLOOKUP($A136,'Data shares'!$C:$FA,93)</f>
        <v>4.9700000000000001E-2</v>
      </c>
      <c r="K136" s="86">
        <f>VLOOKUP($A136,'Data shares'!$C:$FA,94)</f>
        <v>8162880</v>
      </c>
      <c r="L136" s="86">
        <f>VLOOKUP($A136,'Data shares'!$C:$FA,96)</f>
        <v>174360</v>
      </c>
      <c r="M136" s="87">
        <f>VLOOKUP($A136,'Data shares'!$C:$FA,97)</f>
        <v>2.18E-2</v>
      </c>
      <c r="N136" s="86">
        <f>VLOOKUP($A136,'Data shares'!$C:$FA,78)</f>
        <v>2030520</v>
      </c>
      <c r="O136" s="87">
        <f>VLOOKUP($A136,'Data shares'!$C:$FA,81)</f>
        <v>-1.15E-2</v>
      </c>
    </row>
    <row r="137" spans="1:15" x14ac:dyDescent="0.25">
      <c r="A137" s="100" t="str">
        <f>'Data Vlaue (Cr)'!C132</f>
        <v>MOTHERSON</v>
      </c>
      <c r="B137" s="82">
        <f>VLOOKUP(A137,'Data shares'!$C$2:$CV$214,98,0)</f>
        <v>304191300</v>
      </c>
      <c r="C137" s="82">
        <f>VLOOKUP(A137,'Data shares'!$C$2:$CX$214,100,0)</f>
        <v>15516450</v>
      </c>
      <c r="D137" s="141">
        <f>VLOOKUP(A137,'Data shares'!$C$2:$CY$537,101,0)</f>
        <v>5.3800000000000001E-2</v>
      </c>
      <c r="E137" s="86">
        <f>VLOOKUP($A137,'Data shares'!$C:$FA,74)</f>
        <v>167741250</v>
      </c>
      <c r="F137" s="86">
        <f>VLOOKUP($A137,'Data shares'!$C:$FA,76)</f>
        <v>4114350</v>
      </c>
      <c r="G137" s="87">
        <f>VLOOKUP(A137,'Data shares'!$C$2:$CA$214,77,0)</f>
        <v>2.5100000000000001E-2</v>
      </c>
      <c r="H137" s="86">
        <f>VLOOKUP($A137,'Data shares'!$C:$FA,90)</f>
        <v>73289550</v>
      </c>
      <c r="I137" s="86">
        <f>VLOOKUP($A137,'Data shares'!$C:$FA,92)</f>
        <v>4833900</v>
      </c>
      <c r="J137" s="87">
        <f>VLOOKUP($A137,'Data shares'!$C:$FA,93)</f>
        <v>7.0599999999999996E-2</v>
      </c>
      <c r="K137" s="86">
        <f>VLOOKUP($A137,'Data shares'!$C:$FA,94)</f>
        <v>63160500</v>
      </c>
      <c r="L137" s="86">
        <f>VLOOKUP($A137,'Data shares'!$C:$FA,96)</f>
        <v>6568200</v>
      </c>
      <c r="M137" s="87">
        <f>VLOOKUP($A137,'Data shares'!$C:$FA,97)</f>
        <v>0.11609999999999999</v>
      </c>
      <c r="N137" s="86">
        <f>VLOOKUP($A137,'Data shares'!$C:$FA,78)</f>
        <v>163460850</v>
      </c>
      <c r="O137" s="87">
        <f>VLOOKUP($A137,'Data shares'!$C:$FA,81)</f>
        <v>2.3599999999999999E-2</v>
      </c>
    </row>
    <row r="138" spans="1:15" x14ac:dyDescent="0.25">
      <c r="A138" s="100" t="str">
        <f>'Data Vlaue (Cr)'!C133</f>
        <v>MPHASIS</v>
      </c>
      <c r="B138" s="82">
        <f>VLOOKUP(A138,'Data shares'!$C$2:$CV$214,98,0)</f>
        <v>7586975</v>
      </c>
      <c r="C138" s="82">
        <f>VLOOKUP(A138,'Data shares'!$C$2:$CX$214,100,0)</f>
        <v>258775</v>
      </c>
      <c r="D138" s="141">
        <f>VLOOKUP(A138,'Data shares'!$C$2:$CY$537,101,0)</f>
        <v>3.5299999999999998E-2</v>
      </c>
      <c r="E138" s="86">
        <f>VLOOKUP($A138,'Data shares'!$C:$FA,74)</f>
        <v>5177700</v>
      </c>
      <c r="F138" s="86">
        <f>VLOOKUP($A138,'Data shares'!$C:$FA,76)</f>
        <v>84975</v>
      </c>
      <c r="G138" s="87">
        <f>VLOOKUP(A138,'Data shares'!$C$2:$CA$214,77,0)</f>
        <v>1.67E-2</v>
      </c>
      <c r="H138" s="86">
        <f>VLOOKUP($A138,'Data shares'!$C:$FA,90)</f>
        <v>1562825</v>
      </c>
      <c r="I138" s="86">
        <f>VLOOKUP($A138,'Data shares'!$C:$FA,92)</f>
        <v>90200</v>
      </c>
      <c r="J138" s="87">
        <f>VLOOKUP($A138,'Data shares'!$C:$FA,93)</f>
        <v>6.13E-2</v>
      </c>
      <c r="K138" s="86">
        <f>VLOOKUP($A138,'Data shares'!$C:$FA,94)</f>
        <v>846450</v>
      </c>
      <c r="L138" s="86">
        <f>VLOOKUP($A138,'Data shares'!$C:$FA,96)</f>
        <v>83600</v>
      </c>
      <c r="M138" s="87">
        <f>VLOOKUP($A138,'Data shares'!$C:$FA,97)</f>
        <v>0.1096</v>
      </c>
      <c r="N138" s="86">
        <f>VLOOKUP($A138,'Data shares'!$C:$FA,78)</f>
        <v>5029475</v>
      </c>
      <c r="O138" s="87">
        <f>VLOOKUP($A138,'Data shares'!$C:$FA,81)</f>
        <v>1.32E-2</v>
      </c>
    </row>
    <row r="139" spans="1:15" x14ac:dyDescent="0.25">
      <c r="A139" s="100" t="str">
        <f>'Data Vlaue (Cr)'!C134</f>
        <v>MUTHOOTFIN</v>
      </c>
      <c r="B139" s="82">
        <f>VLOOKUP(A139,'Data shares'!$C$2:$CV$214,98,0)</f>
        <v>10980200</v>
      </c>
      <c r="C139" s="82">
        <f>VLOOKUP(A139,'Data shares'!$C$2:$CX$214,100,0)</f>
        <v>1214950</v>
      </c>
      <c r="D139" s="141">
        <f>VLOOKUP(A139,'Data shares'!$C$2:$CY$537,101,0)</f>
        <v>0.1244</v>
      </c>
      <c r="E139" s="86">
        <f>VLOOKUP($A139,'Data shares'!$C:$FA,74)</f>
        <v>4709375</v>
      </c>
      <c r="F139" s="86">
        <f>VLOOKUP($A139,'Data shares'!$C:$FA,76)</f>
        <v>147125</v>
      </c>
      <c r="G139" s="87">
        <f>VLOOKUP(A139,'Data shares'!$C$2:$CA$214,77,0)</f>
        <v>3.2199999999999999E-2</v>
      </c>
      <c r="H139" s="86">
        <f>VLOOKUP($A139,'Data shares'!$C:$FA,90)</f>
        <v>4269100</v>
      </c>
      <c r="I139" s="86">
        <f>VLOOKUP($A139,'Data shares'!$C:$FA,92)</f>
        <v>889075</v>
      </c>
      <c r="J139" s="87">
        <f>VLOOKUP($A139,'Data shares'!$C:$FA,93)</f>
        <v>0.26300000000000001</v>
      </c>
      <c r="K139" s="86">
        <f>VLOOKUP($A139,'Data shares'!$C:$FA,94)</f>
        <v>2001725</v>
      </c>
      <c r="L139" s="86">
        <f>VLOOKUP($A139,'Data shares'!$C:$FA,96)</f>
        <v>178750</v>
      </c>
      <c r="M139" s="87">
        <f>VLOOKUP($A139,'Data shares'!$C:$FA,97)</f>
        <v>9.8100000000000007E-2</v>
      </c>
      <c r="N139" s="86">
        <f>VLOOKUP($A139,'Data shares'!$C:$FA,78)</f>
        <v>4527600</v>
      </c>
      <c r="O139" s="87">
        <f>VLOOKUP($A139,'Data shares'!$C:$FA,81)</f>
        <v>2.7799999999999998E-2</v>
      </c>
    </row>
    <row r="140" spans="1:15" x14ac:dyDescent="0.25">
      <c r="A140" s="100" t="str">
        <f>'Data Vlaue (Cr)'!C135</f>
        <v>NATIONALUM</v>
      </c>
      <c r="B140" s="82">
        <f>VLOOKUP(A140,'Data shares'!$C$2:$CV$214,98,0)</f>
        <v>150360000</v>
      </c>
      <c r="C140" s="82">
        <f>VLOOKUP(A140,'Data shares'!$C$2:$CX$214,100,0)</f>
        <v>-1728750</v>
      </c>
      <c r="D140" s="141">
        <f>VLOOKUP(A140,'Data shares'!$C$2:$CY$537,101,0)</f>
        <v>-1.14E-2</v>
      </c>
      <c r="E140" s="86">
        <f>VLOOKUP($A140,'Data shares'!$C:$FA,74)</f>
        <v>58290000</v>
      </c>
      <c r="F140" s="86">
        <f>VLOOKUP($A140,'Data shares'!$C:$FA,76)</f>
        <v>607500</v>
      </c>
      <c r="G140" s="87">
        <f>VLOOKUP(A140,'Data shares'!$C$2:$CA$214,77,0)</f>
        <v>1.0500000000000001E-2</v>
      </c>
      <c r="H140" s="86">
        <f>VLOOKUP($A140,'Data shares'!$C:$FA,90)</f>
        <v>55128750</v>
      </c>
      <c r="I140" s="86">
        <f>VLOOKUP($A140,'Data shares'!$C:$FA,92)</f>
        <v>-1556250</v>
      </c>
      <c r="J140" s="87">
        <f>VLOOKUP($A140,'Data shares'!$C:$FA,93)</f>
        <v>-2.75E-2</v>
      </c>
      <c r="K140" s="86">
        <f>VLOOKUP($A140,'Data shares'!$C:$FA,94)</f>
        <v>36941250</v>
      </c>
      <c r="L140" s="86">
        <f>VLOOKUP($A140,'Data shares'!$C:$FA,96)</f>
        <v>-780000</v>
      </c>
      <c r="M140" s="87">
        <f>VLOOKUP($A140,'Data shares'!$C:$FA,97)</f>
        <v>-2.07E-2</v>
      </c>
      <c r="N140" s="86">
        <f>VLOOKUP($A140,'Data shares'!$C:$FA,78)</f>
        <v>55117500</v>
      </c>
      <c r="O140" s="87">
        <f>VLOOKUP($A140,'Data shares'!$C:$FA,81)</f>
        <v>8.8000000000000005E-3</v>
      </c>
    </row>
    <row r="141" spans="1:15" x14ac:dyDescent="0.25">
      <c r="A141" s="100" t="str">
        <f>'Data Vlaue (Cr)'!C136</f>
        <v>NAUKRI</v>
      </c>
      <c r="B141" s="82">
        <f>VLOOKUP(A141,'Data shares'!$C$2:$CV$214,98,0)</f>
        <v>17344500</v>
      </c>
      <c r="C141" s="82">
        <f>VLOOKUP(A141,'Data shares'!$C$2:$CX$214,100,0)</f>
        <v>679125</v>
      </c>
      <c r="D141" s="141">
        <f>VLOOKUP(A141,'Data shares'!$C$2:$CY$537,101,0)</f>
        <v>4.0800000000000003E-2</v>
      </c>
      <c r="E141" s="86">
        <f>VLOOKUP($A141,'Data shares'!$C:$FA,74)</f>
        <v>10628625</v>
      </c>
      <c r="F141" s="86">
        <f>VLOOKUP($A141,'Data shares'!$C:$FA,76)</f>
        <v>103875</v>
      </c>
      <c r="G141" s="87">
        <f>VLOOKUP(A141,'Data shares'!$C$2:$CA$214,77,0)</f>
        <v>9.9000000000000008E-3</v>
      </c>
      <c r="H141" s="86">
        <f>VLOOKUP($A141,'Data shares'!$C:$FA,90)</f>
        <v>4099500</v>
      </c>
      <c r="I141" s="86">
        <f>VLOOKUP($A141,'Data shares'!$C:$FA,92)</f>
        <v>366000</v>
      </c>
      <c r="J141" s="87">
        <f>VLOOKUP($A141,'Data shares'!$C:$FA,93)</f>
        <v>9.8000000000000004E-2</v>
      </c>
      <c r="K141" s="86">
        <f>VLOOKUP($A141,'Data shares'!$C:$FA,94)</f>
        <v>2616375</v>
      </c>
      <c r="L141" s="86">
        <f>VLOOKUP($A141,'Data shares'!$C:$FA,96)</f>
        <v>209250</v>
      </c>
      <c r="M141" s="87">
        <f>VLOOKUP($A141,'Data shares'!$C:$FA,97)</f>
        <v>8.6900000000000005E-2</v>
      </c>
      <c r="N141" s="86">
        <f>VLOOKUP($A141,'Data shares'!$C:$FA,78)</f>
        <v>10238625</v>
      </c>
      <c r="O141" s="87">
        <f>VLOOKUP($A141,'Data shares'!$C:$FA,81)</f>
        <v>7.0000000000000001E-3</v>
      </c>
    </row>
    <row r="142" spans="1:15" x14ac:dyDescent="0.25">
      <c r="A142" s="100" t="str">
        <f>'Data Vlaue (Cr)'!C137</f>
        <v>NBCC</v>
      </c>
      <c r="B142" s="82">
        <f>VLOOKUP(A142,'Data shares'!$C$2:$CV$214,98,0)</f>
        <v>157163500</v>
      </c>
      <c r="C142" s="82">
        <f>VLOOKUP(A142,'Data shares'!$C$2:$CX$214,100,0)</f>
        <v>4712500</v>
      </c>
      <c r="D142" s="141">
        <f>VLOOKUP(A142,'Data shares'!$C$2:$CY$537,101,0)</f>
        <v>3.09E-2</v>
      </c>
      <c r="E142" s="86">
        <f>VLOOKUP($A142,'Data shares'!$C:$FA,74)</f>
        <v>96154500</v>
      </c>
      <c r="F142" s="86">
        <f>VLOOKUP($A142,'Data shares'!$C:$FA,76)</f>
        <v>3055000</v>
      </c>
      <c r="G142" s="87">
        <f>VLOOKUP(A142,'Data shares'!$C$2:$CA$214,77,0)</f>
        <v>3.2800000000000003E-2</v>
      </c>
      <c r="H142" s="86">
        <f>VLOOKUP($A142,'Data shares'!$C:$FA,90)</f>
        <v>38512500</v>
      </c>
      <c r="I142" s="86">
        <f>VLOOKUP($A142,'Data shares'!$C:$FA,92)</f>
        <v>1209000</v>
      </c>
      <c r="J142" s="87">
        <f>VLOOKUP($A142,'Data shares'!$C:$FA,93)</f>
        <v>3.2399999999999998E-2</v>
      </c>
      <c r="K142" s="86">
        <f>VLOOKUP($A142,'Data shares'!$C:$FA,94)</f>
        <v>22496500</v>
      </c>
      <c r="L142" s="86">
        <f>VLOOKUP($A142,'Data shares'!$C:$FA,96)</f>
        <v>448500</v>
      </c>
      <c r="M142" s="87">
        <f>VLOOKUP($A142,'Data shares'!$C:$FA,97)</f>
        <v>2.0299999999999999E-2</v>
      </c>
      <c r="N142" s="86">
        <f>VLOOKUP($A142,'Data shares'!$C:$FA,78)</f>
        <v>88127000</v>
      </c>
      <c r="O142" s="87">
        <f>VLOOKUP($A142,'Data shares'!$C:$FA,81)</f>
        <v>1.6E-2</v>
      </c>
    </row>
    <row r="143" spans="1:15" x14ac:dyDescent="0.25">
      <c r="A143" s="100" t="str">
        <f>'Data Vlaue (Cr)'!C138</f>
        <v>NESTLEIND</v>
      </c>
      <c r="B143" s="82">
        <f>VLOOKUP(A143,'Data shares'!$C$2:$CV$214,98,0)</f>
        <v>24767000</v>
      </c>
      <c r="C143" s="82">
        <f>VLOOKUP(A143,'Data shares'!$C$2:$CX$214,100,0)</f>
        <v>-116000</v>
      </c>
      <c r="D143" s="141">
        <f>VLOOKUP(A143,'Data shares'!$C$2:$CY$537,101,0)</f>
        <v>-4.7000000000000002E-3</v>
      </c>
      <c r="E143" s="86">
        <f>VLOOKUP($A143,'Data shares'!$C:$FA,74)</f>
        <v>16490000</v>
      </c>
      <c r="F143" s="86">
        <f>VLOOKUP($A143,'Data shares'!$C:$FA,76)</f>
        <v>-177000</v>
      </c>
      <c r="G143" s="87">
        <f>VLOOKUP(A143,'Data shares'!$C$2:$CA$214,77,0)</f>
        <v>-1.06E-2</v>
      </c>
      <c r="H143" s="86">
        <f>VLOOKUP($A143,'Data shares'!$C:$FA,90)</f>
        <v>5612500</v>
      </c>
      <c r="I143" s="86">
        <f>VLOOKUP($A143,'Data shares'!$C:$FA,92)</f>
        <v>13000</v>
      </c>
      <c r="J143" s="87">
        <f>VLOOKUP($A143,'Data shares'!$C:$FA,93)</f>
        <v>2.3E-3</v>
      </c>
      <c r="K143" s="86">
        <f>VLOOKUP($A143,'Data shares'!$C:$FA,94)</f>
        <v>2664500</v>
      </c>
      <c r="L143" s="86">
        <f>VLOOKUP($A143,'Data shares'!$C:$FA,96)</f>
        <v>48000</v>
      </c>
      <c r="M143" s="87">
        <f>VLOOKUP($A143,'Data shares'!$C:$FA,97)</f>
        <v>1.83E-2</v>
      </c>
      <c r="N143" s="86">
        <f>VLOOKUP($A143,'Data shares'!$C:$FA,78)</f>
        <v>15996500</v>
      </c>
      <c r="O143" s="87">
        <f>VLOOKUP($A143,'Data shares'!$C:$FA,81)</f>
        <v>-1.1900000000000001E-2</v>
      </c>
    </row>
    <row r="144" spans="1:15" x14ac:dyDescent="0.25">
      <c r="A144" s="100" t="str">
        <f>'Data Vlaue (Cr)'!C139</f>
        <v>NHPC</v>
      </c>
      <c r="B144" s="82">
        <f>VLOOKUP(A144,'Data shares'!$C$2:$CV$214,98,0)</f>
        <v>170585600</v>
      </c>
      <c r="C144" s="82">
        <f>VLOOKUP(A144,'Data shares'!$C$2:$CX$214,100,0)</f>
        <v>-2137600</v>
      </c>
      <c r="D144" s="141">
        <f>VLOOKUP(A144,'Data shares'!$C$2:$CY$537,101,0)</f>
        <v>-1.24E-2</v>
      </c>
      <c r="E144" s="86">
        <f>VLOOKUP($A144,'Data shares'!$C:$FA,74)</f>
        <v>92793600</v>
      </c>
      <c r="F144" s="86">
        <f>VLOOKUP($A144,'Data shares'!$C:$FA,76)</f>
        <v>-1568000</v>
      </c>
      <c r="G144" s="87">
        <f>VLOOKUP(A144,'Data shares'!$C$2:$CA$214,77,0)</f>
        <v>-1.66E-2</v>
      </c>
      <c r="H144" s="86">
        <f>VLOOKUP($A144,'Data shares'!$C:$FA,90)</f>
        <v>52806400</v>
      </c>
      <c r="I144" s="86">
        <f>VLOOKUP($A144,'Data shares'!$C:$FA,92)</f>
        <v>2163200</v>
      </c>
      <c r="J144" s="87">
        <f>VLOOKUP($A144,'Data shares'!$C:$FA,93)</f>
        <v>4.2700000000000002E-2</v>
      </c>
      <c r="K144" s="86">
        <f>VLOOKUP($A144,'Data shares'!$C:$FA,94)</f>
        <v>24985600</v>
      </c>
      <c r="L144" s="86">
        <f>VLOOKUP($A144,'Data shares'!$C:$FA,96)</f>
        <v>-2732800</v>
      </c>
      <c r="M144" s="87">
        <f>VLOOKUP($A144,'Data shares'!$C:$FA,97)</f>
        <v>-9.8599999999999993E-2</v>
      </c>
      <c r="N144" s="86">
        <f>VLOOKUP($A144,'Data shares'!$C:$FA,78)</f>
        <v>88896000</v>
      </c>
      <c r="O144" s="87">
        <f>VLOOKUP($A144,'Data shares'!$C:$FA,81)</f>
        <v>-1.9599999999999999E-2</v>
      </c>
    </row>
    <row r="145" spans="1:15" x14ac:dyDescent="0.25">
      <c r="A145" s="100" t="str">
        <f>'Data Vlaue (Cr)'!C140</f>
        <v>NIFTY</v>
      </c>
      <c r="B145" s="82">
        <f>VLOOKUP(A145,'Data shares'!$C$2:$CV$214,98,0)</f>
        <v>417519510</v>
      </c>
      <c r="C145" s="82">
        <f>VLOOKUP(A145,'Data shares'!$C$2:$CX$214,100,0)</f>
        <v>-250098130</v>
      </c>
      <c r="D145" s="141">
        <f>VLOOKUP(A145,'Data shares'!$C$2:$CY$537,101,0)</f>
        <v>-0.37459999999999999</v>
      </c>
      <c r="E145" s="86">
        <f>VLOOKUP($A145,'Data shares'!$C:$FA,74)</f>
        <v>16714165</v>
      </c>
      <c r="F145" s="86">
        <f>VLOOKUP($A145,'Data shares'!$C:$FA,76)</f>
        <v>37180</v>
      </c>
      <c r="G145" s="87">
        <f>VLOOKUP(A145,'Data shares'!$C$2:$CA$214,77,0)</f>
        <v>2.2000000000000001E-3</v>
      </c>
      <c r="H145" s="86">
        <f>VLOOKUP($A145,'Data shares'!$C:$FA,90)</f>
        <v>195031925</v>
      </c>
      <c r="I145" s="86">
        <f>VLOOKUP($A145,'Data shares'!$C:$FA,92)</f>
        <v>53081245</v>
      </c>
      <c r="J145" s="87">
        <f>VLOOKUP($A145,'Data shares'!$C:$FA,93)</f>
        <v>0.37390000000000001</v>
      </c>
      <c r="K145" s="86">
        <f>VLOOKUP($A145,'Data shares'!$C:$FA,94)</f>
        <v>205773420</v>
      </c>
      <c r="L145" s="86">
        <f>VLOOKUP($A145,'Data shares'!$C:$FA,96)</f>
        <v>39816785</v>
      </c>
      <c r="M145" s="87">
        <f>VLOOKUP($A145,'Data shares'!$C:$FA,97)</f>
        <v>0.2399</v>
      </c>
      <c r="N145" s="86">
        <f>VLOOKUP($A145,'Data shares'!$C:$FA,78)</f>
        <v>15005055</v>
      </c>
      <c r="O145" s="87">
        <f>VLOOKUP($A145,'Data shares'!$C:$FA,81)</f>
        <v>4.0000000000000002E-4</v>
      </c>
    </row>
    <row r="146" spans="1:15" x14ac:dyDescent="0.25">
      <c r="A146" s="100" t="str">
        <f>'Data Vlaue (Cr)'!C141</f>
        <v>NIFTYNXT50</v>
      </c>
      <c r="B146" s="82">
        <f>VLOOKUP(A146,'Data shares'!$C$2:$CV$214,98,0)</f>
        <v>44600</v>
      </c>
      <c r="C146" s="82">
        <f>VLOOKUP(A146,'Data shares'!$C$2:$CX$214,100,0)</f>
        <v>4325</v>
      </c>
      <c r="D146" s="141">
        <f>VLOOKUP(A146,'Data shares'!$C$2:$CY$537,101,0)</f>
        <v>0.1074</v>
      </c>
      <c r="E146" s="86">
        <f>VLOOKUP($A146,'Data shares'!$C:$FA,74)</f>
        <v>20525</v>
      </c>
      <c r="F146" s="86">
        <f>VLOOKUP($A146,'Data shares'!$C:$FA,76)</f>
        <v>1225</v>
      </c>
      <c r="G146" s="87">
        <f>VLOOKUP(A146,'Data shares'!$C$2:$CA$214,77,0)</f>
        <v>6.3500000000000001E-2</v>
      </c>
      <c r="H146" s="86">
        <f>VLOOKUP($A146,'Data shares'!$C:$FA,90)</f>
        <v>12725</v>
      </c>
      <c r="I146" s="86">
        <f>VLOOKUP($A146,'Data shares'!$C:$FA,92)</f>
        <v>550</v>
      </c>
      <c r="J146" s="87">
        <f>VLOOKUP($A146,'Data shares'!$C:$FA,93)</f>
        <v>4.5199999999999997E-2</v>
      </c>
      <c r="K146" s="86">
        <f>VLOOKUP($A146,'Data shares'!$C:$FA,94)</f>
        <v>11350</v>
      </c>
      <c r="L146" s="86">
        <f>VLOOKUP($A146,'Data shares'!$C:$FA,96)</f>
        <v>2550</v>
      </c>
      <c r="M146" s="87">
        <f>VLOOKUP($A146,'Data shares'!$C:$FA,97)</f>
        <v>0.2898</v>
      </c>
      <c r="N146" s="86">
        <f>VLOOKUP($A146,'Data shares'!$C:$FA,78)</f>
        <v>19350</v>
      </c>
      <c r="O146" s="87">
        <f>VLOOKUP($A146,'Data shares'!$C:$FA,81)</f>
        <v>6.7599999999999993E-2</v>
      </c>
    </row>
    <row r="147" spans="1:15" x14ac:dyDescent="0.25">
      <c r="A147" s="100" t="str">
        <f>'Data Vlaue (Cr)'!C142</f>
        <v>NMDC</v>
      </c>
      <c r="B147" s="82">
        <f>VLOOKUP(A147,'Data shares'!$C$2:$CV$214,98,0)</f>
        <v>524886750</v>
      </c>
      <c r="C147" s="82">
        <f>VLOOKUP(A147,'Data shares'!$C$2:$CX$214,100,0)</f>
        <v>-5089500</v>
      </c>
      <c r="D147" s="141">
        <f>VLOOKUP(A147,'Data shares'!$C$2:$CY$537,101,0)</f>
        <v>-9.5999999999999992E-3</v>
      </c>
      <c r="E147" s="86">
        <f>VLOOKUP($A147,'Data shares'!$C:$FA,74)</f>
        <v>349893000</v>
      </c>
      <c r="F147" s="86">
        <f>VLOOKUP($A147,'Data shares'!$C:$FA,76)</f>
        <v>-1863000</v>
      </c>
      <c r="G147" s="87">
        <f>VLOOKUP(A147,'Data shares'!$C$2:$CA$214,77,0)</f>
        <v>-5.3E-3</v>
      </c>
      <c r="H147" s="86">
        <f>VLOOKUP($A147,'Data shares'!$C:$FA,90)</f>
        <v>116802000</v>
      </c>
      <c r="I147" s="86">
        <f>VLOOKUP($A147,'Data shares'!$C:$FA,92)</f>
        <v>-3408750</v>
      </c>
      <c r="J147" s="87">
        <f>VLOOKUP($A147,'Data shares'!$C:$FA,93)</f>
        <v>-2.8400000000000002E-2</v>
      </c>
      <c r="K147" s="86">
        <f>VLOOKUP($A147,'Data shares'!$C:$FA,94)</f>
        <v>58191750</v>
      </c>
      <c r="L147" s="86">
        <f>VLOOKUP($A147,'Data shares'!$C:$FA,96)</f>
        <v>182250</v>
      </c>
      <c r="M147" s="87">
        <f>VLOOKUP($A147,'Data shares'!$C:$FA,97)</f>
        <v>3.0999999999999999E-3</v>
      </c>
      <c r="N147" s="86">
        <f>VLOOKUP($A147,'Data shares'!$C:$FA,78)</f>
        <v>335157750</v>
      </c>
      <c r="O147" s="87">
        <f>VLOOKUP($A147,'Data shares'!$C:$FA,81)</f>
        <v>-7.4000000000000003E-3</v>
      </c>
    </row>
    <row r="148" spans="1:15" x14ac:dyDescent="0.25">
      <c r="A148" s="100" t="str">
        <f>'Data Vlaue (Cr)'!C143</f>
        <v>NTPC</v>
      </c>
      <c r="B148" s="82">
        <f>VLOOKUP(A148,'Data shares'!$C$2:$CV$214,98,0)</f>
        <v>220537500</v>
      </c>
      <c r="C148" s="82">
        <f>VLOOKUP(A148,'Data shares'!$C$2:$CX$214,100,0)</f>
        <v>5088000</v>
      </c>
      <c r="D148" s="141">
        <f>VLOOKUP(A148,'Data shares'!$C$2:$CY$537,101,0)</f>
        <v>2.3599999999999999E-2</v>
      </c>
      <c r="E148" s="86">
        <f>VLOOKUP($A148,'Data shares'!$C:$FA,74)</f>
        <v>83593500</v>
      </c>
      <c r="F148" s="86">
        <f>VLOOKUP($A148,'Data shares'!$C:$FA,76)</f>
        <v>-354000</v>
      </c>
      <c r="G148" s="87">
        <f>VLOOKUP(A148,'Data shares'!$C$2:$CA$214,77,0)</f>
        <v>-4.1999999999999997E-3</v>
      </c>
      <c r="H148" s="86">
        <f>VLOOKUP($A148,'Data shares'!$C:$FA,90)</f>
        <v>94392000</v>
      </c>
      <c r="I148" s="86">
        <f>VLOOKUP($A148,'Data shares'!$C:$FA,92)</f>
        <v>3679500</v>
      </c>
      <c r="J148" s="87">
        <f>VLOOKUP($A148,'Data shares'!$C:$FA,93)</f>
        <v>4.0599999999999997E-2</v>
      </c>
      <c r="K148" s="86">
        <f>VLOOKUP($A148,'Data shares'!$C:$FA,94)</f>
        <v>42552000</v>
      </c>
      <c r="L148" s="86">
        <f>VLOOKUP($A148,'Data shares'!$C:$FA,96)</f>
        <v>1762500</v>
      </c>
      <c r="M148" s="87">
        <f>VLOOKUP($A148,'Data shares'!$C:$FA,97)</f>
        <v>4.3200000000000002E-2</v>
      </c>
      <c r="N148" s="86">
        <f>VLOOKUP($A148,'Data shares'!$C:$FA,78)</f>
        <v>80425500</v>
      </c>
      <c r="O148" s="87">
        <f>VLOOKUP($A148,'Data shares'!$C:$FA,81)</f>
        <v>-5.5999999999999999E-3</v>
      </c>
    </row>
    <row r="149" spans="1:15" x14ac:dyDescent="0.25">
      <c r="A149" s="100" t="str">
        <f>'Data Vlaue (Cr)'!C144</f>
        <v>NUVAMA</v>
      </c>
      <c r="B149" s="82">
        <f>VLOOKUP(A149,'Data shares'!$C$2:$CV$214,98,0)</f>
        <v>4845000</v>
      </c>
      <c r="C149" s="82">
        <f>VLOOKUP(A149,'Data shares'!$C$2:$CX$214,100,0)</f>
        <v>126000</v>
      </c>
      <c r="D149" s="141">
        <f>VLOOKUP(A149,'Data shares'!$C$2:$CY$537,101,0)</f>
        <v>2.6700000000000002E-2</v>
      </c>
      <c r="E149" s="86">
        <f>VLOOKUP($A149,'Data shares'!$C:$FA,74)</f>
        <v>1938500</v>
      </c>
      <c r="F149" s="86">
        <f>VLOOKUP($A149,'Data shares'!$C:$FA,76)</f>
        <v>-181500</v>
      </c>
      <c r="G149" s="87">
        <f>VLOOKUP(A149,'Data shares'!$C$2:$CA$214,77,0)</f>
        <v>-8.5599999999999996E-2</v>
      </c>
      <c r="H149" s="86">
        <f>VLOOKUP($A149,'Data shares'!$C:$FA,90)</f>
        <v>1651000</v>
      </c>
      <c r="I149" s="86">
        <f>VLOOKUP($A149,'Data shares'!$C:$FA,92)</f>
        <v>77000</v>
      </c>
      <c r="J149" s="87">
        <f>VLOOKUP($A149,'Data shares'!$C:$FA,93)</f>
        <v>4.8899999999999999E-2</v>
      </c>
      <c r="K149" s="86">
        <f>VLOOKUP($A149,'Data shares'!$C:$FA,94)</f>
        <v>1255500</v>
      </c>
      <c r="L149" s="86">
        <f>VLOOKUP($A149,'Data shares'!$C:$FA,96)</f>
        <v>230500</v>
      </c>
      <c r="M149" s="87">
        <f>VLOOKUP($A149,'Data shares'!$C:$FA,97)</f>
        <v>0.22489999999999999</v>
      </c>
      <c r="N149" s="86">
        <f>VLOOKUP($A149,'Data shares'!$C:$FA,78)</f>
        <v>1801000</v>
      </c>
      <c r="O149" s="87">
        <f>VLOOKUP($A149,'Data shares'!$C:$FA,81)</f>
        <v>-0.1062</v>
      </c>
    </row>
    <row r="150" spans="1:15" x14ac:dyDescent="0.25">
      <c r="A150" s="100" t="str">
        <f>'Data Vlaue (Cr)'!C145</f>
        <v>NYKAA</v>
      </c>
      <c r="B150" s="82">
        <f>VLOOKUP(A150,'Data shares'!$C$2:$CV$214,98,0)</f>
        <v>83540625</v>
      </c>
      <c r="C150" s="82">
        <f>VLOOKUP(A150,'Data shares'!$C$2:$CX$214,100,0)</f>
        <v>-912500</v>
      </c>
      <c r="D150" s="141">
        <f>VLOOKUP(A150,'Data shares'!$C$2:$CY$537,101,0)</f>
        <v>-1.0800000000000001E-2</v>
      </c>
      <c r="E150" s="86">
        <f>VLOOKUP($A150,'Data shares'!$C:$FA,74)</f>
        <v>43475000</v>
      </c>
      <c r="F150" s="86">
        <f>VLOOKUP($A150,'Data shares'!$C:$FA,76)</f>
        <v>37500</v>
      </c>
      <c r="G150" s="87">
        <f>VLOOKUP(A150,'Data shares'!$C$2:$CA$214,77,0)</f>
        <v>8.9999999999999998E-4</v>
      </c>
      <c r="H150" s="86">
        <f>VLOOKUP($A150,'Data shares'!$C:$FA,90)</f>
        <v>17953125</v>
      </c>
      <c r="I150" s="86">
        <f>VLOOKUP($A150,'Data shares'!$C:$FA,92)</f>
        <v>-575000</v>
      </c>
      <c r="J150" s="87">
        <f>VLOOKUP($A150,'Data shares'!$C:$FA,93)</f>
        <v>-3.1E-2</v>
      </c>
      <c r="K150" s="86">
        <f>VLOOKUP($A150,'Data shares'!$C:$FA,94)</f>
        <v>22112500</v>
      </c>
      <c r="L150" s="86">
        <f>VLOOKUP($A150,'Data shares'!$C:$FA,96)</f>
        <v>-375000</v>
      </c>
      <c r="M150" s="87">
        <f>VLOOKUP($A150,'Data shares'!$C:$FA,97)</f>
        <v>-1.67E-2</v>
      </c>
      <c r="N150" s="86">
        <f>VLOOKUP($A150,'Data shares'!$C:$FA,78)</f>
        <v>41840625</v>
      </c>
      <c r="O150" s="87">
        <f>VLOOKUP($A150,'Data shares'!$C:$FA,81)</f>
        <v>-1E-3</v>
      </c>
    </row>
    <row r="151" spans="1:15" x14ac:dyDescent="0.25">
      <c r="A151" s="100" t="str">
        <f>'Data Vlaue (Cr)'!C146</f>
        <v>OBEROIRLTY</v>
      </c>
      <c r="B151" s="82">
        <f>VLOOKUP(A151,'Data shares'!$C$2:$CV$214,98,0)</f>
        <v>9608900</v>
      </c>
      <c r="C151" s="82">
        <f>VLOOKUP(A151,'Data shares'!$C$2:$CX$214,100,0)</f>
        <v>39200</v>
      </c>
      <c r="D151" s="141">
        <f>VLOOKUP(A151,'Data shares'!$C$2:$CY$537,101,0)</f>
        <v>4.1000000000000003E-3</v>
      </c>
      <c r="E151" s="86">
        <f>VLOOKUP($A151,'Data shares'!$C:$FA,74)</f>
        <v>5720400</v>
      </c>
      <c r="F151" s="86">
        <f>VLOOKUP($A151,'Data shares'!$C:$FA,76)</f>
        <v>-57400</v>
      </c>
      <c r="G151" s="87">
        <f>VLOOKUP(A151,'Data shares'!$C$2:$CA$214,77,0)</f>
        <v>-9.9000000000000008E-3</v>
      </c>
      <c r="H151" s="86">
        <f>VLOOKUP($A151,'Data shares'!$C:$FA,90)</f>
        <v>2107000</v>
      </c>
      <c r="I151" s="86">
        <f>VLOOKUP($A151,'Data shares'!$C:$FA,92)</f>
        <v>141750</v>
      </c>
      <c r="J151" s="87">
        <f>VLOOKUP($A151,'Data shares'!$C:$FA,93)</f>
        <v>7.2099999999999997E-2</v>
      </c>
      <c r="K151" s="86">
        <f>VLOOKUP($A151,'Data shares'!$C:$FA,94)</f>
        <v>1781500</v>
      </c>
      <c r="L151" s="86">
        <f>VLOOKUP($A151,'Data shares'!$C:$FA,96)</f>
        <v>-45150</v>
      </c>
      <c r="M151" s="87">
        <f>VLOOKUP($A151,'Data shares'!$C:$FA,97)</f>
        <v>-2.47E-2</v>
      </c>
      <c r="N151" s="86">
        <f>VLOOKUP($A151,'Data shares'!$C:$FA,78)</f>
        <v>5552400</v>
      </c>
      <c r="O151" s="87">
        <f>VLOOKUP($A151,'Data shares'!$C:$FA,81)</f>
        <v>-1.0999999999999999E-2</v>
      </c>
    </row>
    <row r="152" spans="1:15" x14ac:dyDescent="0.25">
      <c r="A152" s="100" t="str">
        <f>'Data Vlaue (Cr)'!C147</f>
        <v>OFSS</v>
      </c>
      <c r="B152" s="82">
        <f>VLOOKUP(A152,'Data shares'!$C$2:$CV$214,98,0)</f>
        <v>2407650</v>
      </c>
      <c r="C152" s="82">
        <f>VLOOKUP(A152,'Data shares'!$C$2:$CX$214,100,0)</f>
        <v>88950</v>
      </c>
      <c r="D152" s="141">
        <f>VLOOKUP(A152,'Data shares'!$C$2:$CY$537,101,0)</f>
        <v>3.8399999999999997E-2</v>
      </c>
      <c r="E152" s="86">
        <f>VLOOKUP($A152,'Data shares'!$C:$FA,74)</f>
        <v>1305825</v>
      </c>
      <c r="F152" s="86">
        <f>VLOOKUP($A152,'Data shares'!$C:$FA,76)</f>
        <v>23175</v>
      </c>
      <c r="G152" s="87">
        <f>VLOOKUP(A152,'Data shares'!$C$2:$CA$214,77,0)</f>
        <v>1.8100000000000002E-2</v>
      </c>
      <c r="H152" s="86">
        <f>VLOOKUP($A152,'Data shares'!$C:$FA,90)</f>
        <v>696375</v>
      </c>
      <c r="I152" s="86">
        <f>VLOOKUP($A152,'Data shares'!$C:$FA,92)</f>
        <v>52575</v>
      </c>
      <c r="J152" s="87">
        <f>VLOOKUP($A152,'Data shares'!$C:$FA,93)</f>
        <v>8.1699999999999995E-2</v>
      </c>
      <c r="K152" s="86">
        <f>VLOOKUP($A152,'Data shares'!$C:$FA,94)</f>
        <v>405450</v>
      </c>
      <c r="L152" s="86">
        <f>VLOOKUP($A152,'Data shares'!$C:$FA,96)</f>
        <v>13200</v>
      </c>
      <c r="M152" s="87">
        <f>VLOOKUP($A152,'Data shares'!$C:$FA,97)</f>
        <v>3.3700000000000001E-2</v>
      </c>
      <c r="N152" s="86">
        <f>VLOOKUP($A152,'Data shares'!$C:$FA,78)</f>
        <v>1229925</v>
      </c>
      <c r="O152" s="87">
        <f>VLOOKUP($A152,'Data shares'!$C:$FA,81)</f>
        <v>0.01</v>
      </c>
    </row>
    <row r="153" spans="1:15" x14ac:dyDescent="0.25">
      <c r="A153" s="100" t="str">
        <f>'Data Vlaue (Cr)'!C148</f>
        <v>OIL</v>
      </c>
      <c r="B153" s="82">
        <f>VLOOKUP(A153,'Data shares'!$C$2:$CV$214,98,0)</f>
        <v>42364000</v>
      </c>
      <c r="C153" s="82">
        <f>VLOOKUP(A153,'Data shares'!$C$2:$CX$214,100,0)</f>
        <v>1272600</v>
      </c>
      <c r="D153" s="141">
        <f>VLOOKUP(A153,'Data shares'!$C$2:$CY$537,101,0)</f>
        <v>3.1E-2</v>
      </c>
      <c r="E153" s="86">
        <f>VLOOKUP($A153,'Data shares'!$C:$FA,74)</f>
        <v>19846400</v>
      </c>
      <c r="F153" s="86">
        <f>VLOOKUP($A153,'Data shares'!$C:$FA,76)</f>
        <v>1327200</v>
      </c>
      <c r="G153" s="87">
        <f>VLOOKUP(A153,'Data shares'!$C$2:$CA$214,77,0)</f>
        <v>7.17E-2</v>
      </c>
      <c r="H153" s="86">
        <f>VLOOKUP($A153,'Data shares'!$C:$FA,90)</f>
        <v>15059800</v>
      </c>
      <c r="I153" s="86">
        <f>VLOOKUP($A153,'Data shares'!$C:$FA,92)</f>
        <v>254800</v>
      </c>
      <c r="J153" s="87">
        <f>VLOOKUP($A153,'Data shares'!$C:$FA,93)</f>
        <v>1.72E-2</v>
      </c>
      <c r="K153" s="86">
        <f>VLOOKUP($A153,'Data shares'!$C:$FA,94)</f>
        <v>7457800</v>
      </c>
      <c r="L153" s="86">
        <f>VLOOKUP($A153,'Data shares'!$C:$FA,96)</f>
        <v>-309400</v>
      </c>
      <c r="M153" s="87">
        <f>VLOOKUP($A153,'Data shares'!$C:$FA,97)</f>
        <v>-3.9800000000000002E-2</v>
      </c>
      <c r="N153" s="86">
        <f>VLOOKUP($A153,'Data shares'!$C:$FA,78)</f>
        <v>18862200</v>
      </c>
      <c r="O153" s="87">
        <f>VLOOKUP($A153,'Data shares'!$C:$FA,81)</f>
        <v>6.8599999999999994E-2</v>
      </c>
    </row>
    <row r="154" spans="1:15" x14ac:dyDescent="0.25">
      <c r="A154" s="100" t="str">
        <f>'Data Vlaue (Cr)'!C149</f>
        <v>ONGC</v>
      </c>
      <c r="B154" s="82">
        <f>VLOOKUP(A154,'Data shares'!$C$2:$CV$214,98,0)</f>
        <v>232605000</v>
      </c>
      <c r="C154" s="82">
        <f>VLOOKUP(A154,'Data shares'!$C$2:$CX$214,100,0)</f>
        <v>10381500</v>
      </c>
      <c r="D154" s="141">
        <f>VLOOKUP(A154,'Data shares'!$C$2:$CY$537,101,0)</f>
        <v>4.6699999999999998E-2</v>
      </c>
      <c r="E154" s="86">
        <f>VLOOKUP($A154,'Data shares'!$C:$FA,74)</f>
        <v>99094500</v>
      </c>
      <c r="F154" s="86">
        <f>VLOOKUP($A154,'Data shares'!$C:$FA,76)</f>
        <v>1028250</v>
      </c>
      <c r="G154" s="87">
        <f>VLOOKUP(A154,'Data shares'!$C$2:$CA$214,77,0)</f>
        <v>1.0500000000000001E-2</v>
      </c>
      <c r="H154" s="86">
        <f>VLOOKUP($A154,'Data shares'!$C:$FA,90)</f>
        <v>93638250</v>
      </c>
      <c r="I154" s="86">
        <f>VLOOKUP($A154,'Data shares'!$C:$FA,92)</f>
        <v>6147000</v>
      </c>
      <c r="J154" s="87">
        <f>VLOOKUP($A154,'Data shares'!$C:$FA,93)</f>
        <v>7.0300000000000001E-2</v>
      </c>
      <c r="K154" s="86">
        <f>VLOOKUP($A154,'Data shares'!$C:$FA,94)</f>
        <v>39872250</v>
      </c>
      <c r="L154" s="86">
        <f>VLOOKUP($A154,'Data shares'!$C:$FA,96)</f>
        <v>3206250</v>
      </c>
      <c r="M154" s="87">
        <f>VLOOKUP($A154,'Data shares'!$C:$FA,97)</f>
        <v>8.7400000000000005E-2</v>
      </c>
      <c r="N154" s="86">
        <f>VLOOKUP($A154,'Data shares'!$C:$FA,78)</f>
        <v>94896000</v>
      </c>
      <c r="O154" s="87">
        <f>VLOOKUP($A154,'Data shares'!$C:$FA,81)</f>
        <v>4.7999999999999996E-3</v>
      </c>
    </row>
    <row r="155" spans="1:15" x14ac:dyDescent="0.25">
      <c r="A155" s="100" t="str">
        <f>'Data Vlaue (Cr)'!C150</f>
        <v>PAGEIND</v>
      </c>
      <c r="B155" s="82">
        <f>VLOOKUP(A155,'Data shares'!$C$2:$CV$214,98,0)</f>
        <v>501225</v>
      </c>
      <c r="C155" s="82">
        <f>VLOOKUP(A155,'Data shares'!$C$2:$CX$214,100,0)</f>
        <v>10815</v>
      </c>
      <c r="D155" s="141">
        <f>VLOOKUP(A155,'Data shares'!$C$2:$CY$537,101,0)</f>
        <v>2.2100000000000002E-2</v>
      </c>
      <c r="E155" s="86">
        <f>VLOOKUP($A155,'Data shares'!$C:$FA,74)</f>
        <v>286590</v>
      </c>
      <c r="F155" s="86">
        <f>VLOOKUP($A155,'Data shares'!$C:$FA,76)</f>
        <v>3660</v>
      </c>
      <c r="G155" s="87">
        <f>VLOOKUP(A155,'Data shares'!$C$2:$CA$214,77,0)</f>
        <v>1.29E-2</v>
      </c>
      <c r="H155" s="86">
        <f>VLOOKUP($A155,'Data shares'!$C:$FA,90)</f>
        <v>147120</v>
      </c>
      <c r="I155" s="86">
        <f>VLOOKUP($A155,'Data shares'!$C:$FA,92)</f>
        <v>7305</v>
      </c>
      <c r="J155" s="87">
        <f>VLOOKUP($A155,'Data shares'!$C:$FA,93)</f>
        <v>5.2200000000000003E-2</v>
      </c>
      <c r="K155" s="86">
        <f>VLOOKUP($A155,'Data shares'!$C:$FA,94)</f>
        <v>67515</v>
      </c>
      <c r="L155" s="86">
        <f>VLOOKUP($A155,'Data shares'!$C:$FA,96)</f>
        <v>-150</v>
      </c>
      <c r="M155" s="87">
        <f>VLOOKUP($A155,'Data shares'!$C:$FA,97)</f>
        <v>-2.2000000000000001E-3</v>
      </c>
      <c r="N155" s="86">
        <f>VLOOKUP($A155,'Data shares'!$C:$FA,78)</f>
        <v>259245</v>
      </c>
      <c r="O155" s="87">
        <f>VLOOKUP($A155,'Data shares'!$C:$FA,81)</f>
        <v>8.8000000000000005E-3</v>
      </c>
    </row>
    <row r="156" spans="1:15" x14ac:dyDescent="0.25">
      <c r="A156" s="100" t="str">
        <f>'Data Vlaue (Cr)'!C151</f>
        <v>PATANJALI</v>
      </c>
      <c r="B156" s="82">
        <f>VLOOKUP(A156,'Data shares'!$C$2:$CV$214,98,0)</f>
        <v>48375000</v>
      </c>
      <c r="C156" s="82">
        <f>VLOOKUP(A156,'Data shares'!$C$2:$CX$214,100,0)</f>
        <v>2696400</v>
      </c>
      <c r="D156" s="141">
        <f>VLOOKUP(A156,'Data shares'!$C$2:$CY$537,101,0)</f>
        <v>5.8999999999999997E-2</v>
      </c>
      <c r="E156" s="86">
        <f>VLOOKUP($A156,'Data shares'!$C:$FA,74)</f>
        <v>37269000</v>
      </c>
      <c r="F156" s="86">
        <f>VLOOKUP($A156,'Data shares'!$C:$FA,76)</f>
        <v>-159300</v>
      </c>
      <c r="G156" s="87">
        <f>VLOOKUP(A156,'Data shares'!$C$2:$CA$214,77,0)</f>
        <v>-4.3E-3</v>
      </c>
      <c r="H156" s="86">
        <f>VLOOKUP($A156,'Data shares'!$C:$FA,90)</f>
        <v>5442300</v>
      </c>
      <c r="I156" s="86">
        <f>VLOOKUP($A156,'Data shares'!$C:$FA,92)</f>
        <v>1635300</v>
      </c>
      <c r="J156" s="87">
        <f>VLOOKUP($A156,'Data shares'!$C:$FA,93)</f>
        <v>0.42959999999999998</v>
      </c>
      <c r="K156" s="86">
        <f>VLOOKUP($A156,'Data shares'!$C:$FA,94)</f>
        <v>5663700</v>
      </c>
      <c r="L156" s="86">
        <f>VLOOKUP($A156,'Data shares'!$C:$FA,96)</f>
        <v>1220400</v>
      </c>
      <c r="M156" s="87">
        <f>VLOOKUP($A156,'Data shares'!$C:$FA,97)</f>
        <v>0.2747</v>
      </c>
      <c r="N156" s="86">
        <f>VLOOKUP($A156,'Data shares'!$C:$FA,78)</f>
        <v>36943200</v>
      </c>
      <c r="O156" s="87">
        <f>VLOOKUP($A156,'Data shares'!$C:$FA,81)</f>
        <v>-5.7000000000000002E-3</v>
      </c>
    </row>
    <row r="157" spans="1:15" x14ac:dyDescent="0.25">
      <c r="A157" s="100" t="str">
        <f>'Data Vlaue (Cr)'!C152</f>
        <v>PAYTM</v>
      </c>
      <c r="B157" s="82">
        <f>VLOOKUP(A157,'Data shares'!$C$2:$CV$214,98,0)</f>
        <v>36513175</v>
      </c>
      <c r="C157" s="82">
        <f>VLOOKUP(A157,'Data shares'!$C$2:$CX$214,100,0)</f>
        <v>1084600</v>
      </c>
      <c r="D157" s="141">
        <f>VLOOKUP(A157,'Data shares'!$C$2:$CY$537,101,0)</f>
        <v>3.0599999999999999E-2</v>
      </c>
      <c r="E157" s="86">
        <f>VLOOKUP($A157,'Data shares'!$C:$FA,74)</f>
        <v>17669700</v>
      </c>
      <c r="F157" s="86">
        <f>VLOOKUP($A157,'Data shares'!$C:$FA,76)</f>
        <v>555350</v>
      </c>
      <c r="G157" s="87">
        <f>VLOOKUP(A157,'Data shares'!$C$2:$CA$214,77,0)</f>
        <v>3.2399999999999998E-2</v>
      </c>
      <c r="H157" s="86">
        <f>VLOOKUP($A157,'Data shares'!$C:$FA,90)</f>
        <v>12724475</v>
      </c>
      <c r="I157" s="86">
        <f>VLOOKUP($A157,'Data shares'!$C:$FA,92)</f>
        <v>468350</v>
      </c>
      <c r="J157" s="87">
        <f>VLOOKUP($A157,'Data shares'!$C:$FA,93)</f>
        <v>3.8199999999999998E-2</v>
      </c>
      <c r="K157" s="86">
        <f>VLOOKUP($A157,'Data shares'!$C:$FA,94)</f>
        <v>6119000</v>
      </c>
      <c r="L157" s="86">
        <f>VLOOKUP($A157,'Data shares'!$C:$FA,96)</f>
        <v>60900</v>
      </c>
      <c r="M157" s="87">
        <f>VLOOKUP($A157,'Data shares'!$C:$FA,97)</f>
        <v>1.01E-2</v>
      </c>
      <c r="N157" s="86">
        <f>VLOOKUP($A157,'Data shares'!$C:$FA,78)</f>
        <v>17067225</v>
      </c>
      <c r="O157" s="87">
        <f>VLOOKUP($A157,'Data shares'!$C:$FA,81)</f>
        <v>2.7E-2</v>
      </c>
    </row>
    <row r="158" spans="1:15" x14ac:dyDescent="0.25">
      <c r="A158" s="100" t="str">
        <f>'Data Vlaue (Cr)'!C153</f>
        <v>PERSISTENT</v>
      </c>
      <c r="B158" s="82">
        <f>VLOOKUP(A158,'Data shares'!$C$2:$CV$214,98,0)</f>
        <v>5089000</v>
      </c>
      <c r="C158" s="82">
        <f>VLOOKUP(A158,'Data shares'!$C$2:$CX$214,100,0)</f>
        <v>586900</v>
      </c>
      <c r="D158" s="141">
        <f>VLOOKUP(A158,'Data shares'!$C$2:$CY$537,101,0)</f>
        <v>0.13039999999999999</v>
      </c>
      <c r="E158" s="86">
        <f>VLOOKUP($A158,'Data shares'!$C:$FA,74)</f>
        <v>2448100</v>
      </c>
      <c r="F158" s="86">
        <f>VLOOKUP($A158,'Data shares'!$C:$FA,76)</f>
        <v>262200</v>
      </c>
      <c r="G158" s="87">
        <f>VLOOKUP(A158,'Data shares'!$C$2:$CA$214,77,0)</f>
        <v>0.12</v>
      </c>
      <c r="H158" s="86">
        <f>VLOOKUP($A158,'Data shares'!$C:$FA,90)</f>
        <v>1748300</v>
      </c>
      <c r="I158" s="86">
        <f>VLOOKUP($A158,'Data shares'!$C:$FA,92)</f>
        <v>256100</v>
      </c>
      <c r="J158" s="87">
        <f>VLOOKUP($A158,'Data shares'!$C:$FA,93)</f>
        <v>0.1716</v>
      </c>
      <c r="K158" s="86">
        <f>VLOOKUP($A158,'Data shares'!$C:$FA,94)</f>
        <v>892600</v>
      </c>
      <c r="L158" s="86">
        <f>VLOOKUP($A158,'Data shares'!$C:$FA,96)</f>
        <v>68600</v>
      </c>
      <c r="M158" s="87">
        <f>VLOOKUP($A158,'Data shares'!$C:$FA,97)</f>
        <v>8.3299999999999999E-2</v>
      </c>
      <c r="N158" s="86">
        <f>VLOOKUP($A158,'Data shares'!$C:$FA,78)</f>
        <v>2331500</v>
      </c>
      <c r="O158" s="87">
        <f>VLOOKUP($A158,'Data shares'!$C:$FA,81)</f>
        <v>0.10929999999999999</v>
      </c>
    </row>
    <row r="159" spans="1:15" x14ac:dyDescent="0.25">
      <c r="A159" s="100" t="str">
        <f>'Data Vlaue (Cr)'!C154</f>
        <v>PETRONET</v>
      </c>
      <c r="B159" s="82">
        <f>VLOOKUP(A159,'Data shares'!$C$2:$CV$214,98,0)</f>
        <v>72333000</v>
      </c>
      <c r="C159" s="82">
        <f>VLOOKUP(A159,'Data shares'!$C$2:$CX$214,100,0)</f>
        <v>1278700</v>
      </c>
      <c r="D159" s="141">
        <f>VLOOKUP(A159,'Data shares'!$C$2:$CY$537,101,0)</f>
        <v>1.7999999999999999E-2</v>
      </c>
      <c r="E159" s="86">
        <f>VLOOKUP($A159,'Data shares'!$C:$FA,74)</f>
        <v>42732900</v>
      </c>
      <c r="F159" s="86">
        <f>VLOOKUP($A159,'Data shares'!$C:$FA,76)</f>
        <v>-186200</v>
      </c>
      <c r="G159" s="87">
        <f>VLOOKUP(A159,'Data shares'!$C$2:$CA$214,77,0)</f>
        <v>-4.3E-3</v>
      </c>
      <c r="H159" s="86">
        <f>VLOOKUP($A159,'Data shares'!$C:$FA,90)</f>
        <v>16883400</v>
      </c>
      <c r="I159" s="86">
        <f>VLOOKUP($A159,'Data shares'!$C:$FA,92)</f>
        <v>1233100</v>
      </c>
      <c r="J159" s="87">
        <f>VLOOKUP($A159,'Data shares'!$C:$FA,93)</f>
        <v>7.8799999999999995E-2</v>
      </c>
      <c r="K159" s="86">
        <f>VLOOKUP($A159,'Data shares'!$C:$FA,94)</f>
        <v>12716700</v>
      </c>
      <c r="L159" s="86">
        <f>VLOOKUP($A159,'Data shares'!$C:$FA,96)</f>
        <v>231800</v>
      </c>
      <c r="M159" s="87">
        <f>VLOOKUP($A159,'Data shares'!$C:$FA,97)</f>
        <v>1.8599999999999998E-2</v>
      </c>
      <c r="N159" s="86">
        <f>VLOOKUP($A159,'Data shares'!$C:$FA,78)</f>
        <v>39153300</v>
      </c>
      <c r="O159" s="87">
        <f>VLOOKUP($A159,'Data shares'!$C:$FA,81)</f>
        <v>-4.8999999999999998E-3</v>
      </c>
    </row>
    <row r="160" spans="1:15" x14ac:dyDescent="0.25">
      <c r="A160" s="100" t="str">
        <f>'Data Vlaue (Cr)'!C155</f>
        <v>PFC</v>
      </c>
      <c r="B160" s="82">
        <f>VLOOKUP(A160,'Data shares'!$C$2:$CV$214,98,0)</f>
        <v>124868900</v>
      </c>
      <c r="C160" s="82">
        <f>VLOOKUP(A160,'Data shares'!$C$2:$CX$214,100,0)</f>
        <v>399100</v>
      </c>
      <c r="D160" s="141">
        <f>VLOOKUP(A160,'Data shares'!$C$2:$CY$537,101,0)</f>
        <v>3.2000000000000002E-3</v>
      </c>
      <c r="E160" s="86">
        <f>VLOOKUP($A160,'Data shares'!$C:$FA,74)</f>
        <v>68235700</v>
      </c>
      <c r="F160" s="86">
        <f>VLOOKUP($A160,'Data shares'!$C:$FA,76)</f>
        <v>-7800</v>
      </c>
      <c r="G160" s="87">
        <f>VLOOKUP(A160,'Data shares'!$C$2:$CA$214,77,0)</f>
        <v>-1E-4</v>
      </c>
      <c r="H160" s="86">
        <f>VLOOKUP($A160,'Data shares'!$C:$FA,90)</f>
        <v>33541300</v>
      </c>
      <c r="I160" s="86">
        <f>VLOOKUP($A160,'Data shares'!$C:$FA,92)</f>
        <v>583700</v>
      </c>
      <c r="J160" s="87">
        <f>VLOOKUP($A160,'Data shares'!$C:$FA,93)</f>
        <v>1.77E-2</v>
      </c>
      <c r="K160" s="86">
        <f>VLOOKUP($A160,'Data shares'!$C:$FA,94)</f>
        <v>23091900</v>
      </c>
      <c r="L160" s="86">
        <f>VLOOKUP($A160,'Data shares'!$C:$FA,96)</f>
        <v>-176800</v>
      </c>
      <c r="M160" s="87">
        <f>VLOOKUP($A160,'Data shares'!$C:$FA,97)</f>
        <v>-7.6E-3</v>
      </c>
      <c r="N160" s="86">
        <f>VLOOKUP($A160,'Data shares'!$C:$FA,78)</f>
        <v>57723900</v>
      </c>
      <c r="O160" s="87">
        <f>VLOOKUP($A160,'Data shares'!$C:$FA,81)</f>
        <v>-2.5000000000000001E-3</v>
      </c>
    </row>
    <row r="161" spans="1:15" x14ac:dyDescent="0.25">
      <c r="A161" s="100" t="str">
        <f>'Data Vlaue (Cr)'!C156</f>
        <v>PGEL</v>
      </c>
      <c r="B161" s="82">
        <f>VLOOKUP(A161,'Data shares'!$C$2:$CV$214,98,0)</f>
        <v>23552400</v>
      </c>
      <c r="C161" s="82">
        <f>VLOOKUP(A161,'Data shares'!$C$2:$CX$214,100,0)</f>
        <v>-1344250</v>
      </c>
      <c r="D161" s="141">
        <f>VLOOKUP(A161,'Data shares'!$C$2:$CY$537,101,0)</f>
        <v>-5.3999999999999999E-2</v>
      </c>
      <c r="E161" s="86">
        <f>VLOOKUP($A161,'Data shares'!$C:$FA,74)</f>
        <v>10668500</v>
      </c>
      <c r="F161" s="86">
        <f>VLOOKUP($A161,'Data shares'!$C:$FA,76)</f>
        <v>-415150</v>
      </c>
      <c r="G161" s="87">
        <f>VLOOKUP(A161,'Data shares'!$C$2:$CA$214,77,0)</f>
        <v>-3.7499999999999999E-2</v>
      </c>
      <c r="H161" s="86">
        <f>VLOOKUP($A161,'Data shares'!$C:$FA,90)</f>
        <v>6990100</v>
      </c>
      <c r="I161" s="86">
        <f>VLOOKUP($A161,'Data shares'!$C:$FA,92)</f>
        <v>-927200</v>
      </c>
      <c r="J161" s="87">
        <f>VLOOKUP($A161,'Data shares'!$C:$FA,93)</f>
        <v>-0.1171</v>
      </c>
      <c r="K161" s="86">
        <f>VLOOKUP($A161,'Data shares'!$C:$FA,94)</f>
        <v>5893800</v>
      </c>
      <c r="L161" s="86">
        <f>VLOOKUP($A161,'Data shares'!$C:$FA,96)</f>
        <v>-1900</v>
      </c>
      <c r="M161" s="87">
        <f>VLOOKUP($A161,'Data shares'!$C:$FA,97)</f>
        <v>-2.9999999999999997E-4</v>
      </c>
      <c r="N161" s="86">
        <f>VLOOKUP($A161,'Data shares'!$C:$FA,78)</f>
        <v>9993050</v>
      </c>
      <c r="O161" s="87">
        <f>VLOOKUP($A161,'Data shares'!$C:$FA,81)</f>
        <v>-4.0300000000000002E-2</v>
      </c>
    </row>
    <row r="162" spans="1:15" x14ac:dyDescent="0.25">
      <c r="A162" s="100" t="str">
        <f>'Data Vlaue (Cr)'!C157</f>
        <v>PHOENIXLTD</v>
      </c>
      <c r="B162" s="82">
        <f>VLOOKUP(A162,'Data shares'!$C$2:$CV$214,98,0)</f>
        <v>7151900</v>
      </c>
      <c r="C162" s="82">
        <f>VLOOKUP(A162,'Data shares'!$C$2:$CX$214,100,0)</f>
        <v>451500</v>
      </c>
      <c r="D162" s="141">
        <f>VLOOKUP(A162,'Data shares'!$C$2:$CY$537,101,0)</f>
        <v>6.7400000000000002E-2</v>
      </c>
      <c r="E162" s="86">
        <f>VLOOKUP($A162,'Data shares'!$C:$FA,74)</f>
        <v>4910850</v>
      </c>
      <c r="F162" s="86">
        <f>VLOOKUP($A162,'Data shares'!$C:$FA,76)</f>
        <v>176400</v>
      </c>
      <c r="G162" s="87">
        <f>VLOOKUP(A162,'Data shares'!$C$2:$CA$214,77,0)</f>
        <v>3.73E-2</v>
      </c>
      <c r="H162" s="86">
        <f>VLOOKUP($A162,'Data shares'!$C:$FA,90)</f>
        <v>1300250</v>
      </c>
      <c r="I162" s="86">
        <f>VLOOKUP($A162,'Data shares'!$C:$FA,92)</f>
        <v>51100</v>
      </c>
      <c r="J162" s="87">
        <f>VLOOKUP($A162,'Data shares'!$C:$FA,93)</f>
        <v>4.0899999999999999E-2</v>
      </c>
      <c r="K162" s="86">
        <f>VLOOKUP($A162,'Data shares'!$C:$FA,94)</f>
        <v>940800</v>
      </c>
      <c r="L162" s="86">
        <f>VLOOKUP($A162,'Data shares'!$C:$FA,96)</f>
        <v>224000</v>
      </c>
      <c r="M162" s="87">
        <f>VLOOKUP($A162,'Data shares'!$C:$FA,97)</f>
        <v>0.3125</v>
      </c>
      <c r="N162" s="86">
        <f>VLOOKUP($A162,'Data shares'!$C:$FA,78)</f>
        <v>4853800</v>
      </c>
      <c r="O162" s="87">
        <f>VLOOKUP($A162,'Data shares'!$C:$FA,81)</f>
        <v>3.6799999999999999E-2</v>
      </c>
    </row>
    <row r="163" spans="1:15" x14ac:dyDescent="0.25">
      <c r="A163" s="100" t="str">
        <f>'Data Vlaue (Cr)'!C158</f>
        <v>PIDILITIND</v>
      </c>
      <c r="B163" s="82">
        <f>VLOOKUP(A163,'Data shares'!$C$2:$CV$214,98,0)</f>
        <v>11880500</v>
      </c>
      <c r="C163" s="82">
        <f>VLOOKUP(A163,'Data shares'!$C$2:$CX$214,100,0)</f>
        <v>-212000</v>
      </c>
      <c r="D163" s="141">
        <f>VLOOKUP(A163,'Data shares'!$C$2:$CY$537,101,0)</f>
        <v>-1.7500000000000002E-2</v>
      </c>
      <c r="E163" s="86">
        <f>VLOOKUP($A163,'Data shares'!$C:$FA,74)</f>
        <v>8458000</v>
      </c>
      <c r="F163" s="86">
        <f>VLOOKUP($A163,'Data shares'!$C:$FA,76)</f>
        <v>-191000</v>
      </c>
      <c r="G163" s="87">
        <f>VLOOKUP(A163,'Data shares'!$C$2:$CA$214,77,0)</f>
        <v>-2.2100000000000002E-2</v>
      </c>
      <c r="H163" s="86">
        <f>VLOOKUP($A163,'Data shares'!$C:$FA,90)</f>
        <v>1947000</v>
      </c>
      <c r="I163" s="86">
        <f>VLOOKUP($A163,'Data shares'!$C:$FA,92)</f>
        <v>33000</v>
      </c>
      <c r="J163" s="87">
        <f>VLOOKUP($A163,'Data shares'!$C:$FA,93)</f>
        <v>1.72E-2</v>
      </c>
      <c r="K163" s="86">
        <f>VLOOKUP($A163,'Data shares'!$C:$FA,94)</f>
        <v>1475500</v>
      </c>
      <c r="L163" s="86">
        <f>VLOOKUP($A163,'Data shares'!$C:$FA,96)</f>
        <v>-54000</v>
      </c>
      <c r="M163" s="87">
        <f>VLOOKUP($A163,'Data shares'!$C:$FA,97)</f>
        <v>-3.5299999999999998E-2</v>
      </c>
      <c r="N163" s="86">
        <f>VLOOKUP($A163,'Data shares'!$C:$FA,78)</f>
        <v>8359000</v>
      </c>
      <c r="O163" s="87">
        <f>VLOOKUP($A163,'Data shares'!$C:$FA,81)</f>
        <v>-2.3099999999999999E-2</v>
      </c>
    </row>
    <row r="164" spans="1:15" x14ac:dyDescent="0.25">
      <c r="A164" s="100" t="str">
        <f>'Data Vlaue (Cr)'!C159</f>
        <v>PIIND</v>
      </c>
      <c r="B164" s="82">
        <f>VLOOKUP(A164,'Data shares'!$C$2:$CV$214,98,0)</f>
        <v>6719475</v>
      </c>
      <c r="C164" s="82">
        <f>VLOOKUP(A164,'Data shares'!$C$2:$CX$214,100,0)</f>
        <v>1603875</v>
      </c>
      <c r="D164" s="141">
        <f>VLOOKUP(A164,'Data shares'!$C$2:$CY$537,101,0)</f>
        <v>0.3135</v>
      </c>
      <c r="E164" s="86">
        <f>VLOOKUP($A164,'Data shares'!$C:$FA,74)</f>
        <v>3823925</v>
      </c>
      <c r="F164" s="86">
        <f>VLOOKUP($A164,'Data shares'!$C:$FA,76)</f>
        <v>205800</v>
      </c>
      <c r="G164" s="87">
        <f>VLOOKUP(A164,'Data shares'!$C$2:$CA$214,77,0)</f>
        <v>5.6899999999999999E-2</v>
      </c>
      <c r="H164" s="86">
        <f>VLOOKUP($A164,'Data shares'!$C:$FA,90)</f>
        <v>1127525</v>
      </c>
      <c r="I164" s="86">
        <f>VLOOKUP($A164,'Data shares'!$C:$FA,92)</f>
        <v>403900</v>
      </c>
      <c r="J164" s="87">
        <f>VLOOKUP($A164,'Data shares'!$C:$FA,93)</f>
        <v>0.55820000000000003</v>
      </c>
      <c r="K164" s="86">
        <f>VLOOKUP($A164,'Data shares'!$C:$FA,94)</f>
        <v>1768025</v>
      </c>
      <c r="L164" s="86">
        <f>VLOOKUP($A164,'Data shares'!$C:$FA,96)</f>
        <v>994175</v>
      </c>
      <c r="M164" s="87">
        <f>VLOOKUP($A164,'Data shares'!$C:$FA,97)</f>
        <v>1.2847</v>
      </c>
      <c r="N164" s="86">
        <f>VLOOKUP($A164,'Data shares'!$C:$FA,78)</f>
        <v>3383800</v>
      </c>
      <c r="O164" s="87">
        <f>VLOOKUP($A164,'Data shares'!$C:$FA,81)</f>
        <v>6.2199999999999998E-2</v>
      </c>
    </row>
    <row r="165" spans="1:15" x14ac:dyDescent="0.25">
      <c r="A165" s="100" t="str">
        <f>'Data Vlaue (Cr)'!C160</f>
        <v>PNB</v>
      </c>
      <c r="B165" s="82">
        <f>VLOOKUP(A165,'Data shares'!$C$2:$CV$214,98,0)</f>
        <v>451032000</v>
      </c>
      <c r="C165" s="82">
        <f>VLOOKUP(A165,'Data shares'!$C$2:$CX$214,100,0)</f>
        <v>3928000</v>
      </c>
      <c r="D165" s="141">
        <f>VLOOKUP(A165,'Data shares'!$C$2:$CY$537,101,0)</f>
        <v>8.8000000000000005E-3</v>
      </c>
      <c r="E165" s="86">
        <f>VLOOKUP($A165,'Data shares'!$C:$FA,74)</f>
        <v>229760000</v>
      </c>
      <c r="F165" s="86">
        <f>VLOOKUP($A165,'Data shares'!$C:$FA,76)</f>
        <v>-624000</v>
      </c>
      <c r="G165" s="87">
        <f>VLOOKUP(A165,'Data shares'!$C$2:$CA$214,77,0)</f>
        <v>-2.7000000000000001E-3</v>
      </c>
      <c r="H165" s="86">
        <f>VLOOKUP($A165,'Data shares'!$C:$FA,90)</f>
        <v>139168000</v>
      </c>
      <c r="I165" s="86">
        <f>VLOOKUP($A165,'Data shares'!$C:$FA,92)</f>
        <v>1112000</v>
      </c>
      <c r="J165" s="87">
        <f>VLOOKUP($A165,'Data shares'!$C:$FA,93)</f>
        <v>8.0999999999999996E-3</v>
      </c>
      <c r="K165" s="86">
        <f>VLOOKUP($A165,'Data shares'!$C:$FA,94)</f>
        <v>82104000</v>
      </c>
      <c r="L165" s="86">
        <f>VLOOKUP($A165,'Data shares'!$C:$FA,96)</f>
        <v>3440000</v>
      </c>
      <c r="M165" s="87">
        <f>VLOOKUP($A165,'Data shares'!$C:$FA,97)</f>
        <v>4.3700000000000003E-2</v>
      </c>
      <c r="N165" s="86">
        <f>VLOOKUP($A165,'Data shares'!$C:$FA,78)</f>
        <v>214472000</v>
      </c>
      <c r="O165" s="87">
        <f>VLOOKUP($A165,'Data shares'!$C:$FA,81)</f>
        <v>-1.04E-2</v>
      </c>
    </row>
    <row r="166" spans="1:15" x14ac:dyDescent="0.25">
      <c r="A166" s="100" t="str">
        <f>'Data Vlaue (Cr)'!C161</f>
        <v>PNBHOUSING</v>
      </c>
      <c r="B166" s="82">
        <f>VLOOKUP(A166,'Data shares'!$C$2:$CV$214,98,0)</f>
        <v>19495450</v>
      </c>
      <c r="C166" s="82">
        <f>VLOOKUP(A166,'Data shares'!$C$2:$CX$214,100,0)</f>
        <v>-147550</v>
      </c>
      <c r="D166" s="141">
        <f>VLOOKUP(A166,'Data shares'!$C$2:$CY$537,101,0)</f>
        <v>-7.4999999999999997E-3</v>
      </c>
      <c r="E166" s="86">
        <f>VLOOKUP($A166,'Data shares'!$C:$FA,74)</f>
        <v>14138800</v>
      </c>
      <c r="F166" s="86">
        <f>VLOOKUP($A166,'Data shares'!$C:$FA,76)</f>
        <v>-117650</v>
      </c>
      <c r="G166" s="87">
        <f>VLOOKUP(A166,'Data shares'!$C$2:$CA$214,77,0)</f>
        <v>-8.3000000000000001E-3</v>
      </c>
      <c r="H166" s="86">
        <f>VLOOKUP($A166,'Data shares'!$C:$FA,90)</f>
        <v>2821000</v>
      </c>
      <c r="I166" s="86">
        <f>VLOOKUP($A166,'Data shares'!$C:$FA,92)</f>
        <v>-16250</v>
      </c>
      <c r="J166" s="87">
        <f>VLOOKUP($A166,'Data shares'!$C:$FA,93)</f>
        <v>-5.7000000000000002E-3</v>
      </c>
      <c r="K166" s="86">
        <f>VLOOKUP($A166,'Data shares'!$C:$FA,94)</f>
        <v>2535650</v>
      </c>
      <c r="L166" s="86">
        <f>VLOOKUP($A166,'Data shares'!$C:$FA,96)</f>
        <v>-13650</v>
      </c>
      <c r="M166" s="87">
        <f>VLOOKUP($A166,'Data shares'!$C:$FA,97)</f>
        <v>-5.4000000000000003E-3</v>
      </c>
      <c r="N166" s="86">
        <f>VLOOKUP($A166,'Data shares'!$C:$FA,78)</f>
        <v>13841100</v>
      </c>
      <c r="O166" s="87">
        <f>VLOOKUP($A166,'Data shares'!$C:$FA,81)</f>
        <v>-1.01E-2</v>
      </c>
    </row>
    <row r="167" spans="1:15" x14ac:dyDescent="0.25">
      <c r="A167" s="100" t="str">
        <f>'Data Vlaue (Cr)'!C162</f>
        <v>POLICYBZR</v>
      </c>
      <c r="B167" s="82">
        <f>VLOOKUP(A167,'Data shares'!$C$2:$CV$214,98,0)</f>
        <v>16199050</v>
      </c>
      <c r="C167" s="82">
        <f>VLOOKUP(A167,'Data shares'!$C$2:$CX$214,100,0)</f>
        <v>-529550</v>
      </c>
      <c r="D167" s="141">
        <f>VLOOKUP(A167,'Data shares'!$C$2:$CY$537,101,0)</f>
        <v>-3.1699999999999999E-2</v>
      </c>
      <c r="E167" s="86">
        <f>VLOOKUP($A167,'Data shares'!$C:$FA,74)</f>
        <v>9509500</v>
      </c>
      <c r="F167" s="86">
        <f>VLOOKUP($A167,'Data shares'!$C:$FA,76)</f>
        <v>-154350</v>
      </c>
      <c r="G167" s="87">
        <f>VLOOKUP(A167,'Data shares'!$C$2:$CA$214,77,0)</f>
        <v>-1.6E-2</v>
      </c>
      <c r="H167" s="86">
        <f>VLOOKUP($A167,'Data shares'!$C:$FA,90)</f>
        <v>3805550</v>
      </c>
      <c r="I167" s="86">
        <f>VLOOKUP($A167,'Data shares'!$C:$FA,92)</f>
        <v>-350350</v>
      </c>
      <c r="J167" s="87">
        <f>VLOOKUP($A167,'Data shares'!$C:$FA,93)</f>
        <v>-8.43E-2</v>
      </c>
      <c r="K167" s="86">
        <f>VLOOKUP($A167,'Data shares'!$C:$FA,94)</f>
        <v>2884000</v>
      </c>
      <c r="L167" s="86">
        <f>VLOOKUP($A167,'Data shares'!$C:$FA,96)</f>
        <v>-24850</v>
      </c>
      <c r="M167" s="87">
        <f>VLOOKUP($A167,'Data shares'!$C:$FA,97)</f>
        <v>-8.5000000000000006E-3</v>
      </c>
      <c r="N167" s="86">
        <f>VLOOKUP($A167,'Data shares'!$C:$FA,78)</f>
        <v>9163700</v>
      </c>
      <c r="O167" s="87">
        <f>VLOOKUP($A167,'Data shares'!$C:$FA,81)</f>
        <v>-1.6500000000000001E-2</v>
      </c>
    </row>
    <row r="168" spans="1:15" x14ac:dyDescent="0.25">
      <c r="A168" s="100" t="str">
        <f>'Data Vlaue (Cr)'!C163</f>
        <v>POLYCAB</v>
      </c>
      <c r="B168" s="82">
        <f>VLOOKUP(A168,'Data shares'!$C$2:$CV$214,98,0)</f>
        <v>4908500</v>
      </c>
      <c r="C168" s="82">
        <f>VLOOKUP(A168,'Data shares'!$C$2:$CX$214,100,0)</f>
        <v>24625</v>
      </c>
      <c r="D168" s="141">
        <f>VLOOKUP(A168,'Data shares'!$C$2:$CY$537,101,0)</f>
        <v>5.0000000000000001E-3</v>
      </c>
      <c r="E168" s="86">
        <f>VLOOKUP($A168,'Data shares'!$C:$FA,74)</f>
        <v>2967875</v>
      </c>
      <c r="F168" s="86">
        <f>VLOOKUP($A168,'Data shares'!$C:$FA,76)</f>
        <v>875</v>
      </c>
      <c r="G168" s="87">
        <f>VLOOKUP(A168,'Data shares'!$C$2:$CA$214,77,0)</f>
        <v>2.9999999999999997E-4</v>
      </c>
      <c r="H168" s="86">
        <f>VLOOKUP($A168,'Data shares'!$C:$FA,90)</f>
        <v>1107000</v>
      </c>
      <c r="I168" s="86">
        <f>VLOOKUP($A168,'Data shares'!$C:$FA,92)</f>
        <v>-17250</v>
      </c>
      <c r="J168" s="87">
        <f>VLOOKUP($A168,'Data shares'!$C:$FA,93)</f>
        <v>-1.5299999999999999E-2</v>
      </c>
      <c r="K168" s="86">
        <f>VLOOKUP($A168,'Data shares'!$C:$FA,94)</f>
        <v>833625</v>
      </c>
      <c r="L168" s="86">
        <f>VLOOKUP($A168,'Data shares'!$C:$FA,96)</f>
        <v>41000</v>
      </c>
      <c r="M168" s="87">
        <f>VLOOKUP($A168,'Data shares'!$C:$FA,97)</f>
        <v>5.1700000000000003E-2</v>
      </c>
      <c r="N168" s="86">
        <f>VLOOKUP($A168,'Data shares'!$C:$FA,78)</f>
        <v>2911500</v>
      </c>
      <c r="O168" s="87">
        <f>VLOOKUP($A168,'Data shares'!$C:$FA,81)</f>
        <v>-8.0000000000000004E-4</v>
      </c>
    </row>
    <row r="169" spans="1:15" x14ac:dyDescent="0.25">
      <c r="A169" s="100" t="str">
        <f>'Data Vlaue (Cr)'!C164</f>
        <v>POWERGRID</v>
      </c>
      <c r="B169" s="82">
        <f>VLOOKUP(A169,'Data shares'!$C$2:$CV$214,98,0)</f>
        <v>193389600</v>
      </c>
      <c r="C169" s="82">
        <f>VLOOKUP(A169,'Data shares'!$C$2:$CX$214,100,0)</f>
        <v>-1274900</v>
      </c>
      <c r="D169" s="141">
        <f>VLOOKUP(A169,'Data shares'!$C$2:$CY$537,101,0)</f>
        <v>-6.4999999999999997E-3</v>
      </c>
      <c r="E169" s="86">
        <f>VLOOKUP($A169,'Data shares'!$C:$FA,74)</f>
        <v>83335900</v>
      </c>
      <c r="F169" s="86">
        <f>VLOOKUP($A169,'Data shares'!$C:$FA,76)</f>
        <v>-1508600</v>
      </c>
      <c r="G169" s="87">
        <f>VLOOKUP(A169,'Data shares'!$C$2:$CA$214,77,0)</f>
        <v>-1.78E-2</v>
      </c>
      <c r="H169" s="86">
        <f>VLOOKUP($A169,'Data shares'!$C:$FA,90)</f>
        <v>68422800</v>
      </c>
      <c r="I169" s="86">
        <f>VLOOKUP($A169,'Data shares'!$C:$FA,92)</f>
        <v>393300</v>
      </c>
      <c r="J169" s="87">
        <f>VLOOKUP($A169,'Data shares'!$C:$FA,93)</f>
        <v>5.7999999999999996E-3</v>
      </c>
      <c r="K169" s="86">
        <f>VLOOKUP($A169,'Data shares'!$C:$FA,94)</f>
        <v>41630900</v>
      </c>
      <c r="L169" s="86">
        <f>VLOOKUP($A169,'Data shares'!$C:$FA,96)</f>
        <v>-159600</v>
      </c>
      <c r="M169" s="87">
        <f>VLOOKUP($A169,'Data shares'!$C:$FA,97)</f>
        <v>-3.8E-3</v>
      </c>
      <c r="N169" s="86">
        <f>VLOOKUP($A169,'Data shares'!$C:$FA,78)</f>
        <v>79961500</v>
      </c>
      <c r="O169" s="87">
        <f>VLOOKUP($A169,'Data shares'!$C:$FA,81)</f>
        <v>-2.01E-2</v>
      </c>
    </row>
    <row r="170" spans="1:15" x14ac:dyDescent="0.25">
      <c r="A170" s="100" t="str">
        <f>'Data Vlaue (Cr)'!C165</f>
        <v>POWERINDIA</v>
      </c>
      <c r="B170" s="82">
        <f>VLOOKUP(A170,'Data shares'!$C$2:$CV$214,98,0)</f>
        <v>974100</v>
      </c>
      <c r="C170" s="82">
        <f>VLOOKUP(A170,'Data shares'!$C$2:$CX$214,100,0)</f>
        <v>-13800</v>
      </c>
      <c r="D170" s="141">
        <f>VLOOKUP(A170,'Data shares'!$C$2:$CY$537,101,0)</f>
        <v>-1.4E-2</v>
      </c>
      <c r="E170" s="86">
        <f>VLOOKUP($A170,'Data shares'!$C:$FA,74)</f>
        <v>369350</v>
      </c>
      <c r="F170" s="86">
        <f>VLOOKUP($A170,'Data shares'!$C:$FA,76)</f>
        <v>-8150</v>
      </c>
      <c r="G170" s="87">
        <f>VLOOKUP(A170,'Data shares'!$C$2:$CA$214,77,0)</f>
        <v>-2.1600000000000001E-2</v>
      </c>
      <c r="H170" s="86">
        <f>VLOOKUP($A170,'Data shares'!$C:$FA,90)</f>
        <v>271200</v>
      </c>
      <c r="I170" s="86">
        <f>VLOOKUP($A170,'Data shares'!$C:$FA,92)</f>
        <v>-3900</v>
      </c>
      <c r="J170" s="87">
        <f>VLOOKUP($A170,'Data shares'!$C:$FA,93)</f>
        <v>-1.4200000000000001E-2</v>
      </c>
      <c r="K170" s="86">
        <f>VLOOKUP($A170,'Data shares'!$C:$FA,94)</f>
        <v>333550</v>
      </c>
      <c r="L170" s="86">
        <f>VLOOKUP($A170,'Data shares'!$C:$FA,96)</f>
        <v>-1750</v>
      </c>
      <c r="M170" s="87">
        <f>VLOOKUP($A170,'Data shares'!$C:$FA,97)</f>
        <v>-5.1999999999999998E-3</v>
      </c>
      <c r="N170" s="86">
        <f>VLOOKUP($A170,'Data shares'!$C:$FA,78)</f>
        <v>349350</v>
      </c>
      <c r="O170" s="87">
        <f>VLOOKUP($A170,'Data shares'!$C:$FA,81)</f>
        <v>-2.53E-2</v>
      </c>
    </row>
    <row r="171" spans="1:15" x14ac:dyDescent="0.25">
      <c r="A171" s="100" t="str">
        <f>'Data Vlaue (Cr)'!C166</f>
        <v>PPLPHARMA</v>
      </c>
      <c r="B171" s="82">
        <f>VLOOKUP(A171,'Data shares'!$C$2:$CV$214,98,0)</f>
        <v>42099750</v>
      </c>
      <c r="C171" s="82">
        <f>VLOOKUP(A171,'Data shares'!$C$2:$CX$214,100,0)</f>
        <v>569625</v>
      </c>
      <c r="D171" s="141">
        <f>VLOOKUP(A171,'Data shares'!$C$2:$CY$537,101,0)</f>
        <v>1.37E-2</v>
      </c>
      <c r="E171" s="86">
        <f>VLOOKUP($A171,'Data shares'!$C:$FA,74)</f>
        <v>24756375</v>
      </c>
      <c r="F171" s="86">
        <f>VLOOKUP($A171,'Data shares'!$C:$FA,76)</f>
        <v>511875</v>
      </c>
      <c r="G171" s="87">
        <f>VLOOKUP(A171,'Data shares'!$C$2:$CA$214,77,0)</f>
        <v>2.1100000000000001E-2</v>
      </c>
      <c r="H171" s="86">
        <f>VLOOKUP($A171,'Data shares'!$C:$FA,90)</f>
        <v>10610250</v>
      </c>
      <c r="I171" s="86">
        <f>VLOOKUP($A171,'Data shares'!$C:$FA,92)</f>
        <v>152250</v>
      </c>
      <c r="J171" s="87">
        <f>VLOOKUP($A171,'Data shares'!$C:$FA,93)</f>
        <v>1.46E-2</v>
      </c>
      <c r="K171" s="86">
        <f>VLOOKUP($A171,'Data shares'!$C:$FA,94)</f>
        <v>6733125</v>
      </c>
      <c r="L171" s="86">
        <f>VLOOKUP($A171,'Data shares'!$C:$FA,96)</f>
        <v>-94500</v>
      </c>
      <c r="M171" s="87">
        <f>VLOOKUP($A171,'Data shares'!$C:$FA,97)</f>
        <v>-1.38E-2</v>
      </c>
      <c r="N171" s="86">
        <f>VLOOKUP($A171,'Data shares'!$C:$FA,78)</f>
        <v>20070750</v>
      </c>
      <c r="O171" s="87">
        <f>VLOOKUP($A171,'Data shares'!$C:$FA,81)</f>
        <v>3.3999999999999998E-3</v>
      </c>
    </row>
    <row r="172" spans="1:15" x14ac:dyDescent="0.25">
      <c r="A172" s="100" t="str">
        <f>'Data Vlaue (Cr)'!C167</f>
        <v>PREMIERENE</v>
      </c>
      <c r="B172" s="82">
        <f>VLOOKUP(A172,'Data shares'!$C$2:$CV$214,98,0)</f>
        <v>11941600</v>
      </c>
      <c r="C172" s="82">
        <f>VLOOKUP(A172,'Data shares'!$C$2:$CX$214,100,0)</f>
        <v>886075</v>
      </c>
      <c r="D172" s="141">
        <f>VLOOKUP(A172,'Data shares'!$C$2:$CY$537,101,0)</f>
        <v>8.0100000000000005E-2</v>
      </c>
      <c r="E172" s="86">
        <f>VLOOKUP($A172,'Data shares'!$C:$FA,74)</f>
        <v>6346275</v>
      </c>
      <c r="F172" s="86">
        <f>VLOOKUP($A172,'Data shares'!$C:$FA,76)</f>
        <v>179400</v>
      </c>
      <c r="G172" s="87">
        <f>VLOOKUP(A172,'Data shares'!$C$2:$CA$214,77,0)</f>
        <v>2.9100000000000001E-2</v>
      </c>
      <c r="H172" s="86">
        <f>VLOOKUP($A172,'Data shares'!$C:$FA,90)</f>
        <v>3839275</v>
      </c>
      <c r="I172" s="86">
        <f>VLOOKUP($A172,'Data shares'!$C:$FA,92)</f>
        <v>522675</v>
      </c>
      <c r="J172" s="87">
        <f>VLOOKUP($A172,'Data shares'!$C:$FA,93)</f>
        <v>0.15759999999999999</v>
      </c>
      <c r="K172" s="86">
        <f>VLOOKUP($A172,'Data shares'!$C:$FA,94)</f>
        <v>1756050</v>
      </c>
      <c r="L172" s="86">
        <f>VLOOKUP($A172,'Data shares'!$C:$FA,96)</f>
        <v>184000</v>
      </c>
      <c r="M172" s="87">
        <f>VLOOKUP($A172,'Data shares'!$C:$FA,97)</f>
        <v>0.11700000000000001</v>
      </c>
      <c r="N172" s="86">
        <f>VLOOKUP($A172,'Data shares'!$C:$FA,78)</f>
        <v>6020250</v>
      </c>
      <c r="O172" s="87">
        <f>VLOOKUP($A172,'Data shares'!$C:$FA,81)</f>
        <v>1.1299999999999999E-2</v>
      </c>
    </row>
    <row r="173" spans="1:15" x14ac:dyDescent="0.25">
      <c r="A173" s="100" t="str">
        <f>'Data Vlaue (Cr)'!C168</f>
        <v>PRESTIGE</v>
      </c>
      <c r="B173" s="82">
        <f>VLOOKUP(A173,'Data shares'!$C$2:$CV$214,98,0)</f>
        <v>7009650</v>
      </c>
      <c r="C173" s="82">
        <f>VLOOKUP(A173,'Data shares'!$C$2:$CX$214,100,0)</f>
        <v>193050</v>
      </c>
      <c r="D173" s="141">
        <f>VLOOKUP(A173,'Data shares'!$C$2:$CY$537,101,0)</f>
        <v>2.8299999999999999E-2</v>
      </c>
      <c r="E173" s="86">
        <f>VLOOKUP($A173,'Data shares'!$C:$FA,74)</f>
        <v>3887100</v>
      </c>
      <c r="F173" s="86">
        <f>VLOOKUP($A173,'Data shares'!$C:$FA,76)</f>
        <v>124200</v>
      </c>
      <c r="G173" s="87">
        <f>VLOOKUP(A173,'Data shares'!$C$2:$CA$214,77,0)</f>
        <v>3.3000000000000002E-2</v>
      </c>
      <c r="H173" s="86">
        <f>VLOOKUP($A173,'Data shares'!$C:$FA,90)</f>
        <v>1773450</v>
      </c>
      <c r="I173" s="86">
        <f>VLOOKUP($A173,'Data shares'!$C:$FA,92)</f>
        <v>48150</v>
      </c>
      <c r="J173" s="87">
        <f>VLOOKUP($A173,'Data shares'!$C:$FA,93)</f>
        <v>2.7900000000000001E-2</v>
      </c>
      <c r="K173" s="86">
        <f>VLOOKUP($A173,'Data shares'!$C:$FA,94)</f>
        <v>1349100</v>
      </c>
      <c r="L173" s="86">
        <f>VLOOKUP($A173,'Data shares'!$C:$FA,96)</f>
        <v>20700</v>
      </c>
      <c r="M173" s="87">
        <f>VLOOKUP($A173,'Data shares'!$C:$FA,97)</f>
        <v>1.5599999999999999E-2</v>
      </c>
      <c r="N173" s="86">
        <f>VLOOKUP($A173,'Data shares'!$C:$FA,78)</f>
        <v>3802050</v>
      </c>
      <c r="O173" s="87">
        <f>VLOOKUP($A173,'Data shares'!$C:$FA,81)</f>
        <v>3.2599999999999997E-2</v>
      </c>
    </row>
    <row r="174" spans="1:15" x14ac:dyDescent="0.25">
      <c r="A174" s="100" t="str">
        <f>'Data Vlaue (Cr)'!C169</f>
        <v>RBLBANK</v>
      </c>
      <c r="B174" s="82">
        <f>VLOOKUP(A174,'Data shares'!$C$2:$CV$214,98,0)</f>
        <v>121123075</v>
      </c>
      <c r="C174" s="82">
        <f>VLOOKUP(A174,'Data shares'!$C$2:$CX$214,100,0)</f>
        <v>-495300</v>
      </c>
      <c r="D174" s="141">
        <f>VLOOKUP(A174,'Data shares'!$C$2:$CY$537,101,0)</f>
        <v>-4.1000000000000003E-3</v>
      </c>
      <c r="E174" s="86">
        <f>VLOOKUP($A174,'Data shares'!$C:$FA,74)</f>
        <v>74676000</v>
      </c>
      <c r="F174" s="86">
        <f>VLOOKUP($A174,'Data shares'!$C:$FA,76)</f>
        <v>254000</v>
      </c>
      <c r="G174" s="87">
        <f>VLOOKUP(A174,'Data shares'!$C$2:$CA$214,77,0)</f>
        <v>3.3999999999999998E-3</v>
      </c>
      <c r="H174" s="86">
        <f>VLOOKUP($A174,'Data shares'!$C:$FA,90)</f>
        <v>27657425</v>
      </c>
      <c r="I174" s="86">
        <f>VLOOKUP($A174,'Data shares'!$C:$FA,92)</f>
        <v>-558800</v>
      </c>
      <c r="J174" s="87">
        <f>VLOOKUP($A174,'Data shares'!$C:$FA,93)</f>
        <v>-1.9800000000000002E-2</v>
      </c>
      <c r="K174" s="86">
        <f>VLOOKUP($A174,'Data shares'!$C:$FA,94)</f>
        <v>18789650</v>
      </c>
      <c r="L174" s="86">
        <f>VLOOKUP($A174,'Data shares'!$C:$FA,96)</f>
        <v>-190500</v>
      </c>
      <c r="M174" s="87">
        <f>VLOOKUP($A174,'Data shares'!$C:$FA,97)</f>
        <v>-0.01</v>
      </c>
      <c r="N174" s="86">
        <f>VLOOKUP($A174,'Data shares'!$C:$FA,78)</f>
        <v>73107550</v>
      </c>
      <c r="O174" s="87">
        <f>VLOOKUP($A174,'Data shares'!$C:$FA,81)</f>
        <v>-6.9999999999999999E-4</v>
      </c>
    </row>
    <row r="175" spans="1:15" x14ac:dyDescent="0.25">
      <c r="A175" s="100" t="str">
        <f>'Data Vlaue (Cr)'!C170</f>
        <v>RECLTD</v>
      </c>
      <c r="B175" s="82">
        <f>VLOOKUP(A175,'Data shares'!$C$2:$CV$214,98,0)</f>
        <v>174952400</v>
      </c>
      <c r="C175" s="82">
        <f>VLOOKUP(A175,'Data shares'!$C$2:$CX$214,100,0)</f>
        <v>1831200</v>
      </c>
      <c r="D175" s="141">
        <f>VLOOKUP(A175,'Data shares'!$C$2:$CY$537,101,0)</f>
        <v>1.06E-2</v>
      </c>
      <c r="E175" s="86">
        <f>VLOOKUP($A175,'Data shares'!$C:$FA,74)</f>
        <v>93130800</v>
      </c>
      <c r="F175" s="86">
        <f>VLOOKUP($A175,'Data shares'!$C:$FA,76)</f>
        <v>618800</v>
      </c>
      <c r="G175" s="87">
        <f>VLOOKUP(A175,'Data shares'!$C$2:$CA$214,77,0)</f>
        <v>6.7000000000000002E-3</v>
      </c>
      <c r="H175" s="86">
        <f>VLOOKUP($A175,'Data shares'!$C:$FA,90)</f>
        <v>51619400</v>
      </c>
      <c r="I175" s="86">
        <f>VLOOKUP($A175,'Data shares'!$C:$FA,92)</f>
        <v>879200</v>
      </c>
      <c r="J175" s="87">
        <f>VLOOKUP($A175,'Data shares'!$C:$FA,93)</f>
        <v>1.7299999999999999E-2</v>
      </c>
      <c r="K175" s="86">
        <f>VLOOKUP($A175,'Data shares'!$C:$FA,94)</f>
        <v>30202200</v>
      </c>
      <c r="L175" s="86">
        <f>VLOOKUP($A175,'Data shares'!$C:$FA,96)</f>
        <v>333200</v>
      </c>
      <c r="M175" s="87">
        <f>VLOOKUP($A175,'Data shares'!$C:$FA,97)</f>
        <v>1.12E-2</v>
      </c>
      <c r="N175" s="86">
        <f>VLOOKUP($A175,'Data shares'!$C:$FA,78)</f>
        <v>82887000</v>
      </c>
      <c r="O175" s="87">
        <f>VLOOKUP($A175,'Data shares'!$C:$FA,81)</f>
        <v>-1E-3</v>
      </c>
    </row>
    <row r="176" spans="1:15" x14ac:dyDescent="0.25">
      <c r="A176" s="100" t="str">
        <f>'Data Vlaue (Cr)'!C171</f>
        <v>RELIANCE</v>
      </c>
      <c r="B176" s="82">
        <f>VLOOKUP(A176,'Data shares'!$C$2:$CV$214,98,0)</f>
        <v>194997500</v>
      </c>
      <c r="C176" s="82">
        <f>VLOOKUP(A176,'Data shares'!$C$2:$CX$214,100,0)</f>
        <v>-792500</v>
      </c>
      <c r="D176" s="141">
        <f>VLOOKUP(A176,'Data shares'!$C$2:$CY$537,101,0)</f>
        <v>-4.0000000000000001E-3</v>
      </c>
      <c r="E176" s="86">
        <f>VLOOKUP($A176,'Data shares'!$C:$FA,74)</f>
        <v>106957000</v>
      </c>
      <c r="F176" s="86">
        <f>VLOOKUP($A176,'Data shares'!$C:$FA,76)</f>
        <v>-212500</v>
      </c>
      <c r="G176" s="87">
        <f>VLOOKUP(A176,'Data shares'!$C$2:$CA$214,77,0)</f>
        <v>-2E-3</v>
      </c>
      <c r="H176" s="86">
        <f>VLOOKUP($A176,'Data shares'!$C:$FA,90)</f>
        <v>55153500</v>
      </c>
      <c r="I176" s="86">
        <f>VLOOKUP($A176,'Data shares'!$C:$FA,92)</f>
        <v>-1820500</v>
      </c>
      <c r="J176" s="87">
        <f>VLOOKUP($A176,'Data shares'!$C:$FA,93)</f>
        <v>-3.2000000000000001E-2</v>
      </c>
      <c r="K176" s="86">
        <f>VLOOKUP($A176,'Data shares'!$C:$FA,94)</f>
        <v>32887000</v>
      </c>
      <c r="L176" s="86">
        <f>VLOOKUP($A176,'Data shares'!$C:$FA,96)</f>
        <v>1240500</v>
      </c>
      <c r="M176" s="87">
        <f>VLOOKUP($A176,'Data shares'!$C:$FA,97)</f>
        <v>3.9199999999999999E-2</v>
      </c>
      <c r="N176" s="86">
        <f>VLOOKUP($A176,'Data shares'!$C:$FA,78)</f>
        <v>92835500</v>
      </c>
      <c r="O176" s="87">
        <f>VLOOKUP($A176,'Data shares'!$C:$FA,81)</f>
        <v>-3.8999999999999998E-3</v>
      </c>
    </row>
    <row r="177" spans="1:15" x14ac:dyDescent="0.25">
      <c r="A177" s="100" t="str">
        <f>'Data Vlaue (Cr)'!C172</f>
        <v>RVNL</v>
      </c>
      <c r="B177" s="82">
        <f>VLOOKUP(A177,'Data shares'!$C$2:$CV$214,98,0)</f>
        <v>164536825</v>
      </c>
      <c r="C177" s="82">
        <f>VLOOKUP(A177,'Data shares'!$C$2:$CX$214,100,0)</f>
        <v>13725</v>
      </c>
      <c r="D177" s="141">
        <f>VLOOKUP(A177,'Data shares'!$C$2:$CY$537,101,0)</f>
        <v>1E-4</v>
      </c>
      <c r="E177" s="86">
        <f>VLOOKUP($A177,'Data shares'!$C:$FA,74)</f>
        <v>74755500</v>
      </c>
      <c r="F177" s="86">
        <f>VLOOKUP($A177,'Data shares'!$C:$FA,76)</f>
        <v>709125</v>
      </c>
      <c r="G177" s="87">
        <f>VLOOKUP(A177,'Data shares'!$C$2:$CA$214,77,0)</f>
        <v>9.5999999999999992E-3</v>
      </c>
      <c r="H177" s="86">
        <f>VLOOKUP($A177,'Data shares'!$C:$FA,90)</f>
        <v>66708075</v>
      </c>
      <c r="I177" s="86">
        <f>VLOOKUP($A177,'Data shares'!$C:$FA,92)</f>
        <v>-972950</v>
      </c>
      <c r="J177" s="87">
        <f>VLOOKUP($A177,'Data shares'!$C:$FA,93)</f>
        <v>-1.44E-2</v>
      </c>
      <c r="K177" s="86">
        <f>VLOOKUP($A177,'Data shares'!$C:$FA,94)</f>
        <v>23073250</v>
      </c>
      <c r="L177" s="86">
        <f>VLOOKUP($A177,'Data shares'!$C:$FA,96)</f>
        <v>277550</v>
      </c>
      <c r="M177" s="87">
        <f>VLOOKUP($A177,'Data shares'!$C:$FA,97)</f>
        <v>1.2200000000000001E-2</v>
      </c>
      <c r="N177" s="86">
        <f>VLOOKUP($A177,'Data shares'!$C:$FA,78)</f>
        <v>60266475</v>
      </c>
      <c r="O177" s="87">
        <f>VLOOKUP($A177,'Data shares'!$C:$FA,81)</f>
        <v>4.5999999999999999E-3</v>
      </c>
    </row>
    <row r="178" spans="1:15" x14ac:dyDescent="0.25">
      <c r="A178" s="100" t="str">
        <f>'Data Vlaue (Cr)'!C173</f>
        <v>SAIL</v>
      </c>
      <c r="B178" s="82">
        <f>VLOOKUP(A178,'Data shares'!$C$2:$CV$214,98,0)</f>
        <v>266146900</v>
      </c>
      <c r="C178" s="82">
        <f>VLOOKUP(A178,'Data shares'!$C$2:$CX$214,100,0)</f>
        <v>-3821100</v>
      </c>
      <c r="D178" s="141">
        <f>VLOOKUP(A178,'Data shares'!$C$2:$CY$537,101,0)</f>
        <v>-1.4200000000000001E-2</v>
      </c>
      <c r="E178" s="86">
        <f>VLOOKUP($A178,'Data shares'!$C:$FA,74)</f>
        <v>197954600</v>
      </c>
      <c r="F178" s="86">
        <f>VLOOKUP($A178,'Data shares'!$C:$FA,76)</f>
        <v>-2143200</v>
      </c>
      <c r="G178" s="87">
        <f>VLOOKUP(A178,'Data shares'!$C$2:$CA$214,77,0)</f>
        <v>-1.0699999999999999E-2</v>
      </c>
      <c r="H178" s="86">
        <f>VLOOKUP($A178,'Data shares'!$C:$FA,90)</f>
        <v>37994800</v>
      </c>
      <c r="I178" s="86">
        <f>VLOOKUP($A178,'Data shares'!$C:$FA,92)</f>
        <v>-1254900</v>
      </c>
      <c r="J178" s="87">
        <f>VLOOKUP($A178,'Data shares'!$C:$FA,93)</f>
        <v>-3.2000000000000001E-2</v>
      </c>
      <c r="K178" s="86">
        <f>VLOOKUP($A178,'Data shares'!$C:$FA,94)</f>
        <v>30197500</v>
      </c>
      <c r="L178" s="86">
        <f>VLOOKUP($A178,'Data shares'!$C:$FA,96)</f>
        <v>-423000</v>
      </c>
      <c r="M178" s="87">
        <f>VLOOKUP($A178,'Data shares'!$C:$FA,97)</f>
        <v>-1.38E-2</v>
      </c>
      <c r="N178" s="86">
        <f>VLOOKUP($A178,'Data shares'!$C:$FA,78)</f>
        <v>187577000</v>
      </c>
      <c r="O178" s="87">
        <f>VLOOKUP($A178,'Data shares'!$C:$FA,81)</f>
        <v>-1.03E-2</v>
      </c>
    </row>
    <row r="179" spans="1:15" x14ac:dyDescent="0.25">
      <c r="A179" s="100" t="str">
        <f>'Data Vlaue (Cr)'!C174</f>
        <v>SAMMAANCAP</v>
      </c>
      <c r="B179" s="82">
        <f>VLOOKUP(A179,'Data shares'!$C$2:$CV$214,98,0)</f>
        <v>162647500</v>
      </c>
      <c r="C179" s="82">
        <f>VLOOKUP(A179,'Data shares'!$C$2:$CX$214,100,0)</f>
        <v>-473000</v>
      </c>
      <c r="D179" s="141">
        <f>VLOOKUP(A179,'Data shares'!$C$2:$CY$537,101,0)</f>
        <v>-2.8999999999999998E-3</v>
      </c>
      <c r="E179" s="86">
        <f>VLOOKUP($A179,'Data shares'!$C:$FA,74)</f>
        <v>114930400</v>
      </c>
      <c r="F179" s="86">
        <f>VLOOKUP($A179,'Data shares'!$C:$FA,76)</f>
        <v>-301000</v>
      </c>
      <c r="G179" s="87">
        <f>VLOOKUP(A179,'Data shares'!$C$2:$CA$214,77,0)</f>
        <v>-2.5999999999999999E-3</v>
      </c>
      <c r="H179" s="86">
        <f>VLOOKUP($A179,'Data shares'!$C:$FA,90)</f>
        <v>30925600</v>
      </c>
      <c r="I179" s="86">
        <f>VLOOKUP($A179,'Data shares'!$C:$FA,92)</f>
        <v>-90300</v>
      </c>
      <c r="J179" s="87">
        <f>VLOOKUP($A179,'Data shares'!$C:$FA,93)</f>
        <v>-2.8999999999999998E-3</v>
      </c>
      <c r="K179" s="86">
        <f>VLOOKUP($A179,'Data shares'!$C:$FA,94)</f>
        <v>16791500</v>
      </c>
      <c r="L179" s="86">
        <f>VLOOKUP($A179,'Data shares'!$C:$FA,96)</f>
        <v>-81700</v>
      </c>
      <c r="M179" s="87">
        <f>VLOOKUP($A179,'Data shares'!$C:$FA,97)</f>
        <v>-4.7999999999999996E-3</v>
      </c>
      <c r="N179" s="86">
        <f>VLOOKUP($A179,'Data shares'!$C:$FA,78)</f>
        <v>108256800</v>
      </c>
      <c r="O179" s="87">
        <f>VLOOKUP($A179,'Data shares'!$C:$FA,81)</f>
        <v>-2.8E-3</v>
      </c>
    </row>
    <row r="180" spans="1:15" x14ac:dyDescent="0.25">
      <c r="A180" s="100" t="str">
        <f>'Data Vlaue (Cr)'!C175</f>
        <v>SBICARD</v>
      </c>
      <c r="B180" s="82">
        <f>VLOOKUP(A180,'Data shares'!$C$2:$CV$214,98,0)</f>
        <v>34873600</v>
      </c>
      <c r="C180" s="82">
        <f>VLOOKUP(A180,'Data shares'!$C$2:$CX$214,100,0)</f>
        <v>51200</v>
      </c>
      <c r="D180" s="141">
        <f>VLOOKUP(A180,'Data shares'!$C$2:$CY$537,101,0)</f>
        <v>1.5E-3</v>
      </c>
      <c r="E180" s="86">
        <f>VLOOKUP($A180,'Data shares'!$C:$FA,74)</f>
        <v>21128000</v>
      </c>
      <c r="F180" s="86">
        <f>VLOOKUP($A180,'Data shares'!$C:$FA,76)</f>
        <v>350400</v>
      </c>
      <c r="G180" s="87">
        <f>VLOOKUP(A180,'Data shares'!$C$2:$CA$214,77,0)</f>
        <v>1.6899999999999998E-2</v>
      </c>
      <c r="H180" s="86">
        <f>VLOOKUP($A180,'Data shares'!$C:$FA,90)</f>
        <v>8686400</v>
      </c>
      <c r="I180" s="86">
        <f>VLOOKUP($A180,'Data shares'!$C:$FA,92)</f>
        <v>-275200</v>
      </c>
      <c r="J180" s="87">
        <f>VLOOKUP($A180,'Data shares'!$C:$FA,93)</f>
        <v>-3.0700000000000002E-2</v>
      </c>
      <c r="K180" s="86">
        <f>VLOOKUP($A180,'Data shares'!$C:$FA,94)</f>
        <v>5059200</v>
      </c>
      <c r="L180" s="86">
        <f>VLOOKUP($A180,'Data shares'!$C:$FA,96)</f>
        <v>-24000</v>
      </c>
      <c r="M180" s="87">
        <f>VLOOKUP($A180,'Data shares'!$C:$FA,97)</f>
        <v>-4.7000000000000002E-3</v>
      </c>
      <c r="N180" s="86">
        <f>VLOOKUP($A180,'Data shares'!$C:$FA,78)</f>
        <v>18705600</v>
      </c>
      <c r="O180" s="87">
        <f>VLOOKUP($A180,'Data shares'!$C:$FA,81)</f>
        <v>4.0000000000000002E-4</v>
      </c>
    </row>
    <row r="181" spans="1:15" x14ac:dyDescent="0.25">
      <c r="A181" s="100" t="str">
        <f>'Data Vlaue (Cr)'!C176</f>
        <v>SBILIFE</v>
      </c>
      <c r="B181" s="82">
        <f>VLOOKUP(A181,'Data shares'!$C$2:$CV$214,98,0)</f>
        <v>17445750</v>
      </c>
      <c r="C181" s="82">
        <f>VLOOKUP(A181,'Data shares'!$C$2:$CX$214,100,0)</f>
        <v>-217125</v>
      </c>
      <c r="D181" s="141">
        <f>VLOOKUP(A181,'Data shares'!$C$2:$CY$537,101,0)</f>
        <v>-1.23E-2</v>
      </c>
      <c r="E181" s="86">
        <f>VLOOKUP($A181,'Data shares'!$C:$FA,74)</f>
        <v>10081125</v>
      </c>
      <c r="F181" s="86">
        <f>VLOOKUP($A181,'Data shares'!$C:$FA,76)</f>
        <v>-103875</v>
      </c>
      <c r="G181" s="87">
        <f>VLOOKUP(A181,'Data shares'!$C$2:$CA$214,77,0)</f>
        <v>-1.0200000000000001E-2</v>
      </c>
      <c r="H181" s="86">
        <f>VLOOKUP($A181,'Data shares'!$C:$FA,90)</f>
        <v>5362125</v>
      </c>
      <c r="I181" s="86">
        <f>VLOOKUP($A181,'Data shares'!$C:$FA,92)</f>
        <v>-70875</v>
      </c>
      <c r="J181" s="87">
        <f>VLOOKUP($A181,'Data shares'!$C:$FA,93)</f>
        <v>-1.2999999999999999E-2</v>
      </c>
      <c r="K181" s="86">
        <f>VLOOKUP($A181,'Data shares'!$C:$FA,94)</f>
        <v>2002500</v>
      </c>
      <c r="L181" s="86">
        <f>VLOOKUP($A181,'Data shares'!$C:$FA,96)</f>
        <v>-42375</v>
      </c>
      <c r="M181" s="87">
        <f>VLOOKUP($A181,'Data shares'!$C:$FA,97)</f>
        <v>-2.07E-2</v>
      </c>
      <c r="N181" s="86">
        <f>VLOOKUP($A181,'Data shares'!$C:$FA,78)</f>
        <v>9849000</v>
      </c>
      <c r="O181" s="87">
        <f>VLOOKUP($A181,'Data shares'!$C:$FA,81)</f>
        <v>-9.7000000000000003E-3</v>
      </c>
    </row>
    <row r="182" spans="1:15" x14ac:dyDescent="0.25">
      <c r="A182" s="100" t="str">
        <f>'Data Vlaue (Cr)'!C177</f>
        <v>SBIN</v>
      </c>
      <c r="B182" s="82">
        <f>VLOOKUP(A182,'Data shares'!$C$2:$CV$214,98,0)</f>
        <v>214354500</v>
      </c>
      <c r="C182" s="82">
        <f>VLOOKUP(A182,'Data shares'!$C$2:$CX$214,100,0)</f>
        <v>22011000</v>
      </c>
      <c r="D182" s="141">
        <f>VLOOKUP(A182,'Data shares'!$C$2:$CY$537,101,0)</f>
        <v>0.1144</v>
      </c>
      <c r="E182" s="86">
        <f>VLOOKUP($A182,'Data shares'!$C:$FA,74)</f>
        <v>65352000</v>
      </c>
      <c r="F182" s="86">
        <f>VLOOKUP($A182,'Data shares'!$C:$FA,76)</f>
        <v>2561250</v>
      </c>
      <c r="G182" s="87">
        <f>VLOOKUP(A182,'Data shares'!$C$2:$CA$214,77,0)</f>
        <v>4.0800000000000003E-2</v>
      </c>
      <c r="H182" s="86">
        <f>VLOOKUP($A182,'Data shares'!$C:$FA,90)</f>
        <v>64020750</v>
      </c>
      <c r="I182" s="86">
        <f>VLOOKUP($A182,'Data shares'!$C:$FA,92)</f>
        <v>3040500</v>
      </c>
      <c r="J182" s="87">
        <f>VLOOKUP($A182,'Data shares'!$C:$FA,93)</f>
        <v>4.99E-2</v>
      </c>
      <c r="K182" s="86">
        <f>VLOOKUP($A182,'Data shares'!$C:$FA,94)</f>
        <v>84981750</v>
      </c>
      <c r="L182" s="86">
        <f>VLOOKUP($A182,'Data shares'!$C:$FA,96)</f>
        <v>16409250</v>
      </c>
      <c r="M182" s="87">
        <f>VLOOKUP($A182,'Data shares'!$C:$FA,97)</f>
        <v>0.23930000000000001</v>
      </c>
      <c r="N182" s="86">
        <f>VLOOKUP($A182,'Data shares'!$C:$FA,78)</f>
        <v>56680500</v>
      </c>
      <c r="O182" s="87">
        <f>VLOOKUP($A182,'Data shares'!$C:$FA,81)</f>
        <v>1.52E-2</v>
      </c>
    </row>
    <row r="183" spans="1:15" x14ac:dyDescent="0.25">
      <c r="A183" s="100" t="str">
        <f>'Data Vlaue (Cr)'!C178</f>
        <v>SHREECEM</v>
      </c>
      <c r="B183" s="82">
        <f>VLOOKUP(A183,'Data shares'!$C$2:$CV$214,98,0)</f>
        <v>556300</v>
      </c>
      <c r="C183" s="82">
        <f>VLOOKUP(A183,'Data shares'!$C$2:$CX$214,100,0)</f>
        <v>-5775</v>
      </c>
      <c r="D183" s="141">
        <f>VLOOKUP(A183,'Data shares'!$C$2:$CY$537,101,0)</f>
        <v>-1.03E-2</v>
      </c>
      <c r="E183" s="86">
        <f>VLOOKUP($A183,'Data shares'!$C:$FA,74)</f>
        <v>356500</v>
      </c>
      <c r="F183" s="86">
        <f>VLOOKUP($A183,'Data shares'!$C:$FA,76)</f>
        <v>8075</v>
      </c>
      <c r="G183" s="87">
        <f>VLOOKUP(A183,'Data shares'!$C$2:$CA$214,77,0)</f>
        <v>2.3199999999999998E-2</v>
      </c>
      <c r="H183" s="86">
        <f>VLOOKUP($A183,'Data shares'!$C:$FA,90)</f>
        <v>139975</v>
      </c>
      <c r="I183" s="86">
        <f>VLOOKUP($A183,'Data shares'!$C:$FA,92)</f>
        <v>-9025</v>
      </c>
      <c r="J183" s="87">
        <f>VLOOKUP($A183,'Data shares'!$C:$FA,93)</f>
        <v>-6.0600000000000001E-2</v>
      </c>
      <c r="K183" s="86">
        <f>VLOOKUP($A183,'Data shares'!$C:$FA,94)</f>
        <v>59825</v>
      </c>
      <c r="L183" s="86">
        <f>VLOOKUP($A183,'Data shares'!$C:$FA,96)</f>
        <v>-4825</v>
      </c>
      <c r="M183" s="87">
        <f>VLOOKUP($A183,'Data shares'!$C:$FA,97)</f>
        <v>-7.46E-2</v>
      </c>
      <c r="N183" s="86">
        <f>VLOOKUP($A183,'Data shares'!$C:$FA,78)</f>
        <v>334200</v>
      </c>
      <c r="O183" s="87">
        <f>VLOOKUP($A183,'Data shares'!$C:$FA,81)</f>
        <v>6.8999999999999999E-3</v>
      </c>
    </row>
    <row r="184" spans="1:15" x14ac:dyDescent="0.25">
      <c r="A184" s="100" t="str">
        <f>'Data Vlaue (Cr)'!C179</f>
        <v>SHRIRAMFIN</v>
      </c>
      <c r="B184" s="82">
        <f>VLOOKUP(A184,'Data shares'!$C$2:$CV$214,98,0)</f>
        <v>58011525</v>
      </c>
      <c r="C184" s="82">
        <f>VLOOKUP(A184,'Data shares'!$C$2:$CX$214,100,0)</f>
        <v>-729300</v>
      </c>
      <c r="D184" s="141">
        <f>VLOOKUP(A184,'Data shares'!$C$2:$CY$537,101,0)</f>
        <v>-1.24E-2</v>
      </c>
      <c r="E184" s="86">
        <f>VLOOKUP($A184,'Data shares'!$C:$FA,74)</f>
        <v>37643925</v>
      </c>
      <c r="F184" s="86">
        <f>VLOOKUP($A184,'Data shares'!$C:$FA,76)</f>
        <v>-318450</v>
      </c>
      <c r="G184" s="87">
        <f>VLOOKUP(A184,'Data shares'!$C$2:$CA$214,77,0)</f>
        <v>-8.3999999999999995E-3</v>
      </c>
      <c r="H184" s="86">
        <f>VLOOKUP($A184,'Data shares'!$C:$FA,90)</f>
        <v>11368500</v>
      </c>
      <c r="I184" s="86">
        <f>VLOOKUP($A184,'Data shares'!$C:$FA,92)</f>
        <v>-617100</v>
      </c>
      <c r="J184" s="87">
        <f>VLOOKUP($A184,'Data shares'!$C:$FA,93)</f>
        <v>-5.1499999999999997E-2</v>
      </c>
      <c r="K184" s="86">
        <f>VLOOKUP($A184,'Data shares'!$C:$FA,94)</f>
        <v>8999100</v>
      </c>
      <c r="L184" s="86">
        <f>VLOOKUP($A184,'Data shares'!$C:$FA,96)</f>
        <v>206250</v>
      </c>
      <c r="M184" s="87">
        <f>VLOOKUP($A184,'Data shares'!$C:$FA,97)</f>
        <v>2.35E-2</v>
      </c>
      <c r="N184" s="86">
        <f>VLOOKUP($A184,'Data shares'!$C:$FA,78)</f>
        <v>36357750</v>
      </c>
      <c r="O184" s="87">
        <f>VLOOKUP($A184,'Data shares'!$C:$FA,81)</f>
        <v>-8.0999999999999996E-3</v>
      </c>
    </row>
    <row r="185" spans="1:15" x14ac:dyDescent="0.25">
      <c r="A185" s="100" t="str">
        <f>'Data Vlaue (Cr)'!C180</f>
        <v>SIEMENS</v>
      </c>
      <c r="B185" s="82">
        <f>VLOOKUP(A185,'Data shares'!$C$2:$CV$214,98,0)</f>
        <v>5534900</v>
      </c>
      <c r="C185" s="82">
        <f>VLOOKUP(A185,'Data shares'!$C$2:$CX$214,100,0)</f>
        <v>-101500</v>
      </c>
      <c r="D185" s="141">
        <f>VLOOKUP(A185,'Data shares'!$C$2:$CY$537,101,0)</f>
        <v>-1.7999999999999999E-2</v>
      </c>
      <c r="E185" s="86">
        <f>VLOOKUP($A185,'Data shares'!$C:$FA,74)</f>
        <v>2461200</v>
      </c>
      <c r="F185" s="86">
        <f>VLOOKUP($A185,'Data shares'!$C:$FA,76)</f>
        <v>-72275</v>
      </c>
      <c r="G185" s="87">
        <f>VLOOKUP(A185,'Data shares'!$C$2:$CA$214,77,0)</f>
        <v>-2.8500000000000001E-2</v>
      </c>
      <c r="H185" s="86">
        <f>VLOOKUP($A185,'Data shares'!$C:$FA,90)</f>
        <v>1956850</v>
      </c>
      <c r="I185" s="86">
        <f>VLOOKUP($A185,'Data shares'!$C:$FA,92)</f>
        <v>-11550</v>
      </c>
      <c r="J185" s="87">
        <f>VLOOKUP($A185,'Data shares'!$C:$FA,93)</f>
        <v>-5.8999999999999999E-3</v>
      </c>
      <c r="K185" s="86">
        <f>VLOOKUP($A185,'Data shares'!$C:$FA,94)</f>
        <v>1116850</v>
      </c>
      <c r="L185" s="86">
        <f>VLOOKUP($A185,'Data shares'!$C:$FA,96)</f>
        <v>-17675</v>
      </c>
      <c r="M185" s="87">
        <f>VLOOKUP($A185,'Data shares'!$C:$FA,97)</f>
        <v>-1.5599999999999999E-2</v>
      </c>
      <c r="N185" s="86">
        <f>VLOOKUP($A185,'Data shares'!$C:$FA,78)</f>
        <v>2363200</v>
      </c>
      <c r="O185" s="87">
        <f>VLOOKUP($A185,'Data shares'!$C:$FA,81)</f>
        <v>-3.3599999999999998E-2</v>
      </c>
    </row>
    <row r="186" spans="1:15" x14ac:dyDescent="0.25">
      <c r="A186" s="100" t="str">
        <f>'Data Vlaue (Cr)'!C181</f>
        <v>SOLARINDS</v>
      </c>
      <c r="B186" s="82">
        <f>VLOOKUP(A186,'Data shares'!$C$2:$CV$214,98,0)</f>
        <v>1760500</v>
      </c>
      <c r="C186" s="82">
        <f>VLOOKUP(A186,'Data shares'!$C$2:$CX$214,100,0)</f>
        <v>-19750</v>
      </c>
      <c r="D186" s="141">
        <f>VLOOKUP(A186,'Data shares'!$C$2:$CY$537,101,0)</f>
        <v>-1.11E-2</v>
      </c>
      <c r="E186" s="86">
        <f>VLOOKUP($A186,'Data shares'!$C:$FA,74)</f>
        <v>947600</v>
      </c>
      <c r="F186" s="86">
        <f>VLOOKUP($A186,'Data shares'!$C:$FA,76)</f>
        <v>-12000</v>
      </c>
      <c r="G186" s="87">
        <f>VLOOKUP(A186,'Data shares'!$C$2:$CA$214,77,0)</f>
        <v>-1.2500000000000001E-2</v>
      </c>
      <c r="H186" s="86">
        <f>VLOOKUP($A186,'Data shares'!$C:$FA,90)</f>
        <v>551200</v>
      </c>
      <c r="I186" s="86">
        <f>VLOOKUP($A186,'Data shares'!$C:$FA,92)</f>
        <v>-5600</v>
      </c>
      <c r="J186" s="87">
        <f>VLOOKUP($A186,'Data shares'!$C:$FA,93)</f>
        <v>-1.01E-2</v>
      </c>
      <c r="K186" s="86">
        <f>VLOOKUP($A186,'Data shares'!$C:$FA,94)</f>
        <v>261700</v>
      </c>
      <c r="L186" s="86">
        <f>VLOOKUP($A186,'Data shares'!$C:$FA,96)</f>
        <v>-2150</v>
      </c>
      <c r="M186" s="87">
        <f>VLOOKUP($A186,'Data shares'!$C:$FA,97)</f>
        <v>-8.0999999999999996E-3</v>
      </c>
      <c r="N186" s="86">
        <f>VLOOKUP($A186,'Data shares'!$C:$FA,78)</f>
        <v>842900</v>
      </c>
      <c r="O186" s="87">
        <f>VLOOKUP($A186,'Data shares'!$C:$FA,81)</f>
        <v>-1.55E-2</v>
      </c>
    </row>
    <row r="187" spans="1:15" x14ac:dyDescent="0.25">
      <c r="A187" s="100" t="str">
        <f>'Data Vlaue (Cr)'!C182</f>
        <v>SONACOMS</v>
      </c>
      <c r="B187" s="82">
        <f>VLOOKUP(A187,'Data shares'!$C$2:$CV$214,98,0)</f>
        <v>23195375</v>
      </c>
      <c r="C187" s="82">
        <f>VLOOKUP(A187,'Data shares'!$C$2:$CX$214,100,0)</f>
        <v>581875</v>
      </c>
      <c r="D187" s="141">
        <f>VLOOKUP(A187,'Data shares'!$C$2:$CY$537,101,0)</f>
        <v>2.5700000000000001E-2</v>
      </c>
      <c r="E187" s="86">
        <f>VLOOKUP($A187,'Data shares'!$C:$FA,74)</f>
        <v>13361075</v>
      </c>
      <c r="F187" s="86">
        <f>VLOOKUP($A187,'Data shares'!$C:$FA,76)</f>
        <v>471625</v>
      </c>
      <c r="G187" s="87">
        <f>VLOOKUP(A187,'Data shares'!$C$2:$CA$214,77,0)</f>
        <v>3.6600000000000001E-2</v>
      </c>
      <c r="H187" s="86">
        <f>VLOOKUP($A187,'Data shares'!$C:$FA,90)</f>
        <v>5924100</v>
      </c>
      <c r="I187" s="86">
        <f>VLOOKUP($A187,'Data shares'!$C:$FA,92)</f>
        <v>68600</v>
      </c>
      <c r="J187" s="87">
        <f>VLOOKUP($A187,'Data shares'!$C:$FA,93)</f>
        <v>1.17E-2</v>
      </c>
      <c r="K187" s="86">
        <f>VLOOKUP($A187,'Data shares'!$C:$FA,94)</f>
        <v>3910200</v>
      </c>
      <c r="L187" s="86">
        <f>VLOOKUP($A187,'Data shares'!$C:$FA,96)</f>
        <v>41650</v>
      </c>
      <c r="M187" s="87">
        <f>VLOOKUP($A187,'Data shares'!$C:$FA,97)</f>
        <v>1.0800000000000001E-2</v>
      </c>
      <c r="N187" s="86">
        <f>VLOOKUP($A187,'Data shares'!$C:$FA,78)</f>
        <v>13101375</v>
      </c>
      <c r="O187" s="87">
        <f>VLOOKUP($A187,'Data shares'!$C:$FA,81)</f>
        <v>4.0599999999999997E-2</v>
      </c>
    </row>
    <row r="188" spans="1:15" x14ac:dyDescent="0.25">
      <c r="A188" s="100" t="str">
        <f>'Data Vlaue (Cr)'!C183</f>
        <v>SRF</v>
      </c>
      <c r="B188" s="82">
        <f>VLOOKUP(A188,'Data shares'!$C$2:$CV$214,98,0)</f>
        <v>5813800</v>
      </c>
      <c r="C188" s="82">
        <f>VLOOKUP(A188,'Data shares'!$C$2:$CX$214,100,0)</f>
        <v>85800</v>
      </c>
      <c r="D188" s="141">
        <f>VLOOKUP(A188,'Data shares'!$C$2:$CY$537,101,0)</f>
        <v>1.4999999999999999E-2</v>
      </c>
      <c r="E188" s="86">
        <f>VLOOKUP($A188,'Data shares'!$C:$FA,74)</f>
        <v>3717600</v>
      </c>
      <c r="F188" s="86">
        <f>VLOOKUP($A188,'Data shares'!$C:$FA,76)</f>
        <v>6600</v>
      </c>
      <c r="G188" s="87">
        <f>VLOOKUP(A188,'Data shares'!$C$2:$CA$214,77,0)</f>
        <v>1.8E-3</v>
      </c>
      <c r="H188" s="86">
        <f>VLOOKUP($A188,'Data shares'!$C:$FA,90)</f>
        <v>1303800</v>
      </c>
      <c r="I188" s="86">
        <f>VLOOKUP($A188,'Data shares'!$C:$FA,92)</f>
        <v>73400</v>
      </c>
      <c r="J188" s="87">
        <f>VLOOKUP($A188,'Data shares'!$C:$FA,93)</f>
        <v>5.9700000000000003E-2</v>
      </c>
      <c r="K188" s="86">
        <f>VLOOKUP($A188,'Data shares'!$C:$FA,94)</f>
        <v>792400</v>
      </c>
      <c r="L188" s="86">
        <f>VLOOKUP($A188,'Data shares'!$C:$FA,96)</f>
        <v>5800</v>
      </c>
      <c r="M188" s="87">
        <f>VLOOKUP($A188,'Data shares'!$C:$FA,97)</f>
        <v>7.4000000000000003E-3</v>
      </c>
      <c r="N188" s="86">
        <f>VLOOKUP($A188,'Data shares'!$C:$FA,78)</f>
        <v>3641200</v>
      </c>
      <c r="O188" s="87">
        <f>VLOOKUP($A188,'Data shares'!$C:$FA,81)</f>
        <v>6.9999999999999999E-4</v>
      </c>
    </row>
    <row r="189" spans="1:15" x14ac:dyDescent="0.25">
      <c r="A189" s="100" t="str">
        <f>'Data Vlaue (Cr)'!C184</f>
        <v>SUNPHARMA</v>
      </c>
      <c r="B189" s="82">
        <f>VLOOKUP(A189,'Data shares'!$C$2:$CV$214,98,0)</f>
        <v>45627400</v>
      </c>
      <c r="C189" s="82">
        <f>VLOOKUP(A189,'Data shares'!$C$2:$CX$214,100,0)</f>
        <v>-184450</v>
      </c>
      <c r="D189" s="141">
        <f>VLOOKUP(A189,'Data shares'!$C$2:$CY$537,101,0)</f>
        <v>-4.0000000000000001E-3</v>
      </c>
      <c r="E189" s="86">
        <f>VLOOKUP($A189,'Data shares'!$C:$FA,74)</f>
        <v>22634850</v>
      </c>
      <c r="F189" s="86">
        <f>VLOOKUP($A189,'Data shares'!$C:$FA,76)</f>
        <v>-97300</v>
      </c>
      <c r="G189" s="87">
        <f>VLOOKUP(A189,'Data shares'!$C$2:$CA$214,77,0)</f>
        <v>-4.3E-3</v>
      </c>
      <c r="H189" s="86">
        <f>VLOOKUP($A189,'Data shares'!$C:$FA,90)</f>
        <v>14551250</v>
      </c>
      <c r="I189" s="86">
        <f>VLOOKUP($A189,'Data shares'!$C:$FA,92)</f>
        <v>7700</v>
      </c>
      <c r="J189" s="87">
        <f>VLOOKUP($A189,'Data shares'!$C:$FA,93)</f>
        <v>5.0000000000000001E-4</v>
      </c>
      <c r="K189" s="86">
        <f>VLOOKUP($A189,'Data shares'!$C:$FA,94)</f>
        <v>8441300</v>
      </c>
      <c r="L189" s="86">
        <f>VLOOKUP($A189,'Data shares'!$C:$FA,96)</f>
        <v>-94850</v>
      </c>
      <c r="M189" s="87">
        <f>VLOOKUP($A189,'Data shares'!$C:$FA,97)</f>
        <v>-1.11E-2</v>
      </c>
      <c r="N189" s="86">
        <f>VLOOKUP($A189,'Data shares'!$C:$FA,78)</f>
        <v>22212050</v>
      </c>
      <c r="O189" s="87">
        <f>VLOOKUP($A189,'Data shares'!$C:$FA,81)</f>
        <v>-4.4999999999999997E-3</v>
      </c>
    </row>
    <row r="190" spans="1:15" x14ac:dyDescent="0.25">
      <c r="A190" s="100" t="str">
        <f>'Data Vlaue (Cr)'!C185</f>
        <v>SUPREMEIND</v>
      </c>
      <c r="B190" s="82">
        <f>VLOOKUP(A190,'Data shares'!$C$2:$CV$214,98,0)</f>
        <v>2997750</v>
      </c>
      <c r="C190" s="82">
        <f>VLOOKUP(A190,'Data shares'!$C$2:$CX$214,100,0)</f>
        <v>-70875</v>
      </c>
      <c r="D190" s="141">
        <f>VLOOKUP(A190,'Data shares'!$C$2:$CY$537,101,0)</f>
        <v>-2.3099999999999999E-2</v>
      </c>
      <c r="E190" s="86">
        <f>VLOOKUP($A190,'Data shares'!$C:$FA,74)</f>
        <v>1732500</v>
      </c>
      <c r="F190" s="86">
        <f>VLOOKUP($A190,'Data shares'!$C:$FA,76)</f>
        <v>-88550</v>
      </c>
      <c r="G190" s="87">
        <f>VLOOKUP(A190,'Data shares'!$C$2:$CA$214,77,0)</f>
        <v>-4.8599999999999997E-2</v>
      </c>
      <c r="H190" s="86">
        <f>VLOOKUP($A190,'Data shares'!$C:$FA,90)</f>
        <v>739550</v>
      </c>
      <c r="I190" s="86">
        <f>VLOOKUP($A190,'Data shares'!$C:$FA,92)</f>
        <v>-70700</v>
      </c>
      <c r="J190" s="87">
        <f>VLOOKUP($A190,'Data shares'!$C:$FA,93)</f>
        <v>-8.7300000000000003E-2</v>
      </c>
      <c r="K190" s="86">
        <f>VLOOKUP($A190,'Data shares'!$C:$FA,94)</f>
        <v>525700</v>
      </c>
      <c r="L190" s="86">
        <f>VLOOKUP($A190,'Data shares'!$C:$FA,96)</f>
        <v>88375</v>
      </c>
      <c r="M190" s="87">
        <f>VLOOKUP($A190,'Data shares'!$C:$FA,97)</f>
        <v>0.2021</v>
      </c>
      <c r="N190" s="86">
        <f>VLOOKUP($A190,'Data shares'!$C:$FA,78)</f>
        <v>1668975</v>
      </c>
      <c r="O190" s="87">
        <f>VLOOKUP($A190,'Data shares'!$C:$FA,81)</f>
        <v>-5.1400000000000001E-2</v>
      </c>
    </row>
    <row r="191" spans="1:15" x14ac:dyDescent="0.25">
      <c r="A191" s="100" t="str">
        <f>'Data Vlaue (Cr)'!C186</f>
        <v>SUZLON</v>
      </c>
      <c r="B191" s="82">
        <f>VLOOKUP(A191,'Data shares'!$C$2:$CV$214,98,0)</f>
        <v>633013500</v>
      </c>
      <c r="C191" s="82">
        <f>VLOOKUP(A191,'Data shares'!$C$2:$CX$214,100,0)</f>
        <v>10026775</v>
      </c>
      <c r="D191" s="141">
        <f>VLOOKUP(A191,'Data shares'!$C$2:$CY$537,101,0)</f>
        <v>1.61E-2</v>
      </c>
      <c r="E191" s="86">
        <f>VLOOKUP($A191,'Data shares'!$C:$FA,74)</f>
        <v>333744500</v>
      </c>
      <c r="F191" s="86">
        <f>VLOOKUP($A191,'Data shares'!$C:$FA,76)</f>
        <v>1823050</v>
      </c>
      <c r="G191" s="87">
        <f>VLOOKUP(A191,'Data shares'!$C$2:$CA$214,77,0)</f>
        <v>5.4999999999999997E-3</v>
      </c>
      <c r="H191" s="86">
        <f>VLOOKUP($A191,'Data shares'!$C:$FA,90)</f>
        <v>228332500</v>
      </c>
      <c r="I191" s="86">
        <f>VLOOKUP($A191,'Data shares'!$C:$FA,92)</f>
        <v>6732650</v>
      </c>
      <c r="J191" s="87">
        <f>VLOOKUP($A191,'Data shares'!$C:$FA,93)</f>
        <v>3.04E-2</v>
      </c>
      <c r="K191" s="86">
        <f>VLOOKUP($A191,'Data shares'!$C:$FA,94)</f>
        <v>70936500</v>
      </c>
      <c r="L191" s="86">
        <f>VLOOKUP($A191,'Data shares'!$C:$FA,96)</f>
        <v>1471075</v>
      </c>
      <c r="M191" s="87">
        <f>VLOOKUP($A191,'Data shares'!$C:$FA,97)</f>
        <v>2.12E-2</v>
      </c>
      <c r="N191" s="86">
        <f>VLOOKUP($A191,'Data shares'!$C:$FA,78)</f>
        <v>299106550</v>
      </c>
      <c r="O191" s="87">
        <f>VLOOKUP($A191,'Data shares'!$C:$FA,81)</f>
        <v>-7.7000000000000002E-3</v>
      </c>
    </row>
    <row r="192" spans="1:15" x14ac:dyDescent="0.25">
      <c r="A192" s="100" t="str">
        <f>'Data Vlaue (Cr)'!C187</f>
        <v>SWIGGY</v>
      </c>
      <c r="B192" s="82">
        <f>VLOOKUP(A192,'Data shares'!$C$2:$CV$214,98,0)</f>
        <v>55038100</v>
      </c>
      <c r="C192" s="82">
        <f>VLOOKUP(A192,'Data shares'!$C$2:$CX$214,100,0)</f>
        <v>1749800</v>
      </c>
      <c r="D192" s="141">
        <f>VLOOKUP(A192,'Data shares'!$C$2:$CY$537,101,0)</f>
        <v>3.2800000000000003E-2</v>
      </c>
      <c r="E192" s="86">
        <f>VLOOKUP($A192,'Data shares'!$C:$FA,74)</f>
        <v>41003300</v>
      </c>
      <c r="F192" s="86">
        <f>VLOOKUP($A192,'Data shares'!$C:$FA,76)</f>
        <v>2316600</v>
      </c>
      <c r="G192" s="87">
        <f>VLOOKUP(A192,'Data shares'!$C$2:$CA$214,77,0)</f>
        <v>5.9900000000000002E-2</v>
      </c>
      <c r="H192" s="86">
        <f>VLOOKUP($A192,'Data shares'!$C:$FA,90)</f>
        <v>6658600</v>
      </c>
      <c r="I192" s="86">
        <f>VLOOKUP($A192,'Data shares'!$C:$FA,92)</f>
        <v>-686400</v>
      </c>
      <c r="J192" s="87">
        <f>VLOOKUP($A192,'Data shares'!$C:$FA,93)</f>
        <v>-9.35E-2</v>
      </c>
      <c r="K192" s="86">
        <f>VLOOKUP($A192,'Data shares'!$C:$FA,94)</f>
        <v>7376200</v>
      </c>
      <c r="L192" s="86">
        <f>VLOOKUP($A192,'Data shares'!$C:$FA,96)</f>
        <v>119600</v>
      </c>
      <c r="M192" s="87">
        <f>VLOOKUP($A192,'Data shares'!$C:$FA,97)</f>
        <v>1.6500000000000001E-2</v>
      </c>
      <c r="N192" s="86">
        <f>VLOOKUP($A192,'Data shares'!$C:$FA,78)</f>
        <v>36164700</v>
      </c>
      <c r="O192" s="87">
        <f>VLOOKUP($A192,'Data shares'!$C:$FA,81)</f>
        <v>2.41E-2</v>
      </c>
    </row>
    <row r="193" spans="1:15" x14ac:dyDescent="0.25">
      <c r="A193" s="100" t="str">
        <f>'Data Vlaue (Cr)'!C188</f>
        <v>SYNGENE</v>
      </c>
      <c r="B193" s="82">
        <f>VLOOKUP(A193,'Data shares'!$C$2:$CV$214,98,0)</f>
        <v>26270000</v>
      </c>
      <c r="C193" s="82">
        <f>VLOOKUP(A193,'Data shares'!$C$2:$CX$214,100,0)</f>
        <v>1279000</v>
      </c>
      <c r="D193" s="141">
        <f>VLOOKUP(A193,'Data shares'!$C$2:$CY$537,101,0)</f>
        <v>5.1200000000000002E-2</v>
      </c>
      <c r="E193" s="86">
        <f>VLOOKUP($A193,'Data shares'!$C:$FA,74)</f>
        <v>10869000</v>
      </c>
      <c r="F193" s="86">
        <f>VLOOKUP($A193,'Data shares'!$C:$FA,76)</f>
        <v>922000</v>
      </c>
      <c r="G193" s="87">
        <f>VLOOKUP(A193,'Data shares'!$C$2:$CA$214,77,0)</f>
        <v>9.2700000000000005E-2</v>
      </c>
      <c r="H193" s="86">
        <f>VLOOKUP($A193,'Data shares'!$C:$FA,90)</f>
        <v>9864000</v>
      </c>
      <c r="I193" s="86">
        <f>VLOOKUP($A193,'Data shares'!$C:$FA,92)</f>
        <v>246000</v>
      </c>
      <c r="J193" s="87">
        <f>VLOOKUP($A193,'Data shares'!$C:$FA,93)</f>
        <v>2.5600000000000001E-2</v>
      </c>
      <c r="K193" s="86">
        <f>VLOOKUP($A193,'Data shares'!$C:$FA,94)</f>
        <v>5537000</v>
      </c>
      <c r="L193" s="86">
        <f>VLOOKUP($A193,'Data shares'!$C:$FA,96)</f>
        <v>111000</v>
      </c>
      <c r="M193" s="87">
        <f>VLOOKUP($A193,'Data shares'!$C:$FA,97)</f>
        <v>2.0500000000000001E-2</v>
      </c>
      <c r="N193" s="86">
        <f>VLOOKUP($A193,'Data shares'!$C:$FA,78)</f>
        <v>10007000</v>
      </c>
      <c r="O193" s="87">
        <f>VLOOKUP($A193,'Data shares'!$C:$FA,81)</f>
        <v>8.9399999999999993E-2</v>
      </c>
    </row>
    <row r="194" spans="1:15" x14ac:dyDescent="0.25">
      <c r="A194" s="100" t="str">
        <f>'Data Vlaue (Cr)'!C189</f>
        <v>TATACONSUM</v>
      </c>
      <c r="B194" s="82">
        <f>VLOOKUP(A194,'Data shares'!$C$2:$CV$214,98,0)</f>
        <v>21486850</v>
      </c>
      <c r="C194" s="82">
        <f>VLOOKUP(A194,'Data shares'!$C$2:$CX$214,100,0)</f>
        <v>56100</v>
      </c>
      <c r="D194" s="141">
        <f>VLOOKUP(A194,'Data shares'!$C$2:$CY$537,101,0)</f>
        <v>2.5999999999999999E-3</v>
      </c>
      <c r="E194" s="86">
        <f>VLOOKUP($A194,'Data shares'!$C:$FA,74)</f>
        <v>13544300</v>
      </c>
      <c r="F194" s="86">
        <f>VLOOKUP($A194,'Data shares'!$C:$FA,76)</f>
        <v>-50600</v>
      </c>
      <c r="G194" s="87">
        <f>VLOOKUP(A194,'Data shares'!$C$2:$CA$214,77,0)</f>
        <v>-3.7000000000000002E-3</v>
      </c>
      <c r="H194" s="86">
        <f>VLOOKUP($A194,'Data shares'!$C:$FA,90)</f>
        <v>4543000</v>
      </c>
      <c r="I194" s="86">
        <f>VLOOKUP($A194,'Data shares'!$C:$FA,92)</f>
        <v>106700</v>
      </c>
      <c r="J194" s="87">
        <f>VLOOKUP($A194,'Data shares'!$C:$FA,93)</f>
        <v>2.41E-2</v>
      </c>
      <c r="K194" s="86">
        <f>VLOOKUP($A194,'Data shares'!$C:$FA,94)</f>
        <v>3399550</v>
      </c>
      <c r="L194" s="86">
        <f>VLOOKUP($A194,'Data shares'!$C:$FA,96)</f>
        <v>0</v>
      </c>
      <c r="M194" s="87">
        <f>VLOOKUP($A194,'Data shares'!$C:$FA,97)</f>
        <v>0</v>
      </c>
      <c r="N194" s="86">
        <f>VLOOKUP($A194,'Data shares'!$C:$FA,78)</f>
        <v>12988250</v>
      </c>
      <c r="O194" s="87">
        <f>VLOOKUP($A194,'Data shares'!$C:$FA,81)</f>
        <v>-4.1000000000000003E-3</v>
      </c>
    </row>
    <row r="195" spans="1:15" x14ac:dyDescent="0.25">
      <c r="A195" s="100" t="str">
        <f>'Data Vlaue (Cr)'!C190</f>
        <v>TATAELXSI</v>
      </c>
      <c r="B195" s="82">
        <f>VLOOKUP(A195,'Data shares'!$C$2:$CV$214,98,0)</f>
        <v>3893700</v>
      </c>
      <c r="C195" s="82">
        <f>VLOOKUP(A195,'Data shares'!$C$2:$CX$214,100,0)</f>
        <v>231500</v>
      </c>
      <c r="D195" s="141">
        <f>VLOOKUP(A195,'Data shares'!$C$2:$CY$537,101,0)</f>
        <v>6.3200000000000006E-2</v>
      </c>
      <c r="E195" s="86">
        <f>VLOOKUP($A195,'Data shares'!$C:$FA,74)</f>
        <v>1420200</v>
      </c>
      <c r="F195" s="86">
        <f>VLOOKUP($A195,'Data shares'!$C:$FA,76)</f>
        <v>54200</v>
      </c>
      <c r="G195" s="87">
        <f>VLOOKUP(A195,'Data shares'!$C$2:$CA$214,77,0)</f>
        <v>3.9699999999999999E-2</v>
      </c>
      <c r="H195" s="86">
        <f>VLOOKUP($A195,'Data shares'!$C:$FA,90)</f>
        <v>1941500</v>
      </c>
      <c r="I195" s="86">
        <f>VLOOKUP($A195,'Data shares'!$C:$FA,92)</f>
        <v>185400</v>
      </c>
      <c r="J195" s="87">
        <f>VLOOKUP($A195,'Data shares'!$C:$FA,93)</f>
        <v>0.1056</v>
      </c>
      <c r="K195" s="86">
        <f>VLOOKUP($A195,'Data shares'!$C:$FA,94)</f>
        <v>532000</v>
      </c>
      <c r="L195" s="86">
        <f>VLOOKUP($A195,'Data shares'!$C:$FA,96)</f>
        <v>-8100</v>
      </c>
      <c r="M195" s="87">
        <f>VLOOKUP($A195,'Data shares'!$C:$FA,97)</f>
        <v>-1.4999999999999999E-2</v>
      </c>
      <c r="N195" s="86">
        <f>VLOOKUP($A195,'Data shares'!$C:$FA,78)</f>
        <v>1177700</v>
      </c>
      <c r="O195" s="87">
        <f>VLOOKUP($A195,'Data shares'!$C:$FA,81)</f>
        <v>1.38E-2</v>
      </c>
    </row>
    <row r="196" spans="1:15" x14ac:dyDescent="0.25">
      <c r="A196" s="100" t="str">
        <f>'Data Vlaue (Cr)'!C191</f>
        <v>TATAPOWER</v>
      </c>
      <c r="B196" s="82">
        <f>VLOOKUP(A196,'Data shares'!$C$2:$CV$214,98,0)</f>
        <v>120493550</v>
      </c>
      <c r="C196" s="82">
        <f>VLOOKUP(A196,'Data shares'!$C$2:$CX$214,100,0)</f>
        <v>1418100</v>
      </c>
      <c r="D196" s="141">
        <f>VLOOKUP(A196,'Data shares'!$C$2:$CY$537,101,0)</f>
        <v>1.1900000000000001E-2</v>
      </c>
      <c r="E196" s="86">
        <f>VLOOKUP($A196,'Data shares'!$C:$FA,74)</f>
        <v>57000950</v>
      </c>
      <c r="F196" s="86">
        <f>VLOOKUP($A196,'Data shares'!$C:$FA,76)</f>
        <v>-145000</v>
      </c>
      <c r="G196" s="87">
        <f>VLOOKUP(A196,'Data shares'!$C$2:$CA$214,77,0)</f>
        <v>-2.5000000000000001E-3</v>
      </c>
      <c r="H196" s="86">
        <f>VLOOKUP($A196,'Data shares'!$C:$FA,90)</f>
        <v>35477150</v>
      </c>
      <c r="I196" s="86">
        <f>VLOOKUP($A196,'Data shares'!$C:$FA,92)</f>
        <v>1322400</v>
      </c>
      <c r="J196" s="87">
        <f>VLOOKUP($A196,'Data shares'!$C:$FA,93)</f>
        <v>3.8699999999999998E-2</v>
      </c>
      <c r="K196" s="86">
        <f>VLOOKUP($A196,'Data shares'!$C:$FA,94)</f>
        <v>28015450</v>
      </c>
      <c r="L196" s="86">
        <f>VLOOKUP($A196,'Data shares'!$C:$FA,96)</f>
        <v>240700</v>
      </c>
      <c r="M196" s="87">
        <f>VLOOKUP($A196,'Data shares'!$C:$FA,97)</f>
        <v>8.6999999999999994E-3</v>
      </c>
      <c r="N196" s="86">
        <f>VLOOKUP($A196,'Data shares'!$C:$FA,78)</f>
        <v>54025550</v>
      </c>
      <c r="O196" s="87">
        <f>VLOOKUP($A196,'Data shares'!$C:$FA,81)</f>
        <v>-6.7000000000000002E-3</v>
      </c>
    </row>
    <row r="197" spans="1:15" x14ac:dyDescent="0.25">
      <c r="A197" s="100" t="str">
        <f>'Data Vlaue (Cr)'!C192</f>
        <v>TATASTEEL</v>
      </c>
      <c r="B197" s="82">
        <f>VLOOKUP(A197,'Data shares'!$C$2:$CV$214,98,0)</f>
        <v>475156000</v>
      </c>
      <c r="C197" s="82">
        <f>VLOOKUP(A197,'Data shares'!$C$2:$CX$214,100,0)</f>
        <v>-2370500</v>
      </c>
      <c r="D197" s="141">
        <f>VLOOKUP(A197,'Data shares'!$C$2:$CY$537,101,0)</f>
        <v>-5.0000000000000001E-3</v>
      </c>
      <c r="E197" s="86">
        <f>VLOOKUP($A197,'Data shares'!$C:$FA,74)</f>
        <v>216557000</v>
      </c>
      <c r="F197" s="86">
        <f>VLOOKUP($A197,'Data shares'!$C:$FA,76)</f>
        <v>-4163500</v>
      </c>
      <c r="G197" s="87">
        <f>VLOOKUP(A197,'Data shares'!$C$2:$CA$214,77,0)</f>
        <v>-1.89E-2</v>
      </c>
      <c r="H197" s="86">
        <f>VLOOKUP($A197,'Data shares'!$C:$FA,90)</f>
        <v>141982500</v>
      </c>
      <c r="I197" s="86">
        <f>VLOOKUP($A197,'Data shares'!$C:$FA,92)</f>
        <v>-27500</v>
      </c>
      <c r="J197" s="87">
        <f>VLOOKUP($A197,'Data shares'!$C:$FA,93)</f>
        <v>-2.0000000000000001E-4</v>
      </c>
      <c r="K197" s="86">
        <f>VLOOKUP($A197,'Data shares'!$C:$FA,94)</f>
        <v>116616500</v>
      </c>
      <c r="L197" s="86">
        <f>VLOOKUP($A197,'Data shares'!$C:$FA,96)</f>
        <v>1820500</v>
      </c>
      <c r="M197" s="87">
        <f>VLOOKUP($A197,'Data shares'!$C:$FA,97)</f>
        <v>1.5900000000000001E-2</v>
      </c>
      <c r="N197" s="86">
        <f>VLOOKUP($A197,'Data shares'!$C:$FA,78)</f>
        <v>191757500</v>
      </c>
      <c r="O197" s="87">
        <f>VLOOKUP($A197,'Data shares'!$C:$FA,81)</f>
        <v>-2.64E-2</v>
      </c>
    </row>
    <row r="198" spans="1:15" x14ac:dyDescent="0.25">
      <c r="A198" s="100" t="str">
        <f>'Data Vlaue (Cr)'!C193</f>
        <v>TATATECH</v>
      </c>
      <c r="B198" s="82">
        <f>VLOOKUP(A198,'Data shares'!$C$2:$CV$214,98,0)</f>
        <v>20884000</v>
      </c>
      <c r="C198" s="82">
        <f>VLOOKUP(A198,'Data shares'!$C$2:$CX$214,100,0)</f>
        <v>336800</v>
      </c>
      <c r="D198" s="141">
        <f>VLOOKUP(A198,'Data shares'!$C$2:$CY$537,101,0)</f>
        <v>1.6400000000000001E-2</v>
      </c>
      <c r="E198" s="86">
        <f>VLOOKUP($A198,'Data shares'!$C:$FA,74)</f>
        <v>12110400</v>
      </c>
      <c r="F198" s="86">
        <f>VLOOKUP($A198,'Data shares'!$C:$FA,76)</f>
        <v>240000</v>
      </c>
      <c r="G198" s="87">
        <f>VLOOKUP(A198,'Data shares'!$C$2:$CA$214,77,0)</f>
        <v>2.0199999999999999E-2</v>
      </c>
      <c r="H198" s="86">
        <f>VLOOKUP($A198,'Data shares'!$C:$FA,90)</f>
        <v>5234400</v>
      </c>
      <c r="I198" s="86">
        <f>VLOOKUP($A198,'Data shares'!$C:$FA,92)</f>
        <v>38400</v>
      </c>
      <c r="J198" s="87">
        <f>VLOOKUP($A198,'Data shares'!$C:$FA,93)</f>
        <v>7.4000000000000003E-3</v>
      </c>
      <c r="K198" s="86">
        <f>VLOOKUP($A198,'Data shares'!$C:$FA,94)</f>
        <v>3539200</v>
      </c>
      <c r="L198" s="86">
        <f>VLOOKUP($A198,'Data shares'!$C:$FA,96)</f>
        <v>58400</v>
      </c>
      <c r="M198" s="87">
        <f>VLOOKUP($A198,'Data shares'!$C:$FA,97)</f>
        <v>1.6799999999999999E-2</v>
      </c>
      <c r="N198" s="86">
        <f>VLOOKUP($A198,'Data shares'!$C:$FA,78)</f>
        <v>10708800</v>
      </c>
      <c r="O198" s="87">
        <f>VLOOKUP($A198,'Data shares'!$C:$FA,81)</f>
        <v>7.6E-3</v>
      </c>
    </row>
    <row r="199" spans="1:15" x14ac:dyDescent="0.25">
      <c r="A199" s="100" t="str">
        <f>'Data Vlaue (Cr)'!C194</f>
        <v>TCS</v>
      </c>
      <c r="B199" s="82">
        <f>VLOOKUP(A199,'Data shares'!$C$2:$CV$214,98,0)</f>
        <v>61510400</v>
      </c>
      <c r="C199" s="82">
        <f>VLOOKUP(A199,'Data shares'!$C$2:$CX$214,100,0)</f>
        <v>3678675</v>
      </c>
      <c r="D199" s="141">
        <f>VLOOKUP(A199,'Data shares'!$C$2:$CY$537,101,0)</f>
        <v>6.3600000000000004E-2</v>
      </c>
      <c r="E199" s="86">
        <f>VLOOKUP($A199,'Data shares'!$C:$FA,74)</f>
        <v>26766250</v>
      </c>
      <c r="F199" s="86">
        <f>VLOOKUP($A199,'Data shares'!$C:$FA,76)</f>
        <v>821975</v>
      </c>
      <c r="G199" s="87">
        <f>VLOOKUP(A199,'Data shares'!$C$2:$CA$214,77,0)</f>
        <v>3.1699999999999999E-2</v>
      </c>
      <c r="H199" s="86">
        <f>VLOOKUP($A199,'Data shares'!$C:$FA,90)</f>
        <v>22135750</v>
      </c>
      <c r="I199" s="86">
        <f>VLOOKUP($A199,'Data shares'!$C:$FA,92)</f>
        <v>1856575</v>
      </c>
      <c r="J199" s="87">
        <f>VLOOKUP($A199,'Data shares'!$C:$FA,93)</f>
        <v>9.1600000000000001E-2</v>
      </c>
      <c r="K199" s="86">
        <f>VLOOKUP($A199,'Data shares'!$C:$FA,94)</f>
        <v>12608400</v>
      </c>
      <c r="L199" s="86">
        <f>VLOOKUP($A199,'Data shares'!$C:$FA,96)</f>
        <v>1000125</v>
      </c>
      <c r="M199" s="87">
        <f>VLOOKUP($A199,'Data shares'!$C:$FA,97)</f>
        <v>8.6199999999999999E-2</v>
      </c>
      <c r="N199" s="86">
        <f>VLOOKUP($A199,'Data shares'!$C:$FA,78)</f>
        <v>23532775</v>
      </c>
      <c r="O199" s="87">
        <f>VLOOKUP($A199,'Data shares'!$C:$FA,81)</f>
        <v>1.4800000000000001E-2</v>
      </c>
    </row>
    <row r="200" spans="1:15" x14ac:dyDescent="0.25">
      <c r="A200" s="100" t="str">
        <f>'Data Vlaue (Cr)'!C195</f>
        <v>TECHM</v>
      </c>
      <c r="B200" s="82">
        <f>VLOOKUP(A200,'Data shares'!$C$2:$CV$214,98,0)</f>
        <v>32502600</v>
      </c>
      <c r="C200" s="82">
        <f>VLOOKUP(A200,'Data shares'!$C$2:$CX$214,100,0)</f>
        <v>-32400</v>
      </c>
      <c r="D200" s="141">
        <f>VLOOKUP(A200,'Data shares'!$C$2:$CY$537,101,0)</f>
        <v>-1E-3</v>
      </c>
      <c r="E200" s="86">
        <f>VLOOKUP($A200,'Data shares'!$C:$FA,74)</f>
        <v>17491800</v>
      </c>
      <c r="F200" s="86">
        <f>VLOOKUP($A200,'Data shares'!$C:$FA,76)</f>
        <v>-362400</v>
      </c>
      <c r="G200" s="87">
        <f>VLOOKUP(A200,'Data shares'!$C$2:$CA$214,77,0)</f>
        <v>-2.0299999999999999E-2</v>
      </c>
      <c r="H200" s="86">
        <f>VLOOKUP($A200,'Data shares'!$C:$FA,90)</f>
        <v>9282600</v>
      </c>
      <c r="I200" s="86">
        <f>VLOOKUP($A200,'Data shares'!$C:$FA,92)</f>
        <v>193200</v>
      </c>
      <c r="J200" s="87">
        <f>VLOOKUP($A200,'Data shares'!$C:$FA,93)</f>
        <v>2.1299999999999999E-2</v>
      </c>
      <c r="K200" s="86">
        <f>VLOOKUP($A200,'Data shares'!$C:$FA,94)</f>
        <v>5728200</v>
      </c>
      <c r="L200" s="86">
        <f>VLOOKUP($A200,'Data shares'!$C:$FA,96)</f>
        <v>136800</v>
      </c>
      <c r="M200" s="87">
        <f>VLOOKUP($A200,'Data shares'!$C:$FA,97)</f>
        <v>2.4500000000000001E-2</v>
      </c>
      <c r="N200" s="86">
        <f>VLOOKUP($A200,'Data shares'!$C:$FA,78)</f>
        <v>16868400</v>
      </c>
      <c r="O200" s="87">
        <f>VLOOKUP($A200,'Data shares'!$C:$FA,81)</f>
        <v>-2.3400000000000001E-2</v>
      </c>
    </row>
    <row r="201" spans="1:15" x14ac:dyDescent="0.25">
      <c r="A201" s="100" t="str">
        <f>'Data Vlaue (Cr)'!C196</f>
        <v>TIINDIA</v>
      </c>
      <c r="B201" s="82">
        <f>VLOOKUP(A201,'Data shares'!$C$2:$CV$214,98,0)</f>
        <v>6130200</v>
      </c>
      <c r="C201" s="82">
        <f>VLOOKUP(A201,'Data shares'!$C$2:$CX$214,100,0)</f>
        <v>-142600</v>
      </c>
      <c r="D201" s="141">
        <f>VLOOKUP(A201,'Data shares'!$C$2:$CY$537,101,0)</f>
        <v>-2.2700000000000001E-2</v>
      </c>
      <c r="E201" s="86">
        <f>VLOOKUP($A201,'Data shares'!$C:$FA,74)</f>
        <v>3631000</v>
      </c>
      <c r="F201" s="86">
        <f>VLOOKUP($A201,'Data shares'!$C:$FA,76)</f>
        <v>-11200</v>
      </c>
      <c r="G201" s="87">
        <f>VLOOKUP(A201,'Data shares'!$C$2:$CA$214,77,0)</f>
        <v>-3.0999999999999999E-3</v>
      </c>
      <c r="H201" s="86">
        <f>VLOOKUP($A201,'Data shares'!$C:$FA,90)</f>
        <v>1609600</v>
      </c>
      <c r="I201" s="86">
        <f>VLOOKUP($A201,'Data shares'!$C:$FA,92)</f>
        <v>-96000</v>
      </c>
      <c r="J201" s="87">
        <f>VLOOKUP($A201,'Data shares'!$C:$FA,93)</f>
        <v>-5.6300000000000003E-2</v>
      </c>
      <c r="K201" s="86">
        <f>VLOOKUP($A201,'Data shares'!$C:$FA,94)</f>
        <v>889600</v>
      </c>
      <c r="L201" s="86">
        <f>VLOOKUP($A201,'Data shares'!$C:$FA,96)</f>
        <v>-35400</v>
      </c>
      <c r="M201" s="87">
        <f>VLOOKUP($A201,'Data shares'!$C:$FA,97)</f>
        <v>-3.8300000000000001E-2</v>
      </c>
      <c r="N201" s="86">
        <f>VLOOKUP($A201,'Data shares'!$C:$FA,78)</f>
        <v>3490400</v>
      </c>
      <c r="O201" s="87">
        <f>VLOOKUP($A201,'Data shares'!$C:$FA,81)</f>
        <v>-4.3E-3</v>
      </c>
    </row>
    <row r="202" spans="1:15" x14ac:dyDescent="0.25">
      <c r="A202" s="100" t="str">
        <f>'Data Vlaue (Cr)'!C197</f>
        <v>TITAN</v>
      </c>
      <c r="B202" s="82">
        <f>VLOOKUP(A202,'Data shares'!$C$2:$CV$214,98,0)</f>
        <v>23079175</v>
      </c>
      <c r="C202" s="82">
        <f>VLOOKUP(A202,'Data shares'!$C$2:$CX$214,100,0)</f>
        <v>3315200</v>
      </c>
      <c r="D202" s="141">
        <f>VLOOKUP(A202,'Data shares'!$C$2:$CY$537,101,0)</f>
        <v>0.16769999999999999</v>
      </c>
      <c r="E202" s="86">
        <f>VLOOKUP($A202,'Data shares'!$C:$FA,74)</f>
        <v>10361225</v>
      </c>
      <c r="F202" s="86">
        <f>VLOOKUP($A202,'Data shares'!$C:$FA,76)</f>
        <v>389025</v>
      </c>
      <c r="G202" s="87">
        <f>VLOOKUP(A202,'Data shares'!$C$2:$CA$214,77,0)</f>
        <v>3.9E-2</v>
      </c>
      <c r="H202" s="86">
        <f>VLOOKUP($A202,'Data shares'!$C:$FA,90)</f>
        <v>8510600</v>
      </c>
      <c r="I202" s="86">
        <f>VLOOKUP($A202,'Data shares'!$C:$FA,92)</f>
        <v>2309475</v>
      </c>
      <c r="J202" s="87">
        <f>VLOOKUP($A202,'Data shares'!$C:$FA,93)</f>
        <v>0.37240000000000001</v>
      </c>
      <c r="K202" s="86">
        <f>VLOOKUP($A202,'Data shares'!$C:$FA,94)</f>
        <v>4207350</v>
      </c>
      <c r="L202" s="86">
        <f>VLOOKUP($A202,'Data shares'!$C:$FA,96)</f>
        <v>616700</v>
      </c>
      <c r="M202" s="87">
        <f>VLOOKUP($A202,'Data shares'!$C:$FA,97)</f>
        <v>0.17180000000000001</v>
      </c>
      <c r="N202" s="86">
        <f>VLOOKUP($A202,'Data shares'!$C:$FA,78)</f>
        <v>9748375</v>
      </c>
      <c r="O202" s="87">
        <f>VLOOKUP($A202,'Data shares'!$C:$FA,81)</f>
        <v>3.5499999999999997E-2</v>
      </c>
    </row>
    <row r="203" spans="1:15" x14ac:dyDescent="0.25">
      <c r="A203" s="100" t="str">
        <f>'Data Vlaue (Cr)'!C198</f>
        <v>TMPV</v>
      </c>
      <c r="B203" s="82">
        <f>VLOOKUP(A203,'Data shares'!$C$2:$CV$214,98,0)</f>
        <v>152654400</v>
      </c>
      <c r="C203" s="82">
        <f>VLOOKUP(A203,'Data shares'!$C$2:$CX$214,100,0)</f>
        <v>-1551200</v>
      </c>
      <c r="D203" s="141">
        <f>VLOOKUP(A203,'Data shares'!$C$2:$CY$537,101,0)</f>
        <v>-1.01E-2</v>
      </c>
      <c r="E203" s="86">
        <f>VLOOKUP($A203,'Data shares'!$C:$FA,74)</f>
        <v>84694400</v>
      </c>
      <c r="F203" s="86">
        <f>VLOOKUP($A203,'Data shares'!$C:$FA,76)</f>
        <v>-951200</v>
      </c>
      <c r="G203" s="87">
        <f>VLOOKUP(A203,'Data shares'!$C$2:$CA$214,77,0)</f>
        <v>-1.11E-2</v>
      </c>
      <c r="H203" s="86">
        <f>VLOOKUP($A203,'Data shares'!$C:$FA,90)</f>
        <v>36900800</v>
      </c>
      <c r="I203" s="86">
        <f>VLOOKUP($A203,'Data shares'!$C:$FA,92)</f>
        <v>156800</v>
      </c>
      <c r="J203" s="87">
        <f>VLOOKUP($A203,'Data shares'!$C:$FA,93)</f>
        <v>4.3E-3</v>
      </c>
      <c r="K203" s="86">
        <f>VLOOKUP($A203,'Data shares'!$C:$FA,94)</f>
        <v>31059200</v>
      </c>
      <c r="L203" s="86">
        <f>VLOOKUP($A203,'Data shares'!$C:$FA,96)</f>
        <v>-756800</v>
      </c>
      <c r="M203" s="87">
        <f>VLOOKUP($A203,'Data shares'!$C:$FA,97)</f>
        <v>-2.3800000000000002E-2</v>
      </c>
      <c r="N203" s="86">
        <f>VLOOKUP($A203,'Data shares'!$C:$FA,78)</f>
        <v>76588800</v>
      </c>
      <c r="O203" s="87">
        <f>VLOOKUP($A203,'Data shares'!$C:$FA,81)</f>
        <v>-2.29E-2</v>
      </c>
    </row>
    <row r="204" spans="1:15" x14ac:dyDescent="0.25">
      <c r="A204" s="100" t="str">
        <f>'Data Vlaue (Cr)'!C199</f>
        <v>TORNTPHARM</v>
      </c>
      <c r="B204" s="82">
        <f>VLOOKUP(A204,'Data shares'!$C$2:$CV$214,98,0)</f>
        <v>3917500</v>
      </c>
      <c r="C204" s="82">
        <f>VLOOKUP(A204,'Data shares'!$C$2:$CX$214,100,0)</f>
        <v>235500</v>
      </c>
      <c r="D204" s="141">
        <f>VLOOKUP(A204,'Data shares'!$C$2:$CY$537,101,0)</f>
        <v>6.4000000000000001E-2</v>
      </c>
      <c r="E204" s="86">
        <f>VLOOKUP($A204,'Data shares'!$C:$FA,74)</f>
        <v>2869750</v>
      </c>
      <c r="F204" s="86">
        <f>VLOOKUP($A204,'Data shares'!$C:$FA,76)</f>
        <v>85750</v>
      </c>
      <c r="G204" s="87">
        <f>VLOOKUP(A204,'Data shares'!$C$2:$CA$214,77,0)</f>
        <v>3.0800000000000001E-2</v>
      </c>
      <c r="H204" s="86">
        <f>VLOOKUP($A204,'Data shares'!$C:$FA,90)</f>
        <v>674250</v>
      </c>
      <c r="I204" s="86">
        <f>VLOOKUP($A204,'Data shares'!$C:$FA,92)</f>
        <v>110500</v>
      </c>
      <c r="J204" s="87">
        <f>VLOOKUP($A204,'Data shares'!$C:$FA,93)</f>
        <v>0.19600000000000001</v>
      </c>
      <c r="K204" s="86">
        <f>VLOOKUP($A204,'Data shares'!$C:$FA,94)</f>
        <v>373500</v>
      </c>
      <c r="L204" s="86">
        <f>VLOOKUP($A204,'Data shares'!$C:$FA,96)</f>
        <v>39250</v>
      </c>
      <c r="M204" s="87">
        <f>VLOOKUP($A204,'Data shares'!$C:$FA,97)</f>
        <v>0.1174</v>
      </c>
      <c r="N204" s="86">
        <f>VLOOKUP($A204,'Data shares'!$C:$FA,78)</f>
        <v>2833000</v>
      </c>
      <c r="O204" s="87">
        <f>VLOOKUP($A204,'Data shares'!$C:$FA,81)</f>
        <v>2.6599999999999999E-2</v>
      </c>
    </row>
    <row r="205" spans="1:15" x14ac:dyDescent="0.25">
      <c r="A205" s="100" t="str">
        <f>'Data Vlaue (Cr)'!C200</f>
        <v>TORNTPOWER</v>
      </c>
      <c r="B205" s="82">
        <f>VLOOKUP(A205,'Data shares'!$C$2:$CV$214,98,0)</f>
        <v>10513225</v>
      </c>
      <c r="C205" s="82">
        <f>VLOOKUP(A205,'Data shares'!$C$2:$CX$214,100,0)</f>
        <v>2144125</v>
      </c>
      <c r="D205" s="141">
        <f>VLOOKUP(A205,'Data shares'!$C$2:$CY$537,101,0)</f>
        <v>0.25619999999999998</v>
      </c>
      <c r="E205" s="86">
        <f>VLOOKUP($A205,'Data shares'!$C:$FA,74)</f>
        <v>4750650</v>
      </c>
      <c r="F205" s="86">
        <f>VLOOKUP($A205,'Data shares'!$C:$FA,76)</f>
        <v>792200</v>
      </c>
      <c r="G205" s="87">
        <f>VLOOKUP(A205,'Data shares'!$C$2:$CA$214,77,0)</f>
        <v>0.2001</v>
      </c>
      <c r="H205" s="86">
        <f>VLOOKUP($A205,'Data shares'!$C:$FA,90)</f>
        <v>3719175</v>
      </c>
      <c r="I205" s="86">
        <f>VLOOKUP($A205,'Data shares'!$C:$FA,92)</f>
        <v>1316225</v>
      </c>
      <c r="J205" s="87">
        <f>VLOOKUP($A205,'Data shares'!$C:$FA,93)</f>
        <v>0.54779999999999995</v>
      </c>
      <c r="K205" s="86">
        <f>VLOOKUP($A205,'Data shares'!$C:$FA,94)</f>
        <v>2043400</v>
      </c>
      <c r="L205" s="86">
        <f>VLOOKUP($A205,'Data shares'!$C:$FA,96)</f>
        <v>35700</v>
      </c>
      <c r="M205" s="87">
        <f>VLOOKUP($A205,'Data shares'!$C:$FA,97)</f>
        <v>1.78E-2</v>
      </c>
      <c r="N205" s="86">
        <f>VLOOKUP($A205,'Data shares'!$C:$FA,78)</f>
        <v>4583200</v>
      </c>
      <c r="O205" s="87">
        <f>VLOOKUP($A205,'Data shares'!$C:$FA,81)</f>
        <v>0.17549999999999999</v>
      </c>
    </row>
    <row r="206" spans="1:15" x14ac:dyDescent="0.25">
      <c r="A206" s="100" t="str">
        <f>'Data Vlaue (Cr)'!C201</f>
        <v>TRENT</v>
      </c>
      <c r="B206" s="82">
        <f>VLOOKUP(A206,'Data shares'!$C$2:$CV$214,98,0)</f>
        <v>14467900</v>
      </c>
      <c r="C206" s="82">
        <f>VLOOKUP(A206,'Data shares'!$C$2:$CX$214,100,0)</f>
        <v>-117700</v>
      </c>
      <c r="D206" s="141">
        <f>VLOOKUP(A206,'Data shares'!$C$2:$CY$537,101,0)</f>
        <v>-8.0999999999999996E-3</v>
      </c>
      <c r="E206" s="86">
        <f>VLOOKUP($A206,'Data shares'!$C:$FA,74)</f>
        <v>7346300</v>
      </c>
      <c r="F206" s="86">
        <f>VLOOKUP($A206,'Data shares'!$C:$FA,76)</f>
        <v>9300</v>
      </c>
      <c r="G206" s="87">
        <f>VLOOKUP(A206,'Data shares'!$C$2:$CA$214,77,0)</f>
        <v>1.2999999999999999E-3</v>
      </c>
      <c r="H206" s="86">
        <f>VLOOKUP($A206,'Data shares'!$C:$FA,90)</f>
        <v>4098500</v>
      </c>
      <c r="I206" s="86">
        <f>VLOOKUP($A206,'Data shares'!$C:$FA,92)</f>
        <v>-207700</v>
      </c>
      <c r="J206" s="87">
        <f>VLOOKUP($A206,'Data shares'!$C:$FA,93)</f>
        <v>-4.82E-2</v>
      </c>
      <c r="K206" s="86">
        <f>VLOOKUP($A206,'Data shares'!$C:$FA,94)</f>
        <v>3023100</v>
      </c>
      <c r="L206" s="86">
        <f>VLOOKUP($A206,'Data shares'!$C:$FA,96)</f>
        <v>80700</v>
      </c>
      <c r="M206" s="87">
        <f>VLOOKUP($A206,'Data shares'!$C:$FA,97)</f>
        <v>2.7400000000000001E-2</v>
      </c>
      <c r="N206" s="86">
        <f>VLOOKUP($A206,'Data shares'!$C:$FA,78)</f>
        <v>6912500</v>
      </c>
      <c r="O206" s="87">
        <f>VLOOKUP($A206,'Data shares'!$C:$FA,81)</f>
        <v>1.2999999999999999E-3</v>
      </c>
    </row>
    <row r="207" spans="1:15" x14ac:dyDescent="0.25">
      <c r="A207" s="100" t="str">
        <f>'Data Vlaue (Cr)'!C202</f>
        <v>TVSMOTOR</v>
      </c>
      <c r="B207" s="82">
        <f>VLOOKUP(A207,'Data shares'!$C$2:$CV$214,98,0)</f>
        <v>11696475</v>
      </c>
      <c r="C207" s="82">
        <f>VLOOKUP(A207,'Data shares'!$C$2:$CX$214,100,0)</f>
        <v>430675</v>
      </c>
      <c r="D207" s="141">
        <f>VLOOKUP(A207,'Data shares'!$C$2:$CY$537,101,0)</f>
        <v>3.8199999999999998E-2</v>
      </c>
      <c r="E207" s="86">
        <f>VLOOKUP($A207,'Data shares'!$C:$FA,74)</f>
        <v>8225525</v>
      </c>
      <c r="F207" s="86">
        <f>VLOOKUP($A207,'Data shares'!$C:$FA,76)</f>
        <v>5250</v>
      </c>
      <c r="G207" s="87">
        <f>VLOOKUP(A207,'Data shares'!$C$2:$CA$214,77,0)</f>
        <v>5.9999999999999995E-4</v>
      </c>
      <c r="H207" s="86">
        <f>VLOOKUP($A207,'Data shares'!$C:$FA,90)</f>
        <v>2068675</v>
      </c>
      <c r="I207" s="86">
        <f>VLOOKUP($A207,'Data shares'!$C:$FA,92)</f>
        <v>274750</v>
      </c>
      <c r="J207" s="87">
        <f>VLOOKUP($A207,'Data shares'!$C:$FA,93)</f>
        <v>0.1532</v>
      </c>
      <c r="K207" s="86">
        <f>VLOOKUP($A207,'Data shares'!$C:$FA,94)</f>
        <v>1402275</v>
      </c>
      <c r="L207" s="86">
        <f>VLOOKUP($A207,'Data shares'!$C:$FA,96)</f>
        <v>150675</v>
      </c>
      <c r="M207" s="87">
        <f>VLOOKUP($A207,'Data shares'!$C:$FA,97)</f>
        <v>0.12039999999999999</v>
      </c>
      <c r="N207" s="86">
        <f>VLOOKUP($A207,'Data shares'!$C:$FA,78)</f>
        <v>8102500</v>
      </c>
      <c r="O207" s="87">
        <f>VLOOKUP($A207,'Data shares'!$C:$FA,81)</f>
        <v>-2.0000000000000001E-4</v>
      </c>
    </row>
    <row r="208" spans="1:15" x14ac:dyDescent="0.25">
      <c r="A208" s="100" t="str">
        <f>'Data Vlaue (Cr)'!C203</f>
        <v>ULTRACEMCO</v>
      </c>
      <c r="B208" s="82">
        <f>VLOOKUP(A208,'Data shares'!$C$2:$CV$214,98,0)</f>
        <v>3634900</v>
      </c>
      <c r="C208" s="82">
        <f>VLOOKUP(A208,'Data shares'!$C$2:$CX$214,100,0)</f>
        <v>-16750</v>
      </c>
      <c r="D208" s="141">
        <f>VLOOKUP(A208,'Data shares'!$C$2:$CY$537,101,0)</f>
        <v>-4.5999999999999999E-3</v>
      </c>
      <c r="E208" s="86">
        <f>VLOOKUP($A208,'Data shares'!$C:$FA,74)</f>
        <v>2361100</v>
      </c>
      <c r="F208" s="86">
        <f>VLOOKUP($A208,'Data shares'!$C:$FA,76)</f>
        <v>-33600</v>
      </c>
      <c r="G208" s="87">
        <f>VLOOKUP(A208,'Data shares'!$C$2:$CA$214,77,0)</f>
        <v>-1.4E-2</v>
      </c>
      <c r="H208" s="86">
        <f>VLOOKUP($A208,'Data shares'!$C:$FA,90)</f>
        <v>765500</v>
      </c>
      <c r="I208" s="86">
        <f>VLOOKUP($A208,'Data shares'!$C:$FA,92)</f>
        <v>31000</v>
      </c>
      <c r="J208" s="87">
        <f>VLOOKUP($A208,'Data shares'!$C:$FA,93)</f>
        <v>4.2200000000000001E-2</v>
      </c>
      <c r="K208" s="86">
        <f>VLOOKUP($A208,'Data shares'!$C:$FA,94)</f>
        <v>508300</v>
      </c>
      <c r="L208" s="86">
        <f>VLOOKUP($A208,'Data shares'!$C:$FA,96)</f>
        <v>-14150</v>
      </c>
      <c r="M208" s="87">
        <f>VLOOKUP($A208,'Data shares'!$C:$FA,97)</f>
        <v>-2.7099999999999999E-2</v>
      </c>
      <c r="N208" s="86">
        <f>VLOOKUP($A208,'Data shares'!$C:$FA,78)</f>
        <v>2179850</v>
      </c>
      <c r="O208" s="87">
        <f>VLOOKUP($A208,'Data shares'!$C:$FA,81)</f>
        <v>-1.5800000000000002E-2</v>
      </c>
    </row>
    <row r="209" spans="1:15" x14ac:dyDescent="0.25">
      <c r="A209" s="100" t="str">
        <f>'Data Vlaue (Cr)'!C204</f>
        <v>UNIONBANK</v>
      </c>
      <c r="B209" s="82">
        <f>VLOOKUP(A209,'Data shares'!$C$2:$CV$214,98,0)</f>
        <v>134166000</v>
      </c>
      <c r="C209" s="82">
        <f>VLOOKUP(A209,'Data shares'!$C$2:$CX$214,100,0)</f>
        <v>-1858500</v>
      </c>
      <c r="D209" s="141">
        <f>VLOOKUP(A209,'Data shares'!$C$2:$CY$537,101,0)</f>
        <v>-1.37E-2</v>
      </c>
      <c r="E209" s="86">
        <f>VLOOKUP($A209,'Data shares'!$C:$FA,74)</f>
        <v>61839375</v>
      </c>
      <c r="F209" s="86">
        <f>VLOOKUP($A209,'Data shares'!$C:$FA,76)</f>
        <v>-305325</v>
      </c>
      <c r="G209" s="87">
        <f>VLOOKUP(A209,'Data shares'!$C$2:$CA$214,77,0)</f>
        <v>-4.8999999999999998E-3</v>
      </c>
      <c r="H209" s="86">
        <f>VLOOKUP($A209,'Data shares'!$C:$FA,90)</f>
        <v>44081850</v>
      </c>
      <c r="I209" s="86">
        <f>VLOOKUP($A209,'Data shares'!$C:$FA,92)</f>
        <v>-2681550</v>
      </c>
      <c r="J209" s="87">
        <f>VLOOKUP($A209,'Data shares'!$C:$FA,93)</f>
        <v>-5.7299999999999997E-2</v>
      </c>
      <c r="K209" s="86">
        <f>VLOOKUP($A209,'Data shares'!$C:$FA,94)</f>
        <v>28244775</v>
      </c>
      <c r="L209" s="86">
        <f>VLOOKUP($A209,'Data shares'!$C:$FA,96)</f>
        <v>1128375</v>
      </c>
      <c r="M209" s="87">
        <f>VLOOKUP($A209,'Data shares'!$C:$FA,97)</f>
        <v>4.1599999999999998E-2</v>
      </c>
      <c r="N209" s="86">
        <f>VLOOKUP($A209,'Data shares'!$C:$FA,78)</f>
        <v>58206450</v>
      </c>
      <c r="O209" s="87">
        <f>VLOOKUP($A209,'Data shares'!$C:$FA,81)</f>
        <v>-1.0699999999999999E-2</v>
      </c>
    </row>
    <row r="210" spans="1:15" x14ac:dyDescent="0.25">
      <c r="A210" s="100" t="str">
        <f>'Data Vlaue (Cr)'!C205</f>
        <v>UNITDSPR</v>
      </c>
      <c r="B210" s="82">
        <f>VLOOKUP(A210,'Data shares'!$C$2:$CV$214,98,0)</f>
        <v>15440400</v>
      </c>
      <c r="C210" s="82">
        <f>VLOOKUP(A210,'Data shares'!$C$2:$CX$214,100,0)</f>
        <v>19200</v>
      </c>
      <c r="D210" s="141">
        <f>VLOOKUP(A210,'Data shares'!$C$2:$CY$537,101,0)</f>
        <v>1.1999999999999999E-3</v>
      </c>
      <c r="E210" s="86">
        <f>VLOOKUP($A210,'Data shares'!$C:$FA,74)</f>
        <v>10232800</v>
      </c>
      <c r="F210" s="86">
        <f>VLOOKUP($A210,'Data shares'!$C:$FA,76)</f>
        <v>12400</v>
      </c>
      <c r="G210" s="87">
        <f>VLOOKUP(A210,'Data shares'!$C$2:$CA$214,77,0)</f>
        <v>1.1999999999999999E-3</v>
      </c>
      <c r="H210" s="86">
        <f>VLOOKUP($A210,'Data shares'!$C:$FA,90)</f>
        <v>2690000</v>
      </c>
      <c r="I210" s="86">
        <f>VLOOKUP($A210,'Data shares'!$C:$FA,92)</f>
        <v>-1600</v>
      </c>
      <c r="J210" s="87">
        <f>VLOOKUP($A210,'Data shares'!$C:$FA,93)</f>
        <v>-5.9999999999999995E-4</v>
      </c>
      <c r="K210" s="86">
        <f>VLOOKUP($A210,'Data shares'!$C:$FA,94)</f>
        <v>2517600</v>
      </c>
      <c r="L210" s="86">
        <f>VLOOKUP($A210,'Data shares'!$C:$FA,96)</f>
        <v>8400</v>
      </c>
      <c r="M210" s="87">
        <f>VLOOKUP($A210,'Data shares'!$C:$FA,97)</f>
        <v>3.3E-3</v>
      </c>
      <c r="N210" s="86">
        <f>VLOOKUP($A210,'Data shares'!$C:$FA,78)</f>
        <v>10046000</v>
      </c>
      <c r="O210" s="87">
        <f>VLOOKUP($A210,'Data shares'!$C:$FA,81)</f>
        <v>-1E-4</v>
      </c>
    </row>
    <row r="211" spans="1:15" x14ac:dyDescent="0.25">
      <c r="A211" s="100" t="str">
        <f>'Data Vlaue (Cr)'!C206</f>
        <v>UNOMINDA</v>
      </c>
      <c r="B211" s="82">
        <f>VLOOKUP(A211,'Data shares'!$C$2:$CV$214,98,0)</f>
        <v>9609050</v>
      </c>
      <c r="C211" s="82">
        <f>VLOOKUP(A211,'Data shares'!$C$2:$CX$214,100,0)</f>
        <v>-80850</v>
      </c>
      <c r="D211" s="141">
        <f>VLOOKUP(A211,'Data shares'!$C$2:$CY$537,101,0)</f>
        <v>-8.3000000000000001E-3</v>
      </c>
      <c r="E211" s="86">
        <f>VLOOKUP($A211,'Data shares'!$C:$FA,74)</f>
        <v>6382750</v>
      </c>
      <c r="F211" s="86">
        <f>VLOOKUP($A211,'Data shares'!$C:$FA,76)</f>
        <v>12650</v>
      </c>
      <c r="G211" s="87">
        <f>VLOOKUP(A211,'Data shares'!$C$2:$CA$214,77,0)</f>
        <v>2E-3</v>
      </c>
      <c r="H211" s="86">
        <f>VLOOKUP($A211,'Data shares'!$C:$FA,90)</f>
        <v>1777600</v>
      </c>
      <c r="I211" s="86">
        <f>VLOOKUP($A211,'Data shares'!$C:$FA,92)</f>
        <v>-67100</v>
      </c>
      <c r="J211" s="87">
        <f>VLOOKUP($A211,'Data shares'!$C:$FA,93)</f>
        <v>-3.6400000000000002E-2</v>
      </c>
      <c r="K211" s="86">
        <f>VLOOKUP($A211,'Data shares'!$C:$FA,94)</f>
        <v>1448700</v>
      </c>
      <c r="L211" s="86">
        <f>VLOOKUP($A211,'Data shares'!$C:$FA,96)</f>
        <v>-26400</v>
      </c>
      <c r="M211" s="87">
        <f>VLOOKUP($A211,'Data shares'!$C:$FA,97)</f>
        <v>-1.7899999999999999E-2</v>
      </c>
      <c r="N211" s="86">
        <f>VLOOKUP($A211,'Data shares'!$C:$FA,78)</f>
        <v>6266150</v>
      </c>
      <c r="O211" s="87">
        <f>VLOOKUP($A211,'Data shares'!$C:$FA,81)</f>
        <v>1.2999999999999999E-3</v>
      </c>
    </row>
    <row r="212" spans="1:15" x14ac:dyDescent="0.25">
      <c r="A212" s="100" t="str">
        <f>'Data Vlaue (Cr)'!C207</f>
        <v>UPL</v>
      </c>
      <c r="B212" s="82">
        <f>VLOOKUP(A212,'Data shares'!$C$2:$CV$214,98,0)</f>
        <v>50370770</v>
      </c>
      <c r="C212" s="82">
        <f>VLOOKUP(A212,'Data shares'!$C$2:$CX$214,100,0)</f>
        <v>-310295</v>
      </c>
      <c r="D212" s="141">
        <f>VLOOKUP(A212,'Data shares'!$C$2:$CY$537,101,0)</f>
        <v>-6.1000000000000004E-3</v>
      </c>
      <c r="E212" s="86">
        <f>VLOOKUP($A212,'Data shares'!$C:$FA,74)</f>
        <v>29299165</v>
      </c>
      <c r="F212" s="86">
        <f>VLOOKUP($A212,'Data shares'!$C:$FA,76)</f>
        <v>-98915</v>
      </c>
      <c r="G212" s="87">
        <f>VLOOKUP(A212,'Data shares'!$C$2:$CA$214,77,0)</f>
        <v>-3.3999999999999998E-3</v>
      </c>
      <c r="H212" s="86">
        <f>VLOOKUP($A212,'Data shares'!$C:$FA,90)</f>
        <v>13266805</v>
      </c>
      <c r="I212" s="86">
        <f>VLOOKUP($A212,'Data shares'!$C:$FA,92)</f>
        <v>-181570</v>
      </c>
      <c r="J212" s="87">
        <f>VLOOKUP($A212,'Data shares'!$C:$FA,93)</f>
        <v>-1.35E-2</v>
      </c>
      <c r="K212" s="86">
        <f>VLOOKUP($A212,'Data shares'!$C:$FA,94)</f>
        <v>7804800</v>
      </c>
      <c r="L212" s="86">
        <f>VLOOKUP($A212,'Data shares'!$C:$FA,96)</f>
        <v>-29810</v>
      </c>
      <c r="M212" s="87">
        <f>VLOOKUP($A212,'Data shares'!$C:$FA,97)</f>
        <v>-3.8E-3</v>
      </c>
      <c r="N212" s="86">
        <f>VLOOKUP($A212,'Data shares'!$C:$FA,78)</f>
        <v>28602695</v>
      </c>
      <c r="O212" s="87">
        <f>VLOOKUP($A212,'Data shares'!$C:$FA,81)</f>
        <v>-7.4999999999999997E-3</v>
      </c>
    </row>
    <row r="213" spans="1:15" x14ac:dyDescent="0.25">
      <c r="A213" s="100" t="str">
        <f>'Data Vlaue (Cr)'!C208</f>
        <v>VBL</v>
      </c>
      <c r="B213" s="82">
        <f>VLOOKUP(A213,'Data shares'!$C$2:$CV$214,98,0)</f>
        <v>80241750</v>
      </c>
      <c r="C213" s="82">
        <f>VLOOKUP(A213,'Data shares'!$C$2:$CX$214,100,0)</f>
        <v>-348750</v>
      </c>
      <c r="D213" s="141">
        <f>VLOOKUP(A213,'Data shares'!$C$2:$CY$537,101,0)</f>
        <v>-4.3E-3</v>
      </c>
      <c r="E213" s="86">
        <f>VLOOKUP($A213,'Data shares'!$C:$FA,74)</f>
        <v>44451000</v>
      </c>
      <c r="F213" s="86">
        <f>VLOOKUP($A213,'Data shares'!$C:$FA,76)</f>
        <v>-151875</v>
      </c>
      <c r="G213" s="87">
        <f>VLOOKUP(A213,'Data shares'!$C$2:$CA$214,77,0)</f>
        <v>-3.3999999999999998E-3</v>
      </c>
      <c r="H213" s="86">
        <f>VLOOKUP($A213,'Data shares'!$C:$FA,90)</f>
        <v>23272875</v>
      </c>
      <c r="I213" s="86">
        <f>VLOOKUP($A213,'Data shares'!$C:$FA,92)</f>
        <v>174375</v>
      </c>
      <c r="J213" s="87">
        <f>VLOOKUP($A213,'Data shares'!$C:$FA,93)</f>
        <v>7.4999999999999997E-3</v>
      </c>
      <c r="K213" s="86">
        <f>VLOOKUP($A213,'Data shares'!$C:$FA,94)</f>
        <v>12517875</v>
      </c>
      <c r="L213" s="86">
        <f>VLOOKUP($A213,'Data shares'!$C:$FA,96)</f>
        <v>-371250</v>
      </c>
      <c r="M213" s="87">
        <f>VLOOKUP($A213,'Data shares'!$C:$FA,97)</f>
        <v>-2.8799999999999999E-2</v>
      </c>
      <c r="N213" s="86">
        <f>VLOOKUP($A213,'Data shares'!$C:$FA,78)</f>
        <v>42208875</v>
      </c>
      <c r="O213" s="87">
        <f>VLOOKUP($A213,'Data shares'!$C:$FA,81)</f>
        <v>-4.1000000000000003E-3</v>
      </c>
    </row>
    <row r="214" spans="1:15" x14ac:dyDescent="0.25">
      <c r="A214" s="100" t="str">
        <f>'Data Vlaue (Cr)'!C209</f>
        <v>VEDL</v>
      </c>
      <c r="B214" s="82">
        <f>VLOOKUP(A214,'Data shares'!$C$2:$CV$214,98,0)</f>
        <v>174081250</v>
      </c>
      <c r="C214" s="82">
        <f>VLOOKUP(A214,'Data shares'!$C$2:$CX$214,100,0)</f>
        <v>-2257450</v>
      </c>
      <c r="D214" s="141">
        <f>VLOOKUP(A214,'Data shares'!$C$2:$CY$537,101,0)</f>
        <v>-1.2800000000000001E-2</v>
      </c>
      <c r="E214" s="86">
        <f>VLOOKUP($A214,'Data shares'!$C:$FA,74)</f>
        <v>83645250</v>
      </c>
      <c r="F214" s="86">
        <f>VLOOKUP($A214,'Data shares'!$C:$FA,76)</f>
        <v>274850</v>
      </c>
      <c r="G214" s="87">
        <f>VLOOKUP(A214,'Data shares'!$C$2:$CA$214,77,0)</f>
        <v>3.3E-3</v>
      </c>
      <c r="H214" s="86">
        <f>VLOOKUP($A214,'Data shares'!$C:$FA,90)</f>
        <v>55381700</v>
      </c>
      <c r="I214" s="86">
        <f>VLOOKUP($A214,'Data shares'!$C:$FA,92)</f>
        <v>-2263200</v>
      </c>
      <c r="J214" s="87">
        <f>VLOOKUP($A214,'Data shares'!$C:$FA,93)</f>
        <v>-3.9300000000000002E-2</v>
      </c>
      <c r="K214" s="86">
        <f>VLOOKUP($A214,'Data shares'!$C:$FA,94)</f>
        <v>35054300</v>
      </c>
      <c r="L214" s="86">
        <f>VLOOKUP($A214,'Data shares'!$C:$FA,96)</f>
        <v>-269100</v>
      </c>
      <c r="M214" s="87">
        <f>VLOOKUP($A214,'Data shares'!$C:$FA,97)</f>
        <v>-7.6E-3</v>
      </c>
      <c r="N214" s="86">
        <f>VLOOKUP($A214,'Data shares'!$C:$FA,78)</f>
        <v>76713050</v>
      </c>
      <c r="O214" s="87">
        <f>VLOOKUP($A214,'Data shares'!$C:$FA,81)</f>
        <v>8.0000000000000004E-4</v>
      </c>
    </row>
    <row r="215" spans="1:15" x14ac:dyDescent="0.25">
      <c r="A215" s="100" t="str">
        <f>'Data Vlaue (Cr)'!C210</f>
        <v>VOLTAS</v>
      </c>
      <c r="B215" s="82">
        <f>VLOOKUP(A215,'Data shares'!$C$2:$CV$214,98,0)</f>
        <v>18867750</v>
      </c>
      <c r="C215" s="82">
        <f>VLOOKUP(A215,'Data shares'!$C$2:$CX$214,100,0)</f>
        <v>342000</v>
      </c>
      <c r="D215" s="141">
        <f>VLOOKUP(A215,'Data shares'!$C$2:$CY$537,101,0)</f>
        <v>1.8499999999999999E-2</v>
      </c>
      <c r="E215" s="86">
        <f>VLOOKUP($A215,'Data shares'!$C:$FA,74)</f>
        <v>11803875</v>
      </c>
      <c r="F215" s="86">
        <f>VLOOKUP($A215,'Data shares'!$C:$FA,76)</f>
        <v>145875</v>
      </c>
      <c r="G215" s="87">
        <f>VLOOKUP(A215,'Data shares'!$C$2:$CA$214,77,0)</f>
        <v>1.2500000000000001E-2</v>
      </c>
      <c r="H215" s="86">
        <f>VLOOKUP($A215,'Data shares'!$C:$FA,90)</f>
        <v>3464250</v>
      </c>
      <c r="I215" s="86">
        <f>VLOOKUP($A215,'Data shares'!$C:$FA,92)</f>
        <v>-21750</v>
      </c>
      <c r="J215" s="87">
        <f>VLOOKUP($A215,'Data shares'!$C:$FA,93)</f>
        <v>-6.1999999999999998E-3</v>
      </c>
      <c r="K215" s="86">
        <f>VLOOKUP($A215,'Data shares'!$C:$FA,94)</f>
        <v>3599625</v>
      </c>
      <c r="L215" s="86">
        <f>VLOOKUP($A215,'Data shares'!$C:$FA,96)</f>
        <v>217875</v>
      </c>
      <c r="M215" s="87">
        <f>VLOOKUP($A215,'Data shares'!$C:$FA,97)</f>
        <v>6.4399999999999999E-2</v>
      </c>
      <c r="N215" s="86">
        <f>VLOOKUP($A215,'Data shares'!$C:$FA,78)</f>
        <v>10782750</v>
      </c>
      <c r="O215" s="87">
        <f>VLOOKUP($A215,'Data shares'!$C:$FA,81)</f>
        <v>-1.21E-2</v>
      </c>
    </row>
    <row r="216" spans="1:15" s="89" customFormat="1" ht="16.5" customHeight="1" x14ac:dyDescent="0.2">
      <c r="A216" s="100" t="str">
        <f>'Data Vlaue (Cr)'!C211</f>
        <v>WAAREEENER</v>
      </c>
      <c r="B216" s="82">
        <f>VLOOKUP(A216,'Data shares'!$C$2:$CV$214,98,0)</f>
        <v>4943050</v>
      </c>
      <c r="C216" s="82">
        <f>VLOOKUP(A216,'Data shares'!$C$2:$CX$214,100,0)</f>
        <v>180600</v>
      </c>
      <c r="D216" s="141">
        <f>VLOOKUP(A216,'Data shares'!$C$2:$CY$537,101,0)</f>
        <v>3.7900000000000003E-2</v>
      </c>
      <c r="E216" s="86">
        <f>VLOOKUP($A216,'Data shares'!$C:$FA,74)</f>
        <v>2592625</v>
      </c>
      <c r="F216" s="86">
        <f>VLOOKUP($A216,'Data shares'!$C:$FA,76)</f>
        <v>268275</v>
      </c>
      <c r="G216" s="87">
        <f>VLOOKUP(A216,'Data shares'!$C$2:$CA$214,77,0)</f>
        <v>0.1154</v>
      </c>
      <c r="H216" s="86">
        <f>VLOOKUP($A216,'Data shares'!$C:$FA,90)</f>
        <v>1404375</v>
      </c>
      <c r="I216" s="86">
        <f>VLOOKUP($A216,'Data shares'!$C:$FA,92)</f>
        <v>-73675</v>
      </c>
      <c r="J216" s="87">
        <f>VLOOKUP($A216,'Data shares'!$C:$FA,93)</f>
        <v>-4.9799999999999997E-2</v>
      </c>
      <c r="K216" s="86">
        <f>VLOOKUP($A216,'Data shares'!$C:$FA,94)</f>
        <v>946050</v>
      </c>
      <c r="L216" s="86">
        <f>VLOOKUP($A216,'Data shares'!$C:$FA,96)</f>
        <v>-14000</v>
      </c>
      <c r="M216" s="87">
        <f>VLOOKUP($A216,'Data shares'!$C:$FA,97)</f>
        <v>-1.46E-2</v>
      </c>
      <c r="N216" s="86">
        <f>VLOOKUP($A216,'Data shares'!$C:$FA,78)</f>
        <v>2195900</v>
      </c>
      <c r="O216" s="87">
        <f>VLOOKUP($A216,'Data shares'!$C:$FA,81)</f>
        <v>3.39E-2</v>
      </c>
    </row>
    <row r="217" spans="1:15" s="89" customFormat="1" ht="16.5" customHeight="1" x14ac:dyDescent="0.2">
      <c r="A217" s="100" t="str">
        <f>'Data Vlaue (Cr)'!C212</f>
        <v>WIPRO</v>
      </c>
      <c r="B217" s="82">
        <f>VLOOKUP(A217,'Data shares'!$C$2:$CV$214,98,0)</f>
        <v>316347000</v>
      </c>
      <c r="C217" s="82">
        <f>VLOOKUP(A217,'Data shares'!$C$2:$CX$214,100,0)</f>
        <v>3579000</v>
      </c>
      <c r="D217" s="141">
        <f>VLOOKUP(A217,'Data shares'!$C$2:$CY$537,101,0)</f>
        <v>1.14E-2</v>
      </c>
      <c r="E217" s="86">
        <f>VLOOKUP($A217,'Data shares'!$C:$FA,74)</f>
        <v>162900000</v>
      </c>
      <c r="F217" s="86">
        <f>VLOOKUP($A217,'Data shares'!$C:$FA,76)</f>
        <v>1305000</v>
      </c>
      <c r="G217" s="87">
        <f>VLOOKUP(A217,'Data shares'!$C$2:$CA$214,77,0)</f>
        <v>8.0999999999999996E-3</v>
      </c>
      <c r="H217" s="86">
        <f>VLOOKUP($A217,'Data shares'!$C:$FA,90)</f>
        <v>98784000</v>
      </c>
      <c r="I217" s="86">
        <f>VLOOKUP($A217,'Data shares'!$C:$FA,92)</f>
        <v>1044000</v>
      </c>
      <c r="J217" s="87">
        <f>VLOOKUP($A217,'Data shares'!$C:$FA,93)</f>
        <v>1.0699999999999999E-2</v>
      </c>
      <c r="K217" s="86">
        <f>VLOOKUP($A217,'Data shares'!$C:$FA,94)</f>
        <v>54663000</v>
      </c>
      <c r="L217" s="86">
        <f>VLOOKUP($A217,'Data shares'!$C:$FA,96)</f>
        <v>1230000</v>
      </c>
      <c r="M217" s="87">
        <f>VLOOKUP($A217,'Data shares'!$C:$FA,97)</f>
        <v>2.3E-2</v>
      </c>
      <c r="N217" s="86">
        <f>VLOOKUP($A217,'Data shares'!$C:$FA,78)</f>
        <v>125964000</v>
      </c>
      <c r="O217" s="87">
        <f>VLOOKUP($A217,'Data shares'!$C:$FA,81)</f>
        <v>-9.1000000000000004E-3</v>
      </c>
    </row>
    <row r="218" spans="1:15" x14ac:dyDescent="0.25">
      <c r="A218" s="100" t="str">
        <f>'Data Vlaue (Cr)'!C213</f>
        <v>YESBANK</v>
      </c>
      <c r="B218" s="82">
        <f>VLOOKUP(A218,'Data shares'!$C$2:$CV$214,98,0)</f>
        <v>1774752600</v>
      </c>
      <c r="C218" s="82">
        <f>VLOOKUP(A218,'Data shares'!$C$2:$CX$214,100,0)</f>
        <v>-2954500</v>
      </c>
      <c r="D218" s="141">
        <f>VLOOKUP(A218,'Data shares'!$C$2:$CY$537,101,0)</f>
        <v>-1.6999999999999999E-3</v>
      </c>
      <c r="E218" s="86">
        <f>VLOOKUP($A218,'Data shares'!$C:$FA,74)</f>
        <v>1047043700</v>
      </c>
      <c r="F218" s="86">
        <f>VLOOKUP($A218,'Data shares'!$C:$FA,76)</f>
        <v>-1866000</v>
      </c>
      <c r="G218" s="87">
        <f>VLOOKUP(A218,'Data shares'!$C$2:$CA$214,77,0)</f>
        <v>-1.8E-3</v>
      </c>
      <c r="H218" s="86">
        <f>VLOOKUP($A218,'Data shares'!$C:$FA,90)</f>
        <v>483169600</v>
      </c>
      <c r="I218" s="86">
        <f>VLOOKUP($A218,'Data shares'!$C:$FA,92)</f>
        <v>2363600</v>
      </c>
      <c r="J218" s="87">
        <f>VLOOKUP($A218,'Data shares'!$C:$FA,93)</f>
        <v>4.8999999999999998E-3</v>
      </c>
      <c r="K218" s="86">
        <f>VLOOKUP($A218,'Data shares'!$C:$FA,94)</f>
        <v>244539300</v>
      </c>
      <c r="L218" s="86">
        <f>VLOOKUP($A218,'Data shares'!$C:$FA,96)</f>
        <v>-3452100</v>
      </c>
      <c r="M218" s="87">
        <f>VLOOKUP($A218,'Data shares'!$C:$FA,97)</f>
        <v>-1.3899999999999999E-2</v>
      </c>
      <c r="N218" s="86">
        <f>VLOOKUP($A218,'Data shares'!$C:$FA,78)</f>
        <v>929423500</v>
      </c>
      <c r="O218" s="87">
        <f>VLOOKUP($A218,'Data shares'!$C:$FA,81)</f>
        <v>-9.5999999999999992E-3</v>
      </c>
    </row>
    <row r="219" spans="1:15" x14ac:dyDescent="0.25">
      <c r="A219" s="100"/>
      <c r="B219" s="82"/>
      <c r="C219" s="82"/>
      <c r="D219" s="141"/>
      <c r="E219" s="86"/>
      <c r="F219" s="86"/>
      <c r="G219" s="87"/>
      <c r="H219" s="86"/>
      <c r="I219" s="86"/>
      <c r="J219" s="87"/>
      <c r="K219" s="86"/>
      <c r="L219" s="86"/>
      <c r="M219" s="87"/>
      <c r="N219" s="86"/>
      <c r="O219" s="87"/>
    </row>
    <row r="220" spans="1:15" x14ac:dyDescent="0.25">
      <c r="A220" s="100" t="str">
        <f>'Data Vlaue (Cr)'!C214</f>
        <v>ZYDUSLIFE</v>
      </c>
      <c r="B220" s="82">
        <f>VLOOKUP(A220,'Data shares'!$C$2:$CV$214,98,0)</f>
        <v>26514000</v>
      </c>
      <c r="C220" s="82">
        <f>VLOOKUP(A220,'Data shares'!$C$2:$CX$214,100,0)</f>
        <v>-1893600</v>
      </c>
      <c r="D220" s="141">
        <f>VLOOKUP(A220,'Data shares'!$C$2:$CY$537,101,0)</f>
        <v>-6.6699999999999995E-2</v>
      </c>
      <c r="E220" s="86">
        <f>VLOOKUP($A220,'Data shares'!$C:$FA,74)</f>
        <v>11232000</v>
      </c>
      <c r="F220" s="86">
        <f>VLOOKUP($A220,'Data shares'!$C:$FA,76)</f>
        <v>-189000</v>
      </c>
      <c r="G220" s="87">
        <f>VLOOKUP(A220,'Data shares'!$C$2:$CA$214,77,0)</f>
        <v>-1.6500000000000001E-2</v>
      </c>
      <c r="H220" s="86">
        <f>VLOOKUP($A220,'Data shares'!$C:$FA,90)</f>
        <v>10554300</v>
      </c>
      <c r="I220" s="86">
        <f>VLOOKUP($A220,'Data shares'!$C:$FA,92)</f>
        <v>-1386000</v>
      </c>
      <c r="J220" s="87">
        <f>VLOOKUP($A220,'Data shares'!$C:$FA,93)</f>
        <v>-0.11609999999999999</v>
      </c>
      <c r="K220" s="86">
        <f>VLOOKUP($A220,'Data shares'!$C:$FA,94)</f>
        <v>4727700</v>
      </c>
      <c r="L220" s="86">
        <f>VLOOKUP($A220,'Data shares'!$C:$FA,96)</f>
        <v>-318600</v>
      </c>
      <c r="M220" s="87">
        <f>VLOOKUP($A220,'Data shares'!$C:$FA,97)</f>
        <v>-6.3100000000000003E-2</v>
      </c>
      <c r="N220" s="86">
        <f>VLOOKUP($A220,'Data shares'!$C:$FA,78)</f>
        <v>10492200</v>
      </c>
      <c r="O220" s="87">
        <f>VLOOKUP($A220,'Data shares'!$C:$FA,81)</f>
        <v>-2.87E-2</v>
      </c>
    </row>
    <row r="221" spans="1:15" x14ac:dyDescent="0.25">
      <c r="A221" s="100"/>
      <c r="B221" s="82"/>
      <c r="C221" s="82"/>
      <c r="D221" s="141"/>
      <c r="E221" s="86"/>
      <c r="F221" s="86"/>
      <c r="G221" s="87"/>
      <c r="H221" s="86"/>
      <c r="I221" s="86"/>
      <c r="J221" s="87"/>
      <c r="K221" s="86"/>
      <c r="L221" s="86"/>
      <c r="M221" s="87"/>
      <c r="N221" s="86"/>
      <c r="O221" s="87"/>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17"/>
      <c r="C227" s="17"/>
      <c r="D227" s="17"/>
      <c r="E227" s="17"/>
      <c r="F227" s="17"/>
      <c r="G227" s="17"/>
      <c r="H227" s="17"/>
      <c r="I227" s="17"/>
      <c r="J227" s="17"/>
      <c r="K227" s="17"/>
      <c r="L227" s="17"/>
      <c r="M227" s="17"/>
      <c r="N227" s="17"/>
      <c r="O227" s="17"/>
    </row>
    <row r="228" spans="1:15" x14ac:dyDescent="0.25">
      <c r="A228" s="98"/>
      <c r="B228" s="17"/>
      <c r="C228" s="17"/>
      <c r="D228" s="17"/>
      <c r="E228" s="17"/>
      <c r="F228" s="17"/>
      <c r="G228" s="17"/>
      <c r="H228" s="17"/>
      <c r="I228" s="17"/>
      <c r="J228" s="17"/>
      <c r="K228" s="17"/>
      <c r="L228" s="17"/>
      <c r="M228" s="17"/>
      <c r="N228" s="17"/>
      <c r="O228" s="17"/>
    </row>
    <row r="229" spans="1:15" x14ac:dyDescent="0.25">
      <c r="A229" s="118" t="s">
        <v>391</v>
      </c>
      <c r="B229" s="119">
        <f>SUM(B7:B222)</f>
        <v>28741712406</v>
      </c>
      <c r="C229" s="119">
        <f>SUM(C7:C222)</f>
        <v>117410519</v>
      </c>
      <c r="D229" s="120">
        <f>C229*100/(B229-C229)</f>
        <v>0.41017775547330676</v>
      </c>
      <c r="E229" s="119">
        <f>SUM(E7:E222)</f>
        <v>17173402598</v>
      </c>
      <c r="F229" s="119">
        <f>SUM(F7:F222)</f>
        <v>31916160</v>
      </c>
      <c r="G229" s="120">
        <f>F229*100/(E229-F229)</f>
        <v>0.1861924875385769</v>
      </c>
      <c r="H229" s="119">
        <f>SUM(H7:H222)</f>
        <v>7120699389</v>
      </c>
      <c r="I229" s="119">
        <f>SUM(I7:I222)</f>
        <v>256618272</v>
      </c>
      <c r="J229" s="120">
        <f>I229*100/(H229-I229)</f>
        <v>3.7385670073805453</v>
      </c>
      <c r="K229" s="119">
        <f>SUM(K7:K222)</f>
        <v>4447610419</v>
      </c>
      <c r="L229" s="119">
        <f>SUM(L7:L222)</f>
        <v>171909427</v>
      </c>
      <c r="M229" s="120">
        <f>L229*100/(K229-L229)</f>
        <v>4.0206138670980289</v>
      </c>
      <c r="N229" s="119">
        <f>SUM(N7:N222)</f>
        <v>15861851794</v>
      </c>
      <c r="O229" s="120">
        <f>(N229-FII!V3)/N229*100</f>
        <v>-0.71240801810255516</v>
      </c>
    </row>
    <row r="230" spans="1:15" x14ac:dyDescent="0.25">
      <c r="A230" s="118" t="s">
        <v>409</v>
      </c>
      <c r="B230" s="121">
        <f>B229/10000000</f>
        <v>2874.1712406000001</v>
      </c>
      <c r="C230" s="121">
        <f>C229/10000000</f>
        <v>11.7410519</v>
      </c>
      <c r="D230" s="120">
        <f>D229</f>
        <v>0.41017775547330676</v>
      </c>
      <c r="E230" s="121">
        <f>E229/10000000</f>
        <v>1717.3402598</v>
      </c>
      <c r="F230" s="121">
        <f>F229/10000000</f>
        <v>3.1916159999999998</v>
      </c>
      <c r="G230" s="120">
        <f>G229</f>
        <v>0.1861924875385769</v>
      </c>
      <c r="H230" s="121">
        <f>H229/10000000</f>
        <v>712.06993890000001</v>
      </c>
      <c r="I230" s="121">
        <f>I229/10000000</f>
        <v>25.661827200000001</v>
      </c>
      <c r="J230" s="120">
        <f>J229</f>
        <v>3.7385670073805453</v>
      </c>
      <c r="K230" s="121">
        <f>K229/10000000</f>
        <v>444.76104190000001</v>
      </c>
      <c r="L230" s="121">
        <f>L229/10000000</f>
        <v>17.190942700000001</v>
      </c>
      <c r="M230" s="120">
        <f>M229</f>
        <v>4.0206138670980289</v>
      </c>
      <c r="N230" s="121">
        <f>N229/10000000</f>
        <v>1586.1851793999999</v>
      </c>
      <c r="O230" s="120">
        <f>O229</f>
        <v>-0.71240801810255516</v>
      </c>
    </row>
    <row r="238" spans="1:15" x14ac:dyDescent="0.25">
      <c r="A238" s="275" t="s">
        <v>410</v>
      </c>
      <c r="B238" s="275"/>
      <c r="C238" s="275"/>
      <c r="D238" s="275"/>
    </row>
    <row r="239" spans="1:15" x14ac:dyDescent="0.25">
      <c r="A239" s="35" t="s">
        <v>401</v>
      </c>
      <c r="B239" s="35" t="s">
        <v>402</v>
      </c>
      <c r="C239" s="35" t="s">
        <v>369</v>
      </c>
      <c r="D239" s="35" t="s">
        <v>407</v>
      </c>
    </row>
    <row r="240" spans="1:15" x14ac:dyDescent="0.25">
      <c r="A240" s="36" t="s">
        <v>403</v>
      </c>
      <c r="B240" s="37">
        <f>E230</f>
        <v>1717.3402598</v>
      </c>
      <c r="C240" s="37">
        <f>F230</f>
        <v>3.1916159999999998</v>
      </c>
      <c r="D240" s="39">
        <f>C240/B240</f>
        <v>1.8584645540026487E-3</v>
      </c>
    </row>
    <row r="241" spans="1:4" x14ac:dyDescent="0.25">
      <c r="A241" s="36" t="s">
        <v>404</v>
      </c>
      <c r="B241" s="37">
        <f>H230</f>
        <v>712.06993890000001</v>
      </c>
      <c r="C241" s="37">
        <f>I230</f>
        <v>25.661827200000001</v>
      </c>
      <c r="D241" s="39">
        <f>C241/B241</f>
        <v>3.6038352131031098E-2</v>
      </c>
    </row>
    <row r="242" spans="1:4" x14ac:dyDescent="0.25">
      <c r="A242" s="36" t="s">
        <v>405</v>
      </c>
      <c r="B242" s="37">
        <f>K230</f>
        <v>444.76104190000001</v>
      </c>
      <c r="C242" s="37">
        <f>L230</f>
        <v>17.190942700000001</v>
      </c>
      <c r="D242" s="39">
        <f>C242/B242</f>
        <v>3.8652087481765567E-2</v>
      </c>
    </row>
    <row r="243" spans="1:4" x14ac:dyDescent="0.25">
      <c r="A243" s="36" t="s">
        <v>406</v>
      </c>
      <c r="B243" s="40">
        <f>SUM(B240:B242)</f>
        <v>2874.1712405999997</v>
      </c>
      <c r="C243" s="40">
        <f>SUM(C240:C242)</f>
        <v>46.044385900000002</v>
      </c>
      <c r="D243" s="41">
        <f>C243/B243</f>
        <v>1.60200565817324E-2</v>
      </c>
    </row>
  </sheetData>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workbookViewId="0">
      <pane ySplit="6" topLeftCell="A7" activePane="bottomLeft" state="frozen"/>
      <selection pane="bottomLeft" activeCell="C221" sqref="C221"/>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1" t="s">
        <v>334</v>
      </c>
      <c r="B3" s="282"/>
      <c r="C3" s="282"/>
      <c r="D3" s="283"/>
      <c r="E3" s="284"/>
      <c r="F3" s="284"/>
      <c r="G3" s="284"/>
      <c r="H3" s="284"/>
      <c r="I3" s="284"/>
      <c r="J3" s="284"/>
      <c r="K3" s="284"/>
      <c r="L3" s="284"/>
      <c r="M3" s="284"/>
      <c r="N3" s="284"/>
      <c r="O3" s="285"/>
    </row>
    <row r="4" spans="1:15" x14ac:dyDescent="0.25">
      <c r="A4" s="286" t="s">
        <v>330</v>
      </c>
      <c r="B4" s="288" t="s">
        <v>309</v>
      </c>
      <c r="C4" s="289"/>
      <c r="D4" s="289"/>
      <c r="E4" s="289"/>
      <c r="F4" s="289"/>
      <c r="G4" s="289"/>
      <c r="H4" s="289"/>
      <c r="I4" s="289"/>
      <c r="J4" s="289"/>
      <c r="K4" s="289"/>
      <c r="L4" s="289"/>
      <c r="M4" s="289"/>
      <c r="N4" s="289"/>
      <c r="O4" s="290"/>
    </row>
    <row r="5" spans="1:15" x14ac:dyDescent="0.25">
      <c r="A5" s="287"/>
      <c r="B5" s="291" t="s">
        <v>314</v>
      </c>
      <c r="C5" s="291"/>
      <c r="D5" s="292"/>
      <c r="E5" s="291" t="s">
        <v>335</v>
      </c>
      <c r="F5" s="291"/>
      <c r="G5" s="292"/>
      <c r="H5" s="291" t="s">
        <v>336</v>
      </c>
      <c r="I5" s="291"/>
      <c r="J5" s="292"/>
      <c r="K5" s="291" t="s">
        <v>337</v>
      </c>
      <c r="L5" s="291"/>
      <c r="M5" s="292"/>
      <c r="N5" s="291" t="s">
        <v>338</v>
      </c>
      <c r="O5" s="292"/>
    </row>
    <row r="6" spans="1:15" x14ac:dyDescent="0.25">
      <c r="A6" s="3" t="s">
        <v>318</v>
      </c>
      <c r="B6" s="3">
        <f>'Sectorwise OI'!D6</f>
        <v>46064</v>
      </c>
      <c r="C6" s="76" t="s">
        <v>333</v>
      </c>
      <c r="D6" s="76" t="s">
        <v>328</v>
      </c>
      <c r="E6" s="3">
        <f>B6</f>
        <v>46064</v>
      </c>
      <c r="F6" s="76" t="s">
        <v>333</v>
      </c>
      <c r="G6" s="76" t="s">
        <v>328</v>
      </c>
      <c r="H6" s="3">
        <f>E6</f>
        <v>46064</v>
      </c>
      <c r="I6" s="76" t="s">
        <v>333</v>
      </c>
      <c r="J6" s="76" t="s">
        <v>328</v>
      </c>
      <c r="K6" s="3">
        <f>E6</f>
        <v>46064</v>
      </c>
      <c r="L6" s="76" t="s">
        <v>333</v>
      </c>
      <c r="M6" s="76" t="s">
        <v>328</v>
      </c>
      <c r="N6" s="76" t="s">
        <v>339</v>
      </c>
      <c r="O6" s="76" t="s">
        <v>328</v>
      </c>
    </row>
    <row r="7" spans="1:15" x14ac:dyDescent="0.25">
      <c r="A7" s="97" t="str">
        <f>'Data Vlaue (Cr)'!C2</f>
        <v>360ONE</v>
      </c>
      <c r="B7" s="142">
        <f>VLOOKUP(A7,'Data Vlaue (Cr)'!C2:CW214,99,0)</f>
        <v>672</v>
      </c>
      <c r="C7" s="90">
        <f>VLOOKUP(A7,'Data Vlaue (Cr)'!C2:CY214,101,0)</f>
        <v>40</v>
      </c>
      <c r="D7" s="139">
        <f>VLOOKUP(A7,'Data Vlaue (Cr)'!C2:CZ214,102,0)</f>
        <v>6.3100000000000003E-2</v>
      </c>
      <c r="E7" s="91">
        <f>VLOOKUP($A7,'Data Vlaue (Cr)'!$C:$FB,75)</f>
        <v>333</v>
      </c>
      <c r="F7" s="91">
        <f>VLOOKUP($A7,'Data Vlaue (Cr)'!$C:$FB,77)</f>
        <v>14</v>
      </c>
      <c r="G7" s="92">
        <f>VLOOKUP(A7,'Data Vlaue (Cr)'!C2:CB214,78,0)</f>
        <v>4.3700000000000003E-2</v>
      </c>
      <c r="H7" s="91">
        <f>VLOOKUP($A7,'Data Vlaue (Cr)'!$C:$FB,91)</f>
        <v>193</v>
      </c>
      <c r="I7" s="91">
        <f>VLOOKUP($A7,'Data Vlaue (Cr)'!$C:$FB,93)</f>
        <v>12</v>
      </c>
      <c r="J7" s="92">
        <f>VLOOKUP($A7,'Data Vlaue (Cr)'!$C:$FB,94)</f>
        <v>6.6900000000000001E-2</v>
      </c>
      <c r="K7" s="91">
        <f>VLOOKUP($A7,'Data Vlaue (Cr)'!$C:$FB,95)</f>
        <v>146</v>
      </c>
      <c r="L7" s="91">
        <f>VLOOKUP($A7,'Data Vlaue (Cr)'!$C:$FB,97)</f>
        <v>14</v>
      </c>
      <c r="M7" s="92">
        <f>VLOOKUP($A7,'Data Vlaue (Cr)'!$C:$FB,98)</f>
        <v>0.1047</v>
      </c>
      <c r="N7" s="91">
        <f>VLOOKUP($A7,'Data Vlaue (Cr)'!$C:$FB,79)</f>
        <v>318</v>
      </c>
      <c r="O7" s="92">
        <f>VLOOKUP($A7,'Data Vlaue (Cr)'!$C:$FB,82)</f>
        <v>3.0200000000000001E-2</v>
      </c>
    </row>
    <row r="8" spans="1:15" x14ac:dyDescent="0.25">
      <c r="A8" s="97" t="str">
        <f>'Data Vlaue (Cr)'!C3</f>
        <v>ABB</v>
      </c>
      <c r="B8" s="142">
        <f>VLOOKUP(A8,'Data Vlaue (Cr)'!C3:CW215,99,0)</f>
        <v>2620</v>
      </c>
      <c r="C8" s="90">
        <f>VLOOKUP(A8,'Data Vlaue (Cr)'!C3:CY215,101,0)</f>
        <v>4</v>
      </c>
      <c r="D8" s="139">
        <f>VLOOKUP(A8,'Data Vlaue (Cr)'!C3:CZ215,102,0)</f>
        <v>1.5E-3</v>
      </c>
      <c r="E8" s="91">
        <f>VLOOKUP($A8,'Data Vlaue (Cr)'!$C:$FB,75)</f>
        <v>1298</v>
      </c>
      <c r="F8" s="91">
        <f>VLOOKUP($A8,'Data Vlaue (Cr)'!$C:$FB,77)</f>
        <v>-14</v>
      </c>
      <c r="G8" s="92">
        <f>VLOOKUP(A8,'Data Vlaue (Cr)'!C3:CB215,78,0)</f>
        <v>-1.0699999999999999E-2</v>
      </c>
      <c r="H8" s="91">
        <f>VLOOKUP($A8,'Data Vlaue (Cr)'!$C:$FB,91)</f>
        <v>761</v>
      </c>
      <c r="I8" s="91">
        <f>VLOOKUP($A8,'Data Vlaue (Cr)'!$C:$FB,93)</f>
        <v>13</v>
      </c>
      <c r="J8" s="92">
        <f>VLOOKUP($A8,'Data Vlaue (Cr)'!$C:$FB,94)</f>
        <v>1.7600000000000001E-2</v>
      </c>
      <c r="K8" s="91">
        <f>VLOOKUP($A8,'Data Vlaue (Cr)'!$C:$FB,95)</f>
        <v>561</v>
      </c>
      <c r="L8" s="91">
        <f>VLOOKUP($A8,'Data Vlaue (Cr)'!$C:$FB,97)</f>
        <v>5</v>
      </c>
      <c r="M8" s="92">
        <f>VLOOKUP($A8,'Data Vlaue (Cr)'!$C:$FB,98)</f>
        <v>8.5000000000000006E-3</v>
      </c>
      <c r="N8" s="91">
        <f>VLOOKUP($A8,'Data Vlaue (Cr)'!$C:$FB,79)</f>
        <v>1116</v>
      </c>
      <c r="O8" s="92">
        <f>VLOOKUP($A8,'Data Vlaue (Cr)'!$C:$FB,82)</f>
        <v>-1.5900000000000001E-2</v>
      </c>
    </row>
    <row r="9" spans="1:15" x14ac:dyDescent="0.25">
      <c r="A9" s="97" t="str">
        <f>'Data Vlaue (Cr)'!C4</f>
        <v>ABCAPITAL</v>
      </c>
      <c r="B9" s="142">
        <f>VLOOKUP(A9,'Data Vlaue (Cr)'!C4:CW216,99,0)</f>
        <v>4102</v>
      </c>
      <c r="C9" s="90">
        <f>VLOOKUP(A9,'Data Vlaue (Cr)'!C4:CY216,101,0)</f>
        <v>249</v>
      </c>
      <c r="D9" s="139">
        <f>VLOOKUP(A9,'Data Vlaue (Cr)'!C4:CZ216,102,0)</f>
        <v>6.4699999999999994E-2</v>
      </c>
      <c r="E9" s="91">
        <f>VLOOKUP($A9,'Data Vlaue (Cr)'!$C:$FB,75)</f>
        <v>2883</v>
      </c>
      <c r="F9" s="91">
        <f>VLOOKUP($A9,'Data Vlaue (Cr)'!$C:$FB,77)</f>
        <v>73</v>
      </c>
      <c r="G9" s="92">
        <f>VLOOKUP(A9,'Data Vlaue (Cr)'!C4:CB216,78,0)</f>
        <v>2.5999999999999999E-2</v>
      </c>
      <c r="H9" s="91">
        <f>VLOOKUP($A9,'Data Vlaue (Cr)'!$C:$FB,91)</f>
        <v>764</v>
      </c>
      <c r="I9" s="91">
        <f>VLOOKUP($A9,'Data Vlaue (Cr)'!$C:$FB,93)</f>
        <v>172</v>
      </c>
      <c r="J9" s="92">
        <f>VLOOKUP($A9,'Data Vlaue (Cr)'!$C:$FB,94)</f>
        <v>0.29139999999999999</v>
      </c>
      <c r="K9" s="91">
        <f>VLOOKUP($A9,'Data Vlaue (Cr)'!$C:$FB,95)</f>
        <v>455</v>
      </c>
      <c r="L9" s="91">
        <f>VLOOKUP($A9,'Data Vlaue (Cr)'!$C:$FB,97)</f>
        <v>4</v>
      </c>
      <c r="M9" s="92">
        <f>VLOOKUP($A9,'Data Vlaue (Cr)'!$C:$FB,98)</f>
        <v>8.5000000000000006E-3</v>
      </c>
      <c r="N9" s="91">
        <f>VLOOKUP($A9,'Data Vlaue (Cr)'!$C:$FB,79)</f>
        <v>2812</v>
      </c>
      <c r="O9" s="92">
        <f>VLOOKUP($A9,'Data Vlaue (Cr)'!$C:$FB,82)</f>
        <v>2.01E-2</v>
      </c>
    </row>
    <row r="10" spans="1:15" x14ac:dyDescent="0.25">
      <c r="A10" s="97" t="str">
        <f>'Data Vlaue (Cr)'!C5</f>
        <v>ADANIENSOL</v>
      </c>
      <c r="B10" s="142">
        <f>VLOOKUP(A10,'Data Vlaue (Cr)'!C5:CW217,99,0)</f>
        <v>2963</v>
      </c>
      <c r="C10" s="90">
        <f>VLOOKUP(A10,'Data Vlaue (Cr)'!C5:CY217,101,0)</f>
        <v>-13</v>
      </c>
      <c r="D10" s="139">
        <f>VLOOKUP(A10,'Data Vlaue (Cr)'!C5:CZ217,102,0)</f>
        <v>-4.3E-3</v>
      </c>
      <c r="E10" s="91">
        <f>VLOOKUP($A10,'Data Vlaue (Cr)'!$C:$FB,75)</f>
        <v>2196</v>
      </c>
      <c r="F10" s="91">
        <f>VLOOKUP($A10,'Data Vlaue (Cr)'!$C:$FB,77)</f>
        <v>14</v>
      </c>
      <c r="G10" s="92">
        <f>VLOOKUP(A10,'Data Vlaue (Cr)'!C5:CB217,78,0)</f>
        <v>6.3E-3</v>
      </c>
      <c r="H10" s="91">
        <f>VLOOKUP($A10,'Data Vlaue (Cr)'!$C:$FB,91)</f>
        <v>416</v>
      </c>
      <c r="I10" s="91">
        <f>VLOOKUP($A10,'Data Vlaue (Cr)'!$C:$FB,93)</f>
        <v>-14</v>
      </c>
      <c r="J10" s="92">
        <f>VLOOKUP($A10,'Data Vlaue (Cr)'!$C:$FB,94)</f>
        <v>-3.3399999999999999E-2</v>
      </c>
      <c r="K10" s="91">
        <f>VLOOKUP($A10,'Data Vlaue (Cr)'!$C:$FB,95)</f>
        <v>352</v>
      </c>
      <c r="L10" s="91">
        <f>VLOOKUP($A10,'Data Vlaue (Cr)'!$C:$FB,97)</f>
        <v>-12</v>
      </c>
      <c r="M10" s="92">
        <f>VLOOKUP($A10,'Data Vlaue (Cr)'!$C:$FB,98)</f>
        <v>-3.3500000000000002E-2</v>
      </c>
      <c r="N10" s="91">
        <f>VLOOKUP($A10,'Data Vlaue (Cr)'!$C:$FB,79)</f>
        <v>2162</v>
      </c>
      <c r="O10" s="92">
        <f>VLOOKUP($A10,'Data Vlaue (Cr)'!$C:$FB,82)</f>
        <v>6.0000000000000001E-3</v>
      </c>
    </row>
    <row r="11" spans="1:15" x14ac:dyDescent="0.25">
      <c r="A11" s="97" t="str">
        <f>'Data Vlaue (Cr)'!C6</f>
        <v>ADANIENT</v>
      </c>
      <c r="B11" s="142">
        <f>VLOOKUP(A11,'Data Vlaue (Cr)'!C6:CW218,99,0)</f>
        <v>7798</v>
      </c>
      <c r="C11" s="90">
        <f>VLOOKUP(A11,'Data Vlaue (Cr)'!C6:CY218,101,0)</f>
        <v>29</v>
      </c>
      <c r="D11" s="139">
        <f>VLOOKUP(A11,'Data Vlaue (Cr)'!C6:CZ218,102,0)</f>
        <v>3.8E-3</v>
      </c>
      <c r="E11" s="91">
        <f>VLOOKUP($A11,'Data Vlaue (Cr)'!$C:$FB,75)</f>
        <v>4222</v>
      </c>
      <c r="F11" s="91">
        <f>VLOOKUP($A11,'Data Vlaue (Cr)'!$C:$FB,77)</f>
        <v>-7</v>
      </c>
      <c r="G11" s="92">
        <f>VLOOKUP(A11,'Data Vlaue (Cr)'!C6:CB218,78,0)</f>
        <v>-1.6000000000000001E-3</v>
      </c>
      <c r="H11" s="91">
        <f>VLOOKUP($A11,'Data Vlaue (Cr)'!$C:$FB,91)</f>
        <v>1869</v>
      </c>
      <c r="I11" s="91">
        <f>VLOOKUP($A11,'Data Vlaue (Cr)'!$C:$FB,93)</f>
        <v>44</v>
      </c>
      <c r="J11" s="92">
        <f>VLOOKUP($A11,'Data Vlaue (Cr)'!$C:$FB,94)</f>
        <v>2.4199999999999999E-2</v>
      </c>
      <c r="K11" s="91">
        <f>VLOOKUP($A11,'Data Vlaue (Cr)'!$C:$FB,95)</f>
        <v>1708</v>
      </c>
      <c r="L11" s="91">
        <f>VLOOKUP($A11,'Data Vlaue (Cr)'!$C:$FB,97)</f>
        <v>-8</v>
      </c>
      <c r="M11" s="92">
        <f>VLOOKUP($A11,'Data Vlaue (Cr)'!$C:$FB,98)</f>
        <v>-4.7000000000000002E-3</v>
      </c>
      <c r="N11" s="91">
        <f>VLOOKUP($A11,'Data Vlaue (Cr)'!$C:$FB,79)</f>
        <v>3829</v>
      </c>
      <c r="O11" s="92">
        <f>VLOOKUP($A11,'Data Vlaue (Cr)'!$C:$FB,82)</f>
        <v>-2.52E-2</v>
      </c>
    </row>
    <row r="12" spans="1:15" x14ac:dyDescent="0.25">
      <c r="A12" s="97" t="str">
        <f>'Data Vlaue (Cr)'!C7</f>
        <v>ADANIGREEN</v>
      </c>
      <c r="B12" s="142">
        <f>VLOOKUP(A12,'Data Vlaue (Cr)'!C7:CW219,99,0)</f>
        <v>4016</v>
      </c>
      <c r="C12" s="90">
        <f>VLOOKUP(A12,'Data Vlaue (Cr)'!C7:CY219,101,0)</f>
        <v>4</v>
      </c>
      <c r="D12" s="139">
        <f>VLOOKUP(A12,'Data Vlaue (Cr)'!C7:CZ219,102,0)</f>
        <v>8.9999999999999998E-4</v>
      </c>
      <c r="E12" s="91">
        <f>VLOOKUP($A12,'Data Vlaue (Cr)'!$C:$FB,75)</f>
        <v>2241</v>
      </c>
      <c r="F12" s="91">
        <f>VLOOKUP($A12,'Data Vlaue (Cr)'!$C:$FB,77)</f>
        <v>8</v>
      </c>
      <c r="G12" s="92">
        <f>VLOOKUP(A12,'Data Vlaue (Cr)'!C7:CB219,78,0)</f>
        <v>3.3999999999999998E-3</v>
      </c>
      <c r="H12" s="91">
        <f>VLOOKUP($A12,'Data Vlaue (Cr)'!$C:$FB,91)</f>
        <v>955</v>
      </c>
      <c r="I12" s="91">
        <f>VLOOKUP($A12,'Data Vlaue (Cr)'!$C:$FB,93)</f>
        <v>4</v>
      </c>
      <c r="J12" s="92">
        <f>VLOOKUP($A12,'Data Vlaue (Cr)'!$C:$FB,94)</f>
        <v>4.3E-3</v>
      </c>
      <c r="K12" s="91">
        <f>VLOOKUP($A12,'Data Vlaue (Cr)'!$C:$FB,95)</f>
        <v>820</v>
      </c>
      <c r="L12" s="91">
        <f>VLOOKUP($A12,'Data Vlaue (Cr)'!$C:$FB,97)</f>
        <v>-8</v>
      </c>
      <c r="M12" s="92">
        <f>VLOOKUP($A12,'Data Vlaue (Cr)'!$C:$FB,98)</f>
        <v>-9.7000000000000003E-3</v>
      </c>
      <c r="N12" s="91">
        <f>VLOOKUP($A12,'Data Vlaue (Cr)'!$C:$FB,79)</f>
        <v>2176</v>
      </c>
      <c r="O12" s="92">
        <f>VLOOKUP($A12,'Data Vlaue (Cr)'!$C:$FB,82)</f>
        <v>4.0000000000000001E-3</v>
      </c>
    </row>
    <row r="13" spans="1:15" x14ac:dyDescent="0.25">
      <c r="A13" s="97" t="str">
        <f>'Data Vlaue (Cr)'!C8</f>
        <v>ADANIPORTS</v>
      </c>
      <c r="B13" s="142">
        <f>VLOOKUP(A13,'Data Vlaue (Cr)'!C8:CW220,99,0)</f>
        <v>6234</v>
      </c>
      <c r="C13" s="90">
        <f>VLOOKUP(A13,'Data Vlaue (Cr)'!C8:CY220,101,0)</f>
        <v>58</v>
      </c>
      <c r="D13" s="139">
        <f>VLOOKUP(A13,'Data Vlaue (Cr)'!C8:CZ220,102,0)</f>
        <v>9.4000000000000004E-3</v>
      </c>
      <c r="E13" s="91">
        <f>VLOOKUP($A13,'Data Vlaue (Cr)'!$C:$FB,75)</f>
        <v>3394</v>
      </c>
      <c r="F13" s="91">
        <f>VLOOKUP($A13,'Data Vlaue (Cr)'!$C:$FB,77)</f>
        <v>20</v>
      </c>
      <c r="G13" s="92">
        <f>VLOOKUP(A13,'Data Vlaue (Cr)'!C8:CB220,78,0)</f>
        <v>5.8999999999999999E-3</v>
      </c>
      <c r="H13" s="91">
        <f>VLOOKUP($A13,'Data Vlaue (Cr)'!$C:$FB,91)</f>
        <v>1517</v>
      </c>
      <c r="I13" s="91">
        <f>VLOOKUP($A13,'Data Vlaue (Cr)'!$C:$FB,93)</f>
        <v>17</v>
      </c>
      <c r="J13" s="92">
        <f>VLOOKUP($A13,'Data Vlaue (Cr)'!$C:$FB,94)</f>
        <v>1.1599999999999999E-2</v>
      </c>
      <c r="K13" s="91">
        <f>VLOOKUP($A13,'Data Vlaue (Cr)'!$C:$FB,95)</f>
        <v>1323</v>
      </c>
      <c r="L13" s="91">
        <f>VLOOKUP($A13,'Data Vlaue (Cr)'!$C:$FB,97)</f>
        <v>21</v>
      </c>
      <c r="M13" s="92">
        <f>VLOOKUP($A13,'Data Vlaue (Cr)'!$C:$FB,98)</f>
        <v>1.5900000000000001E-2</v>
      </c>
      <c r="N13" s="91">
        <f>VLOOKUP($A13,'Data Vlaue (Cr)'!$C:$FB,79)</f>
        <v>3247</v>
      </c>
      <c r="O13" s="92">
        <f>VLOOKUP($A13,'Data Vlaue (Cr)'!$C:$FB,82)</f>
        <v>4.3E-3</v>
      </c>
    </row>
    <row r="14" spans="1:15" x14ac:dyDescent="0.25">
      <c r="A14" s="97" t="str">
        <f>'Data Vlaue (Cr)'!C9</f>
        <v>ALKEM</v>
      </c>
      <c r="B14" s="142">
        <f>VLOOKUP(A14,'Data Vlaue (Cr)'!C9:CW221,99,0)</f>
        <v>1016</v>
      </c>
      <c r="C14" s="90">
        <f>VLOOKUP(A14,'Data Vlaue (Cr)'!C9:CY221,101,0)</f>
        <v>67</v>
      </c>
      <c r="D14" s="139">
        <f>VLOOKUP(A14,'Data Vlaue (Cr)'!C9:CZ221,102,0)</f>
        <v>7.0999999999999994E-2</v>
      </c>
      <c r="E14" s="91">
        <f>VLOOKUP($A14,'Data Vlaue (Cr)'!$C:$FB,75)</f>
        <v>767</v>
      </c>
      <c r="F14" s="91">
        <f>VLOOKUP($A14,'Data Vlaue (Cr)'!$C:$FB,77)</f>
        <v>20</v>
      </c>
      <c r="G14" s="92">
        <f>VLOOKUP(A14,'Data Vlaue (Cr)'!C9:CB221,78,0)</f>
        <v>2.64E-2</v>
      </c>
      <c r="H14" s="91">
        <f>VLOOKUP($A14,'Data Vlaue (Cr)'!$C:$FB,91)</f>
        <v>142</v>
      </c>
      <c r="I14" s="91">
        <f>VLOOKUP($A14,'Data Vlaue (Cr)'!$C:$FB,93)</f>
        <v>40</v>
      </c>
      <c r="J14" s="92">
        <f>VLOOKUP($A14,'Data Vlaue (Cr)'!$C:$FB,94)</f>
        <v>0.39019999999999999</v>
      </c>
      <c r="K14" s="91">
        <f>VLOOKUP($A14,'Data Vlaue (Cr)'!$C:$FB,95)</f>
        <v>107</v>
      </c>
      <c r="L14" s="91">
        <f>VLOOKUP($A14,'Data Vlaue (Cr)'!$C:$FB,97)</f>
        <v>8</v>
      </c>
      <c r="M14" s="92">
        <f>VLOOKUP($A14,'Data Vlaue (Cr)'!$C:$FB,98)</f>
        <v>7.8700000000000006E-2</v>
      </c>
      <c r="N14" s="91">
        <f>VLOOKUP($A14,'Data Vlaue (Cr)'!$C:$FB,79)</f>
        <v>762</v>
      </c>
      <c r="O14" s="92">
        <f>VLOOKUP($A14,'Data Vlaue (Cr)'!$C:$FB,82)</f>
        <v>2.58E-2</v>
      </c>
    </row>
    <row r="15" spans="1:15" x14ac:dyDescent="0.25">
      <c r="A15" s="97" t="str">
        <f>'Data Vlaue (Cr)'!C10</f>
        <v>AMBER</v>
      </c>
      <c r="B15" s="142">
        <f>VLOOKUP(A15,'Data Vlaue (Cr)'!C10:CW222,99,0)</f>
        <v>2406</v>
      </c>
      <c r="C15" s="90">
        <f>VLOOKUP(A15,'Data Vlaue (Cr)'!C10:CY222,101,0)</f>
        <v>143</v>
      </c>
      <c r="D15" s="139">
        <f>VLOOKUP(A15,'Data Vlaue (Cr)'!C10:CZ222,102,0)</f>
        <v>6.3200000000000006E-2</v>
      </c>
      <c r="E15" s="91">
        <f>VLOOKUP($A15,'Data Vlaue (Cr)'!$C:$FB,75)</f>
        <v>903</v>
      </c>
      <c r="F15" s="91">
        <f>VLOOKUP($A15,'Data Vlaue (Cr)'!$C:$FB,77)</f>
        <v>37</v>
      </c>
      <c r="G15" s="92">
        <f>VLOOKUP(A15,'Data Vlaue (Cr)'!C10:CB222,78,0)</f>
        <v>4.2999999999999997E-2</v>
      </c>
      <c r="H15" s="91">
        <f>VLOOKUP($A15,'Data Vlaue (Cr)'!$C:$FB,91)</f>
        <v>712</v>
      </c>
      <c r="I15" s="91">
        <f>VLOOKUP($A15,'Data Vlaue (Cr)'!$C:$FB,93)</f>
        <v>-59</v>
      </c>
      <c r="J15" s="92">
        <f>VLOOKUP($A15,'Data Vlaue (Cr)'!$C:$FB,94)</f>
        <v>-7.7100000000000002E-2</v>
      </c>
      <c r="K15" s="91">
        <f>VLOOKUP($A15,'Data Vlaue (Cr)'!$C:$FB,95)</f>
        <v>791</v>
      </c>
      <c r="L15" s="91">
        <f>VLOOKUP($A15,'Data Vlaue (Cr)'!$C:$FB,97)</f>
        <v>165</v>
      </c>
      <c r="M15" s="92">
        <f>VLOOKUP($A15,'Data Vlaue (Cr)'!$C:$FB,98)</f>
        <v>0.26390000000000002</v>
      </c>
      <c r="N15" s="91">
        <f>VLOOKUP($A15,'Data Vlaue (Cr)'!$C:$FB,79)</f>
        <v>809</v>
      </c>
      <c r="O15" s="92">
        <f>VLOOKUP($A15,'Data Vlaue (Cr)'!$C:$FB,82)</f>
        <v>3.1300000000000001E-2</v>
      </c>
    </row>
    <row r="16" spans="1:15" x14ac:dyDescent="0.25">
      <c r="A16" s="97" t="str">
        <f>'Data Vlaue (Cr)'!C11</f>
        <v>AMBUJACEM</v>
      </c>
      <c r="B16" s="142">
        <f>VLOOKUP(A16,'Data Vlaue (Cr)'!C11:CW223,99,0)</f>
        <v>3920</v>
      </c>
      <c r="C16" s="90">
        <f>VLOOKUP(A16,'Data Vlaue (Cr)'!C11:CY223,101,0)</f>
        <v>4</v>
      </c>
      <c r="D16" s="139">
        <f>VLOOKUP(A16,'Data Vlaue (Cr)'!C11:CZ223,102,0)</f>
        <v>1.1000000000000001E-3</v>
      </c>
      <c r="E16" s="91">
        <f>VLOOKUP($A16,'Data Vlaue (Cr)'!$C:$FB,75)</f>
        <v>2609</v>
      </c>
      <c r="F16" s="91">
        <f>VLOOKUP($A16,'Data Vlaue (Cr)'!$C:$FB,77)</f>
        <v>1</v>
      </c>
      <c r="G16" s="92">
        <f>VLOOKUP(A16,'Data Vlaue (Cr)'!C11:CB223,78,0)</f>
        <v>5.0000000000000001E-4</v>
      </c>
      <c r="H16" s="91">
        <f>VLOOKUP($A16,'Data Vlaue (Cr)'!$C:$FB,91)</f>
        <v>747</v>
      </c>
      <c r="I16" s="91">
        <f>VLOOKUP($A16,'Data Vlaue (Cr)'!$C:$FB,93)</f>
        <v>0</v>
      </c>
      <c r="J16" s="92">
        <f>VLOOKUP($A16,'Data Vlaue (Cr)'!$C:$FB,94)</f>
        <v>-1E-4</v>
      </c>
      <c r="K16" s="91">
        <f>VLOOKUP($A16,'Data Vlaue (Cr)'!$C:$FB,95)</f>
        <v>564</v>
      </c>
      <c r="L16" s="91">
        <f>VLOOKUP($A16,'Data Vlaue (Cr)'!$C:$FB,97)</f>
        <v>3</v>
      </c>
      <c r="M16" s="92">
        <f>VLOOKUP($A16,'Data Vlaue (Cr)'!$C:$FB,98)</f>
        <v>5.5999999999999999E-3</v>
      </c>
      <c r="N16" s="91">
        <f>VLOOKUP($A16,'Data Vlaue (Cr)'!$C:$FB,79)</f>
        <v>2532</v>
      </c>
      <c r="O16" s="92">
        <f>VLOOKUP($A16,'Data Vlaue (Cr)'!$C:$FB,82)</f>
        <v>-1.1999999999999999E-3</v>
      </c>
    </row>
    <row r="17" spans="1:15" x14ac:dyDescent="0.25">
      <c r="A17" s="97" t="str">
        <f>'Data Vlaue (Cr)'!C12</f>
        <v>ANGELONE</v>
      </c>
      <c r="B17" s="142">
        <f>VLOOKUP(A17,'Data Vlaue (Cr)'!C12:CW224,99,0)</f>
        <v>2098</v>
      </c>
      <c r="C17" s="90">
        <f>VLOOKUP(A17,'Data Vlaue (Cr)'!C12:CY224,101,0)</f>
        <v>-27</v>
      </c>
      <c r="D17" s="139">
        <f>VLOOKUP(A17,'Data Vlaue (Cr)'!C12:CZ224,102,0)</f>
        <v>-1.2699999999999999E-2</v>
      </c>
      <c r="E17" s="91">
        <f>VLOOKUP($A17,'Data Vlaue (Cr)'!$C:$FB,75)</f>
        <v>816</v>
      </c>
      <c r="F17" s="91">
        <f>VLOOKUP($A17,'Data Vlaue (Cr)'!$C:$FB,77)</f>
        <v>12</v>
      </c>
      <c r="G17" s="92">
        <f>VLOOKUP(A17,'Data Vlaue (Cr)'!C12:CB224,78,0)</f>
        <v>1.55E-2</v>
      </c>
      <c r="H17" s="91">
        <f>VLOOKUP($A17,'Data Vlaue (Cr)'!$C:$FB,91)</f>
        <v>674</v>
      </c>
      <c r="I17" s="91">
        <f>VLOOKUP($A17,'Data Vlaue (Cr)'!$C:$FB,93)</f>
        <v>-30</v>
      </c>
      <c r="J17" s="92">
        <f>VLOOKUP($A17,'Data Vlaue (Cr)'!$C:$FB,94)</f>
        <v>-4.2799999999999998E-2</v>
      </c>
      <c r="K17" s="91">
        <f>VLOOKUP($A17,'Data Vlaue (Cr)'!$C:$FB,95)</f>
        <v>608</v>
      </c>
      <c r="L17" s="91">
        <f>VLOOKUP($A17,'Data Vlaue (Cr)'!$C:$FB,97)</f>
        <v>-9</v>
      </c>
      <c r="M17" s="92">
        <f>VLOOKUP($A17,'Data Vlaue (Cr)'!$C:$FB,98)</f>
        <v>-1.5100000000000001E-2</v>
      </c>
      <c r="N17" s="91">
        <f>VLOOKUP($A17,'Data Vlaue (Cr)'!$C:$FB,79)</f>
        <v>770</v>
      </c>
      <c r="O17" s="92">
        <f>VLOOKUP($A17,'Data Vlaue (Cr)'!$C:$FB,82)</f>
        <v>1.38E-2</v>
      </c>
    </row>
    <row r="18" spans="1:15" x14ac:dyDescent="0.25">
      <c r="A18" s="97" t="str">
        <f>'Data Vlaue (Cr)'!C13</f>
        <v>APLAPOLLO</v>
      </c>
      <c r="B18" s="142">
        <f>VLOOKUP(A18,'Data Vlaue (Cr)'!C13:CW225,99,0)</f>
        <v>2546</v>
      </c>
      <c r="C18" s="90">
        <f>VLOOKUP(A18,'Data Vlaue (Cr)'!C13:CY225,101,0)</f>
        <v>1</v>
      </c>
      <c r="D18" s="139">
        <f>VLOOKUP(A18,'Data Vlaue (Cr)'!C13:CZ225,102,0)</f>
        <v>5.0000000000000001E-4</v>
      </c>
      <c r="E18" s="91">
        <f>VLOOKUP($A18,'Data Vlaue (Cr)'!$C:$FB,75)</f>
        <v>1540</v>
      </c>
      <c r="F18" s="91">
        <f>VLOOKUP($A18,'Data Vlaue (Cr)'!$C:$FB,77)</f>
        <v>-57</v>
      </c>
      <c r="G18" s="92">
        <f>VLOOKUP(A18,'Data Vlaue (Cr)'!C13:CB225,78,0)</f>
        <v>-3.56E-2</v>
      </c>
      <c r="H18" s="91">
        <f>VLOOKUP($A18,'Data Vlaue (Cr)'!$C:$FB,91)</f>
        <v>393</v>
      </c>
      <c r="I18" s="91">
        <f>VLOOKUP($A18,'Data Vlaue (Cr)'!$C:$FB,93)</f>
        <v>10</v>
      </c>
      <c r="J18" s="92">
        <f>VLOOKUP($A18,'Data Vlaue (Cr)'!$C:$FB,94)</f>
        <v>2.5000000000000001E-2</v>
      </c>
      <c r="K18" s="91">
        <f>VLOOKUP($A18,'Data Vlaue (Cr)'!$C:$FB,95)</f>
        <v>613</v>
      </c>
      <c r="L18" s="91">
        <f>VLOOKUP($A18,'Data Vlaue (Cr)'!$C:$FB,97)</f>
        <v>48</v>
      </c>
      <c r="M18" s="92">
        <f>VLOOKUP($A18,'Data Vlaue (Cr)'!$C:$FB,98)</f>
        <v>8.5900000000000004E-2</v>
      </c>
      <c r="N18" s="91">
        <f>VLOOKUP($A18,'Data Vlaue (Cr)'!$C:$FB,79)</f>
        <v>1512</v>
      </c>
      <c r="O18" s="92">
        <f>VLOOKUP($A18,'Data Vlaue (Cr)'!$C:$FB,82)</f>
        <v>-3.7900000000000003E-2</v>
      </c>
    </row>
    <row r="19" spans="1:15" x14ac:dyDescent="0.25">
      <c r="A19" s="97" t="str">
        <f>'Data Vlaue (Cr)'!C14</f>
        <v>APOLLOHOSP</v>
      </c>
      <c r="B19" s="142">
        <f>VLOOKUP(A19,'Data Vlaue (Cr)'!C14:CW226,99,0)</f>
        <v>5790</v>
      </c>
      <c r="C19" s="90">
        <f>VLOOKUP(A19,'Data Vlaue (Cr)'!C14:CY226,101,0)</f>
        <v>668</v>
      </c>
      <c r="D19" s="139">
        <f>VLOOKUP(A19,'Data Vlaue (Cr)'!C14:CZ226,102,0)</f>
        <v>0.1305</v>
      </c>
      <c r="E19" s="91">
        <f>VLOOKUP($A19,'Data Vlaue (Cr)'!$C:$FB,75)</f>
        <v>2704</v>
      </c>
      <c r="F19" s="91">
        <f>VLOOKUP($A19,'Data Vlaue (Cr)'!$C:$FB,77)</f>
        <v>47</v>
      </c>
      <c r="G19" s="92">
        <f>VLOOKUP(A19,'Data Vlaue (Cr)'!C14:CB226,78,0)</f>
        <v>1.7500000000000002E-2</v>
      </c>
      <c r="H19" s="91">
        <f>VLOOKUP($A19,'Data Vlaue (Cr)'!$C:$FB,91)</f>
        <v>1765</v>
      </c>
      <c r="I19" s="91">
        <f>VLOOKUP($A19,'Data Vlaue (Cr)'!$C:$FB,93)</f>
        <v>308</v>
      </c>
      <c r="J19" s="92">
        <f>VLOOKUP($A19,'Data Vlaue (Cr)'!$C:$FB,94)</f>
        <v>0.21160000000000001</v>
      </c>
      <c r="K19" s="91">
        <f>VLOOKUP($A19,'Data Vlaue (Cr)'!$C:$FB,95)</f>
        <v>1321</v>
      </c>
      <c r="L19" s="91">
        <f>VLOOKUP($A19,'Data Vlaue (Cr)'!$C:$FB,97)</f>
        <v>314</v>
      </c>
      <c r="M19" s="92">
        <f>VLOOKUP($A19,'Data Vlaue (Cr)'!$C:$FB,98)</f>
        <v>0.31159999999999999</v>
      </c>
      <c r="N19" s="91">
        <f>VLOOKUP($A19,'Data Vlaue (Cr)'!$C:$FB,79)</f>
        <v>2645</v>
      </c>
      <c r="O19" s="92">
        <f>VLOOKUP($A19,'Data Vlaue (Cr)'!$C:$FB,82)</f>
        <v>1.4800000000000001E-2</v>
      </c>
    </row>
    <row r="20" spans="1:15" x14ac:dyDescent="0.25">
      <c r="A20" s="97" t="str">
        <f>'Data Vlaue (Cr)'!C15</f>
        <v>ASHOKLEY</v>
      </c>
      <c r="B20" s="142">
        <f>VLOOKUP(A20,'Data Vlaue (Cr)'!C15:CW227,99,0)</f>
        <v>6718</v>
      </c>
      <c r="C20" s="90">
        <f>VLOOKUP(A20,'Data Vlaue (Cr)'!C15:CY227,101,0)</f>
        <v>1279</v>
      </c>
      <c r="D20" s="139">
        <f>VLOOKUP(A20,'Data Vlaue (Cr)'!C15:CZ227,102,0)</f>
        <v>0.2351</v>
      </c>
      <c r="E20" s="91">
        <f>VLOOKUP($A20,'Data Vlaue (Cr)'!$C:$FB,75)</f>
        <v>3587</v>
      </c>
      <c r="F20" s="91">
        <f>VLOOKUP($A20,'Data Vlaue (Cr)'!$C:$FB,77)</f>
        <v>121</v>
      </c>
      <c r="G20" s="92">
        <f>VLOOKUP(A20,'Data Vlaue (Cr)'!C15:CB227,78,0)</f>
        <v>3.4799999999999998E-2</v>
      </c>
      <c r="H20" s="91">
        <f>VLOOKUP($A20,'Data Vlaue (Cr)'!$C:$FB,91)</f>
        <v>1920</v>
      </c>
      <c r="I20" s="91">
        <f>VLOOKUP($A20,'Data Vlaue (Cr)'!$C:$FB,93)</f>
        <v>766</v>
      </c>
      <c r="J20" s="92">
        <f>VLOOKUP($A20,'Data Vlaue (Cr)'!$C:$FB,94)</f>
        <v>0.66300000000000003</v>
      </c>
      <c r="K20" s="91">
        <f>VLOOKUP($A20,'Data Vlaue (Cr)'!$C:$FB,95)</f>
        <v>1210</v>
      </c>
      <c r="L20" s="91">
        <f>VLOOKUP($A20,'Data Vlaue (Cr)'!$C:$FB,97)</f>
        <v>393</v>
      </c>
      <c r="M20" s="92">
        <f>VLOOKUP($A20,'Data Vlaue (Cr)'!$C:$FB,98)</f>
        <v>0.48010000000000003</v>
      </c>
      <c r="N20" s="91">
        <f>VLOOKUP($A20,'Data Vlaue (Cr)'!$C:$FB,79)</f>
        <v>3262</v>
      </c>
      <c r="O20" s="92">
        <f>VLOOKUP($A20,'Data Vlaue (Cr)'!$C:$FB,82)</f>
        <v>1.72E-2</v>
      </c>
    </row>
    <row r="21" spans="1:15" x14ac:dyDescent="0.25">
      <c r="A21" s="97" t="str">
        <f>'Data Vlaue (Cr)'!C16</f>
        <v>ASIANPAINT</v>
      </c>
      <c r="B21" s="142">
        <f>VLOOKUP(A21,'Data Vlaue (Cr)'!C16:CW228,99,0)</f>
        <v>7113</v>
      </c>
      <c r="C21" s="90">
        <f>VLOOKUP(A21,'Data Vlaue (Cr)'!C16:CY228,101,0)</f>
        <v>277</v>
      </c>
      <c r="D21" s="139">
        <f>VLOOKUP(A21,'Data Vlaue (Cr)'!C16:CZ228,102,0)</f>
        <v>4.0599999999999997E-2</v>
      </c>
      <c r="E21" s="91">
        <f>VLOOKUP($A21,'Data Vlaue (Cr)'!$C:$FB,75)</f>
        <v>3593</v>
      </c>
      <c r="F21" s="91">
        <f>VLOOKUP($A21,'Data Vlaue (Cr)'!$C:$FB,77)</f>
        <v>189</v>
      </c>
      <c r="G21" s="92">
        <f>VLOOKUP(A21,'Data Vlaue (Cr)'!C16:CB228,78,0)</f>
        <v>5.5599999999999997E-2</v>
      </c>
      <c r="H21" s="91">
        <f>VLOOKUP($A21,'Data Vlaue (Cr)'!$C:$FB,91)</f>
        <v>2368</v>
      </c>
      <c r="I21" s="91">
        <f>VLOOKUP($A21,'Data Vlaue (Cr)'!$C:$FB,93)</f>
        <v>64</v>
      </c>
      <c r="J21" s="92">
        <f>VLOOKUP($A21,'Data Vlaue (Cr)'!$C:$FB,94)</f>
        <v>2.7900000000000001E-2</v>
      </c>
      <c r="K21" s="91">
        <f>VLOOKUP($A21,'Data Vlaue (Cr)'!$C:$FB,95)</f>
        <v>1151</v>
      </c>
      <c r="L21" s="91">
        <f>VLOOKUP($A21,'Data Vlaue (Cr)'!$C:$FB,97)</f>
        <v>24</v>
      </c>
      <c r="M21" s="92">
        <f>VLOOKUP($A21,'Data Vlaue (Cr)'!$C:$FB,98)</f>
        <v>2.1000000000000001E-2</v>
      </c>
      <c r="N21" s="91">
        <f>VLOOKUP($A21,'Data Vlaue (Cr)'!$C:$FB,79)</f>
        <v>3410</v>
      </c>
      <c r="O21" s="92">
        <f>VLOOKUP($A21,'Data Vlaue (Cr)'!$C:$FB,82)</f>
        <v>4.6899999999999997E-2</v>
      </c>
    </row>
    <row r="22" spans="1:15" x14ac:dyDescent="0.25">
      <c r="A22" s="97" t="str">
        <f>'Data Vlaue (Cr)'!C17</f>
        <v>ASTRAL</v>
      </c>
      <c r="B22" s="142">
        <f>VLOOKUP(A22,'Data Vlaue (Cr)'!C17:CW229,99,0)</f>
        <v>2310</v>
      </c>
      <c r="C22" s="90">
        <f>VLOOKUP(A22,'Data Vlaue (Cr)'!C17:CY229,101,0)</f>
        <v>105</v>
      </c>
      <c r="D22" s="139">
        <f>VLOOKUP(A22,'Data Vlaue (Cr)'!C17:CZ229,102,0)</f>
        <v>4.7699999999999999E-2</v>
      </c>
      <c r="E22" s="91">
        <f>VLOOKUP($A22,'Data Vlaue (Cr)'!$C:$FB,75)</f>
        <v>1417</v>
      </c>
      <c r="F22" s="91">
        <f>VLOOKUP($A22,'Data Vlaue (Cr)'!$C:$FB,77)</f>
        <v>41</v>
      </c>
      <c r="G22" s="92">
        <f>VLOOKUP(A22,'Data Vlaue (Cr)'!C17:CB229,78,0)</f>
        <v>0.03</v>
      </c>
      <c r="H22" s="91">
        <f>VLOOKUP($A22,'Data Vlaue (Cr)'!$C:$FB,91)</f>
        <v>570</v>
      </c>
      <c r="I22" s="91">
        <f>VLOOKUP($A22,'Data Vlaue (Cr)'!$C:$FB,93)</f>
        <v>23</v>
      </c>
      <c r="J22" s="92">
        <f>VLOOKUP($A22,'Data Vlaue (Cr)'!$C:$FB,94)</f>
        <v>4.1700000000000001E-2</v>
      </c>
      <c r="K22" s="91">
        <f>VLOOKUP($A22,'Data Vlaue (Cr)'!$C:$FB,95)</f>
        <v>324</v>
      </c>
      <c r="L22" s="91">
        <f>VLOOKUP($A22,'Data Vlaue (Cr)'!$C:$FB,97)</f>
        <v>41</v>
      </c>
      <c r="M22" s="92">
        <f>VLOOKUP($A22,'Data Vlaue (Cr)'!$C:$FB,98)</f>
        <v>0.14560000000000001</v>
      </c>
      <c r="N22" s="91">
        <f>VLOOKUP($A22,'Data Vlaue (Cr)'!$C:$FB,79)</f>
        <v>1305</v>
      </c>
      <c r="O22" s="92">
        <f>VLOOKUP($A22,'Data Vlaue (Cr)'!$C:$FB,82)</f>
        <v>1.9E-2</v>
      </c>
    </row>
    <row r="23" spans="1:15" x14ac:dyDescent="0.25">
      <c r="A23" s="97" t="str">
        <f>'Data Vlaue (Cr)'!C18</f>
        <v>AUBANK</v>
      </c>
      <c r="B23" s="142">
        <f>VLOOKUP(A23,'Data Vlaue (Cr)'!C18:CW230,99,0)</f>
        <v>3059</v>
      </c>
      <c r="C23" s="90">
        <f>VLOOKUP(A23,'Data Vlaue (Cr)'!C18:CY230,101,0)</f>
        <v>31</v>
      </c>
      <c r="D23" s="139">
        <f>VLOOKUP(A23,'Data Vlaue (Cr)'!C18:CZ230,102,0)</f>
        <v>1.03E-2</v>
      </c>
      <c r="E23" s="91">
        <f>VLOOKUP($A23,'Data Vlaue (Cr)'!$C:$FB,75)</f>
        <v>1915</v>
      </c>
      <c r="F23" s="91">
        <f>VLOOKUP($A23,'Data Vlaue (Cr)'!$C:$FB,77)</f>
        <v>-14</v>
      </c>
      <c r="G23" s="92">
        <f>VLOOKUP(A23,'Data Vlaue (Cr)'!C18:CB230,78,0)</f>
        <v>-7.4999999999999997E-3</v>
      </c>
      <c r="H23" s="91">
        <f>VLOOKUP($A23,'Data Vlaue (Cr)'!$C:$FB,91)</f>
        <v>656</v>
      </c>
      <c r="I23" s="91">
        <f>VLOOKUP($A23,'Data Vlaue (Cr)'!$C:$FB,93)</f>
        <v>45</v>
      </c>
      <c r="J23" s="92">
        <f>VLOOKUP($A23,'Data Vlaue (Cr)'!$C:$FB,94)</f>
        <v>7.3300000000000004E-2</v>
      </c>
      <c r="K23" s="91">
        <f>VLOOKUP($A23,'Data Vlaue (Cr)'!$C:$FB,95)</f>
        <v>489</v>
      </c>
      <c r="L23" s="91">
        <f>VLOOKUP($A23,'Data Vlaue (Cr)'!$C:$FB,97)</f>
        <v>1</v>
      </c>
      <c r="M23" s="92">
        <f>VLOOKUP($A23,'Data Vlaue (Cr)'!$C:$FB,98)</f>
        <v>1.6000000000000001E-3</v>
      </c>
      <c r="N23" s="91">
        <f>VLOOKUP($A23,'Data Vlaue (Cr)'!$C:$FB,79)</f>
        <v>1846</v>
      </c>
      <c r="O23" s="92">
        <f>VLOOKUP($A23,'Data Vlaue (Cr)'!$C:$FB,82)</f>
        <v>-1.2200000000000001E-2</v>
      </c>
    </row>
    <row r="24" spans="1:15" x14ac:dyDescent="0.25">
      <c r="A24" s="97" t="str">
        <f>'Data Vlaue (Cr)'!C19</f>
        <v>AUROPHARMA</v>
      </c>
      <c r="B24" s="142">
        <f>VLOOKUP(A24,'Data Vlaue (Cr)'!C19:CW231,99,0)</f>
        <v>4483</v>
      </c>
      <c r="C24" s="90">
        <f>VLOOKUP(A24,'Data Vlaue (Cr)'!C19:CY231,101,0)</f>
        <v>-35</v>
      </c>
      <c r="D24" s="139">
        <f>VLOOKUP(A24,'Data Vlaue (Cr)'!C19:CZ231,102,0)</f>
        <v>-7.7000000000000002E-3</v>
      </c>
      <c r="E24" s="91">
        <f>VLOOKUP($A24,'Data Vlaue (Cr)'!$C:$FB,75)</f>
        <v>2485</v>
      </c>
      <c r="F24" s="91">
        <f>VLOOKUP($A24,'Data Vlaue (Cr)'!$C:$FB,77)</f>
        <v>24</v>
      </c>
      <c r="G24" s="92">
        <f>VLOOKUP(A24,'Data Vlaue (Cr)'!C19:CB231,78,0)</f>
        <v>9.7000000000000003E-3</v>
      </c>
      <c r="H24" s="91">
        <f>VLOOKUP($A24,'Data Vlaue (Cr)'!$C:$FB,91)</f>
        <v>1221</v>
      </c>
      <c r="I24" s="91">
        <f>VLOOKUP($A24,'Data Vlaue (Cr)'!$C:$FB,93)</f>
        <v>-106</v>
      </c>
      <c r="J24" s="92">
        <f>VLOOKUP($A24,'Data Vlaue (Cr)'!$C:$FB,94)</f>
        <v>-8.0100000000000005E-2</v>
      </c>
      <c r="K24" s="91">
        <f>VLOOKUP($A24,'Data Vlaue (Cr)'!$C:$FB,95)</f>
        <v>777</v>
      </c>
      <c r="L24" s="91">
        <f>VLOOKUP($A24,'Data Vlaue (Cr)'!$C:$FB,97)</f>
        <v>48</v>
      </c>
      <c r="M24" s="92">
        <f>VLOOKUP($A24,'Data Vlaue (Cr)'!$C:$FB,98)</f>
        <v>6.54E-2</v>
      </c>
      <c r="N24" s="91">
        <f>VLOOKUP($A24,'Data Vlaue (Cr)'!$C:$FB,79)</f>
        <v>2381</v>
      </c>
      <c r="O24" s="92">
        <f>VLOOKUP($A24,'Data Vlaue (Cr)'!$C:$FB,82)</f>
        <v>9.4999999999999998E-3</v>
      </c>
    </row>
    <row r="25" spans="1:15" x14ac:dyDescent="0.25">
      <c r="A25" s="97" t="str">
        <f>'Data Vlaue (Cr)'!C20</f>
        <v>AXISBANK</v>
      </c>
      <c r="B25" s="142">
        <f>VLOOKUP(A25,'Data Vlaue (Cr)'!C20:CW232,99,0)</f>
        <v>14843</v>
      </c>
      <c r="C25" s="90">
        <f>VLOOKUP(A25,'Data Vlaue (Cr)'!C20:CY232,101,0)</f>
        <v>-15</v>
      </c>
      <c r="D25" s="139">
        <f>VLOOKUP(A25,'Data Vlaue (Cr)'!C20:CZ232,102,0)</f>
        <v>-1E-3</v>
      </c>
      <c r="E25" s="91">
        <f>VLOOKUP($A25,'Data Vlaue (Cr)'!$C:$FB,75)</f>
        <v>9148</v>
      </c>
      <c r="F25" s="91">
        <f>VLOOKUP($A25,'Data Vlaue (Cr)'!$C:$FB,77)</f>
        <v>-88</v>
      </c>
      <c r="G25" s="92">
        <f>VLOOKUP(A25,'Data Vlaue (Cr)'!C20:CB232,78,0)</f>
        <v>-9.5999999999999992E-3</v>
      </c>
      <c r="H25" s="91">
        <f>VLOOKUP($A25,'Data Vlaue (Cr)'!$C:$FB,91)</f>
        <v>3785</v>
      </c>
      <c r="I25" s="91">
        <f>VLOOKUP($A25,'Data Vlaue (Cr)'!$C:$FB,93)</f>
        <v>115</v>
      </c>
      <c r="J25" s="92">
        <f>VLOOKUP($A25,'Data Vlaue (Cr)'!$C:$FB,94)</f>
        <v>3.1199999999999999E-2</v>
      </c>
      <c r="K25" s="91">
        <f>VLOOKUP($A25,'Data Vlaue (Cr)'!$C:$FB,95)</f>
        <v>1910</v>
      </c>
      <c r="L25" s="91">
        <f>VLOOKUP($A25,'Data Vlaue (Cr)'!$C:$FB,97)</f>
        <v>-42</v>
      </c>
      <c r="M25" s="92">
        <f>VLOOKUP($A25,'Data Vlaue (Cr)'!$C:$FB,98)</f>
        <v>-2.1399999999999999E-2</v>
      </c>
      <c r="N25" s="91">
        <f>VLOOKUP($A25,'Data Vlaue (Cr)'!$C:$FB,79)</f>
        <v>8612</v>
      </c>
      <c r="O25" s="92">
        <f>VLOOKUP($A25,'Data Vlaue (Cr)'!$C:$FB,82)</f>
        <v>-1.04E-2</v>
      </c>
    </row>
    <row r="26" spans="1:15" x14ac:dyDescent="0.25">
      <c r="A26" s="97" t="str">
        <f>'Data Vlaue (Cr)'!C21</f>
        <v>BAJAJ-AUTO</v>
      </c>
      <c r="B26" s="142">
        <f>VLOOKUP(A26,'Data Vlaue (Cr)'!C21:CW233,99,0)</f>
        <v>5447</v>
      </c>
      <c r="C26" s="90">
        <f>VLOOKUP(A26,'Data Vlaue (Cr)'!C21:CY233,101,0)</f>
        <v>137</v>
      </c>
      <c r="D26" s="139">
        <f>VLOOKUP(A26,'Data Vlaue (Cr)'!C21:CZ233,102,0)</f>
        <v>2.5700000000000001E-2</v>
      </c>
      <c r="E26" s="91">
        <f>VLOOKUP($A26,'Data Vlaue (Cr)'!$C:$FB,75)</f>
        <v>3041</v>
      </c>
      <c r="F26" s="91">
        <f>VLOOKUP($A26,'Data Vlaue (Cr)'!$C:$FB,77)</f>
        <v>5</v>
      </c>
      <c r="G26" s="92">
        <f>VLOOKUP(A26,'Data Vlaue (Cr)'!C21:CB233,78,0)</f>
        <v>1.6000000000000001E-3</v>
      </c>
      <c r="H26" s="91">
        <f>VLOOKUP($A26,'Data Vlaue (Cr)'!$C:$FB,91)</f>
        <v>1417</v>
      </c>
      <c r="I26" s="91">
        <f>VLOOKUP($A26,'Data Vlaue (Cr)'!$C:$FB,93)</f>
        <v>65</v>
      </c>
      <c r="J26" s="92">
        <f>VLOOKUP($A26,'Data Vlaue (Cr)'!$C:$FB,94)</f>
        <v>4.8099999999999997E-2</v>
      </c>
      <c r="K26" s="91">
        <f>VLOOKUP($A26,'Data Vlaue (Cr)'!$C:$FB,95)</f>
        <v>989</v>
      </c>
      <c r="L26" s="91">
        <f>VLOOKUP($A26,'Data Vlaue (Cr)'!$C:$FB,97)</f>
        <v>67</v>
      </c>
      <c r="M26" s="92">
        <f>VLOOKUP($A26,'Data Vlaue (Cr)'!$C:$FB,98)</f>
        <v>7.2300000000000003E-2</v>
      </c>
      <c r="N26" s="91">
        <f>VLOOKUP($A26,'Data Vlaue (Cr)'!$C:$FB,79)</f>
        <v>2923</v>
      </c>
      <c r="O26" s="92">
        <f>VLOOKUP($A26,'Data Vlaue (Cr)'!$C:$FB,82)</f>
        <v>-5.4999999999999997E-3</v>
      </c>
    </row>
    <row r="27" spans="1:15" x14ac:dyDescent="0.25">
      <c r="A27" s="97" t="str">
        <f>'Data Vlaue (Cr)'!C22</f>
        <v>BAJAJFINSV</v>
      </c>
      <c r="B27" s="142">
        <f>VLOOKUP(A27,'Data Vlaue (Cr)'!C22:CW234,99,0)</f>
        <v>4574</v>
      </c>
      <c r="C27" s="90">
        <f>VLOOKUP(A27,'Data Vlaue (Cr)'!C22:CY234,101,0)</f>
        <v>-9</v>
      </c>
      <c r="D27" s="139">
        <f>VLOOKUP(A27,'Data Vlaue (Cr)'!C22:CZ234,102,0)</f>
        <v>-1.9E-3</v>
      </c>
      <c r="E27" s="91">
        <f>VLOOKUP($A27,'Data Vlaue (Cr)'!$C:$FB,75)</f>
        <v>2595</v>
      </c>
      <c r="F27" s="91">
        <f>VLOOKUP($A27,'Data Vlaue (Cr)'!$C:$FB,77)</f>
        <v>-16</v>
      </c>
      <c r="G27" s="92">
        <f>VLOOKUP(A27,'Data Vlaue (Cr)'!C22:CB234,78,0)</f>
        <v>-5.8999999999999999E-3</v>
      </c>
      <c r="H27" s="91">
        <f>VLOOKUP($A27,'Data Vlaue (Cr)'!$C:$FB,91)</f>
        <v>1192</v>
      </c>
      <c r="I27" s="91">
        <f>VLOOKUP($A27,'Data Vlaue (Cr)'!$C:$FB,93)</f>
        <v>12</v>
      </c>
      <c r="J27" s="92">
        <f>VLOOKUP($A27,'Data Vlaue (Cr)'!$C:$FB,94)</f>
        <v>1.0200000000000001E-2</v>
      </c>
      <c r="K27" s="91">
        <f>VLOOKUP($A27,'Data Vlaue (Cr)'!$C:$FB,95)</f>
        <v>788</v>
      </c>
      <c r="L27" s="91">
        <f>VLOOKUP($A27,'Data Vlaue (Cr)'!$C:$FB,97)</f>
        <v>-5</v>
      </c>
      <c r="M27" s="92">
        <f>VLOOKUP($A27,'Data Vlaue (Cr)'!$C:$FB,98)</f>
        <v>-6.7000000000000002E-3</v>
      </c>
      <c r="N27" s="91">
        <f>VLOOKUP($A27,'Data Vlaue (Cr)'!$C:$FB,79)</f>
        <v>2520</v>
      </c>
      <c r="O27" s="92">
        <f>VLOOKUP($A27,'Data Vlaue (Cr)'!$C:$FB,82)</f>
        <v>-7.7000000000000002E-3</v>
      </c>
    </row>
    <row r="28" spans="1:15" x14ac:dyDescent="0.25">
      <c r="A28" s="97" t="str">
        <f>'Data Vlaue (Cr)'!C23</f>
        <v>BAJAJHLDNG</v>
      </c>
      <c r="B28" s="142">
        <f>VLOOKUP(A28,'Data Vlaue (Cr)'!C23:CW235,99,0)</f>
        <v>487</v>
      </c>
      <c r="C28" s="90">
        <f>VLOOKUP(A28,'Data Vlaue (Cr)'!C23:CY235,101,0)</f>
        <v>0</v>
      </c>
      <c r="D28" s="139">
        <f>VLOOKUP(A28,'Data Vlaue (Cr)'!C23:CZ235,102,0)</f>
        <v>-8.9999999999999998E-4</v>
      </c>
      <c r="E28" s="91">
        <f>VLOOKUP($A28,'Data Vlaue (Cr)'!$C:$FB,75)</f>
        <v>237</v>
      </c>
      <c r="F28" s="91">
        <f>VLOOKUP($A28,'Data Vlaue (Cr)'!$C:$FB,77)</f>
        <v>-1</v>
      </c>
      <c r="G28" s="92">
        <f>VLOOKUP(A28,'Data Vlaue (Cr)'!C23:CB235,78,0)</f>
        <v>-2.0999999999999999E-3</v>
      </c>
      <c r="H28" s="91">
        <f>VLOOKUP($A28,'Data Vlaue (Cr)'!$C:$FB,91)</f>
        <v>180</v>
      </c>
      <c r="I28" s="91">
        <f>VLOOKUP($A28,'Data Vlaue (Cr)'!$C:$FB,93)</f>
        <v>0</v>
      </c>
      <c r="J28" s="92">
        <f>VLOOKUP($A28,'Data Vlaue (Cr)'!$C:$FB,94)</f>
        <v>1.1999999999999999E-3</v>
      </c>
      <c r="K28" s="91">
        <f>VLOOKUP($A28,'Data Vlaue (Cr)'!$C:$FB,95)</f>
        <v>71</v>
      </c>
      <c r="L28" s="91">
        <f>VLOOKUP($A28,'Data Vlaue (Cr)'!$C:$FB,97)</f>
        <v>0</v>
      </c>
      <c r="M28" s="92">
        <f>VLOOKUP($A28,'Data Vlaue (Cr)'!$C:$FB,98)</f>
        <v>-2.3999999999999998E-3</v>
      </c>
      <c r="N28" s="91">
        <f>VLOOKUP($A28,'Data Vlaue (Cr)'!$C:$FB,79)</f>
        <v>227</v>
      </c>
      <c r="O28" s="92">
        <f>VLOOKUP($A28,'Data Vlaue (Cr)'!$C:$FB,82)</f>
        <v>-4.4000000000000003E-3</v>
      </c>
    </row>
    <row r="29" spans="1:15" x14ac:dyDescent="0.25">
      <c r="A29" s="97" t="str">
        <f>'Data Vlaue (Cr)'!C24</f>
        <v>BAJFINANCE</v>
      </c>
      <c r="B29" s="142">
        <f>VLOOKUP(A29,'Data Vlaue (Cr)'!C24:CW236,99,0)</f>
        <v>11997</v>
      </c>
      <c r="C29" s="90">
        <f>VLOOKUP(A29,'Data Vlaue (Cr)'!C24:CY236,101,0)</f>
        <v>-131</v>
      </c>
      <c r="D29" s="139">
        <f>VLOOKUP(A29,'Data Vlaue (Cr)'!C24:CZ236,102,0)</f>
        <v>-1.0800000000000001E-2</v>
      </c>
      <c r="E29" s="91">
        <f>VLOOKUP($A29,'Data Vlaue (Cr)'!$C:$FB,75)</f>
        <v>8440</v>
      </c>
      <c r="F29" s="91">
        <f>VLOOKUP($A29,'Data Vlaue (Cr)'!$C:$FB,77)</f>
        <v>-21</v>
      </c>
      <c r="G29" s="92">
        <f>VLOOKUP(A29,'Data Vlaue (Cr)'!C24:CB236,78,0)</f>
        <v>-2.3999999999999998E-3</v>
      </c>
      <c r="H29" s="91">
        <f>VLOOKUP($A29,'Data Vlaue (Cr)'!$C:$FB,91)</f>
        <v>1823</v>
      </c>
      <c r="I29" s="91">
        <f>VLOOKUP($A29,'Data Vlaue (Cr)'!$C:$FB,93)</f>
        <v>-41</v>
      </c>
      <c r="J29" s="92">
        <f>VLOOKUP($A29,'Data Vlaue (Cr)'!$C:$FB,94)</f>
        <v>-2.1999999999999999E-2</v>
      </c>
      <c r="K29" s="91">
        <f>VLOOKUP($A29,'Data Vlaue (Cr)'!$C:$FB,95)</f>
        <v>1734</v>
      </c>
      <c r="L29" s="91">
        <f>VLOOKUP($A29,'Data Vlaue (Cr)'!$C:$FB,97)</f>
        <v>-69</v>
      </c>
      <c r="M29" s="92">
        <f>VLOOKUP($A29,'Data Vlaue (Cr)'!$C:$FB,98)</f>
        <v>-3.8300000000000001E-2</v>
      </c>
      <c r="N29" s="91">
        <f>VLOOKUP($A29,'Data Vlaue (Cr)'!$C:$FB,79)</f>
        <v>7937</v>
      </c>
      <c r="O29" s="92">
        <f>VLOOKUP($A29,'Data Vlaue (Cr)'!$C:$FB,82)</f>
        <v>-4.5999999999999999E-3</v>
      </c>
    </row>
    <row r="30" spans="1:15" x14ac:dyDescent="0.25">
      <c r="A30" s="97" t="str">
        <f>'Data Vlaue (Cr)'!C25</f>
        <v>BANDHANBNK</v>
      </c>
      <c r="B30" s="142">
        <f>VLOOKUP(A30,'Data Vlaue (Cr)'!C25:CW237,99,0)</f>
        <v>2482</v>
      </c>
      <c r="C30" s="90">
        <f>VLOOKUP(A30,'Data Vlaue (Cr)'!C25:CY237,101,0)</f>
        <v>-33</v>
      </c>
      <c r="D30" s="139">
        <f>VLOOKUP(A30,'Data Vlaue (Cr)'!C25:CZ237,102,0)</f>
        <v>-1.3100000000000001E-2</v>
      </c>
      <c r="E30" s="91">
        <f>VLOOKUP($A30,'Data Vlaue (Cr)'!$C:$FB,75)</f>
        <v>1660</v>
      </c>
      <c r="F30" s="91">
        <f>VLOOKUP($A30,'Data Vlaue (Cr)'!$C:$FB,77)</f>
        <v>-53</v>
      </c>
      <c r="G30" s="92">
        <f>VLOOKUP(A30,'Data Vlaue (Cr)'!C25:CB237,78,0)</f>
        <v>-3.0800000000000001E-2</v>
      </c>
      <c r="H30" s="91">
        <f>VLOOKUP($A30,'Data Vlaue (Cr)'!$C:$FB,91)</f>
        <v>434</v>
      </c>
      <c r="I30" s="91">
        <f>VLOOKUP($A30,'Data Vlaue (Cr)'!$C:$FB,93)</f>
        <v>3</v>
      </c>
      <c r="J30" s="92">
        <f>VLOOKUP($A30,'Data Vlaue (Cr)'!$C:$FB,94)</f>
        <v>6.3E-3</v>
      </c>
      <c r="K30" s="91">
        <f>VLOOKUP($A30,'Data Vlaue (Cr)'!$C:$FB,95)</f>
        <v>389</v>
      </c>
      <c r="L30" s="91">
        <f>VLOOKUP($A30,'Data Vlaue (Cr)'!$C:$FB,97)</f>
        <v>17</v>
      </c>
      <c r="M30" s="92">
        <f>VLOOKUP($A30,'Data Vlaue (Cr)'!$C:$FB,98)</f>
        <v>4.6199999999999998E-2</v>
      </c>
      <c r="N30" s="91">
        <f>VLOOKUP($A30,'Data Vlaue (Cr)'!$C:$FB,79)</f>
        <v>1552</v>
      </c>
      <c r="O30" s="92">
        <f>VLOOKUP($A30,'Data Vlaue (Cr)'!$C:$FB,82)</f>
        <v>-3.78E-2</v>
      </c>
    </row>
    <row r="31" spans="1:15" x14ac:dyDescent="0.25">
      <c r="A31" s="97" t="str">
        <f>'Data Vlaue (Cr)'!C26</f>
        <v>BANKBARODA</v>
      </c>
      <c r="B31" s="142">
        <f>VLOOKUP(A31,'Data Vlaue (Cr)'!C26:CW238,99,0)</f>
        <v>5367</v>
      </c>
      <c r="C31" s="90">
        <f>VLOOKUP(A31,'Data Vlaue (Cr)'!C26:CY238,101,0)</f>
        <v>79</v>
      </c>
      <c r="D31" s="139">
        <f>VLOOKUP(A31,'Data Vlaue (Cr)'!C26:CZ238,102,0)</f>
        <v>1.49E-2</v>
      </c>
      <c r="E31" s="91">
        <f>VLOOKUP($A31,'Data Vlaue (Cr)'!$C:$FB,75)</f>
        <v>2647</v>
      </c>
      <c r="F31" s="91">
        <f>VLOOKUP($A31,'Data Vlaue (Cr)'!$C:$FB,77)</f>
        <v>25</v>
      </c>
      <c r="G31" s="92">
        <f>VLOOKUP(A31,'Data Vlaue (Cr)'!C26:CB238,78,0)</f>
        <v>9.4000000000000004E-3</v>
      </c>
      <c r="H31" s="91">
        <f>VLOOKUP($A31,'Data Vlaue (Cr)'!$C:$FB,91)</f>
        <v>1668</v>
      </c>
      <c r="I31" s="91">
        <f>VLOOKUP($A31,'Data Vlaue (Cr)'!$C:$FB,93)</f>
        <v>45</v>
      </c>
      <c r="J31" s="92">
        <f>VLOOKUP($A31,'Data Vlaue (Cr)'!$C:$FB,94)</f>
        <v>2.7799999999999998E-2</v>
      </c>
      <c r="K31" s="91">
        <f>VLOOKUP($A31,'Data Vlaue (Cr)'!$C:$FB,95)</f>
        <v>1053</v>
      </c>
      <c r="L31" s="91">
        <f>VLOOKUP($A31,'Data Vlaue (Cr)'!$C:$FB,97)</f>
        <v>9</v>
      </c>
      <c r="M31" s="92">
        <f>VLOOKUP($A31,'Data Vlaue (Cr)'!$C:$FB,98)</f>
        <v>8.6E-3</v>
      </c>
      <c r="N31" s="91">
        <f>VLOOKUP($A31,'Data Vlaue (Cr)'!$C:$FB,79)</f>
        <v>2519</v>
      </c>
      <c r="O31" s="92">
        <f>VLOOKUP($A31,'Data Vlaue (Cr)'!$C:$FB,82)</f>
        <v>8.0999999999999996E-3</v>
      </c>
    </row>
    <row r="32" spans="1:15" x14ac:dyDescent="0.25">
      <c r="A32" s="97" t="str">
        <f>'Data Vlaue (Cr)'!C27</f>
        <v>BANKINDIA</v>
      </c>
      <c r="B32" s="142">
        <f>VLOOKUP(A32,'Data Vlaue (Cr)'!C27:CW239,99,0)</f>
        <v>1554</v>
      </c>
      <c r="C32" s="90">
        <f>VLOOKUP(A32,'Data Vlaue (Cr)'!C27:CY239,101,0)</f>
        <v>-11</v>
      </c>
      <c r="D32" s="139">
        <f>VLOOKUP(A32,'Data Vlaue (Cr)'!C27:CZ239,102,0)</f>
        <v>-6.7000000000000002E-3</v>
      </c>
      <c r="E32" s="91">
        <f>VLOOKUP($A32,'Data Vlaue (Cr)'!$C:$FB,75)</f>
        <v>847</v>
      </c>
      <c r="F32" s="91">
        <f>VLOOKUP($A32,'Data Vlaue (Cr)'!$C:$FB,77)</f>
        <v>-15</v>
      </c>
      <c r="G32" s="92">
        <f>VLOOKUP(A32,'Data Vlaue (Cr)'!C27:CB239,78,0)</f>
        <v>-1.78E-2</v>
      </c>
      <c r="H32" s="91">
        <f>VLOOKUP($A32,'Data Vlaue (Cr)'!$C:$FB,91)</f>
        <v>408</v>
      </c>
      <c r="I32" s="91">
        <f>VLOOKUP($A32,'Data Vlaue (Cr)'!$C:$FB,93)</f>
        <v>-1</v>
      </c>
      <c r="J32" s="92">
        <f>VLOOKUP($A32,'Data Vlaue (Cr)'!$C:$FB,94)</f>
        <v>-2.3E-3</v>
      </c>
      <c r="K32" s="91">
        <f>VLOOKUP($A32,'Data Vlaue (Cr)'!$C:$FB,95)</f>
        <v>300</v>
      </c>
      <c r="L32" s="91">
        <f>VLOOKUP($A32,'Data Vlaue (Cr)'!$C:$FB,97)</f>
        <v>6</v>
      </c>
      <c r="M32" s="92">
        <f>VLOOKUP($A32,'Data Vlaue (Cr)'!$C:$FB,98)</f>
        <v>1.9599999999999999E-2</v>
      </c>
      <c r="N32" s="91">
        <f>VLOOKUP($A32,'Data Vlaue (Cr)'!$C:$FB,79)</f>
        <v>808</v>
      </c>
      <c r="O32" s="92">
        <f>VLOOKUP($A32,'Data Vlaue (Cr)'!$C:$FB,82)</f>
        <v>-2.01E-2</v>
      </c>
    </row>
    <row r="33" spans="1:15" x14ac:dyDescent="0.25">
      <c r="A33" s="97" t="str">
        <f>'Data Vlaue (Cr)'!C28</f>
        <v>BANKNIFTY</v>
      </c>
      <c r="B33" s="142">
        <f>VLOOKUP(A33,'Data Vlaue (Cr)'!C28:CW240,99,0)</f>
        <v>205011</v>
      </c>
      <c r="C33" s="90">
        <f>VLOOKUP(A33,'Data Vlaue (Cr)'!C28:CY240,101,0)</f>
        <v>12930</v>
      </c>
      <c r="D33" s="139">
        <f>VLOOKUP(A33,'Data Vlaue (Cr)'!C28:CZ240,102,0)</f>
        <v>6.7299999999999999E-2</v>
      </c>
      <c r="E33" s="91">
        <f>VLOOKUP($A33,'Data Vlaue (Cr)'!$C:$FB,75)</f>
        <v>10890</v>
      </c>
      <c r="F33" s="91">
        <f>VLOOKUP($A33,'Data Vlaue (Cr)'!$C:$FB,77)</f>
        <v>-21</v>
      </c>
      <c r="G33" s="92">
        <f>VLOOKUP(A33,'Data Vlaue (Cr)'!C28:CB240,78,0)</f>
        <v>-1.9E-3</v>
      </c>
      <c r="H33" s="91">
        <f>VLOOKUP($A33,'Data Vlaue (Cr)'!$C:$FB,91)</f>
        <v>89482</v>
      </c>
      <c r="I33" s="91">
        <f>VLOOKUP($A33,'Data Vlaue (Cr)'!$C:$FB,93)</f>
        <v>1127</v>
      </c>
      <c r="J33" s="92">
        <f>VLOOKUP($A33,'Data Vlaue (Cr)'!$C:$FB,94)</f>
        <v>1.2800000000000001E-2</v>
      </c>
      <c r="K33" s="91">
        <f>VLOOKUP($A33,'Data Vlaue (Cr)'!$C:$FB,95)</f>
        <v>104639</v>
      </c>
      <c r="L33" s="91">
        <f>VLOOKUP($A33,'Data Vlaue (Cr)'!$C:$FB,97)</f>
        <v>11825</v>
      </c>
      <c r="M33" s="92">
        <f>VLOOKUP($A33,'Data Vlaue (Cr)'!$C:$FB,98)</f>
        <v>0.12740000000000001</v>
      </c>
      <c r="N33" s="91">
        <f>VLOOKUP($A33,'Data Vlaue (Cr)'!$C:$FB,79)</f>
        <v>9673</v>
      </c>
      <c r="O33" s="92">
        <f>VLOOKUP($A33,'Data Vlaue (Cr)'!$C:$FB,82)</f>
        <v>-4.1000000000000003E-3</v>
      </c>
    </row>
    <row r="34" spans="1:15" x14ac:dyDescent="0.25">
      <c r="A34" s="97" t="str">
        <f>'Data Vlaue (Cr)'!C29</f>
        <v>BDL</v>
      </c>
      <c r="B34" s="142">
        <f>VLOOKUP(A34,'Data Vlaue (Cr)'!C29:CW241,99,0)</f>
        <v>2894</v>
      </c>
      <c r="C34" s="90">
        <f>VLOOKUP(A34,'Data Vlaue (Cr)'!C29:CY241,101,0)</f>
        <v>-12</v>
      </c>
      <c r="D34" s="139">
        <f>VLOOKUP(A34,'Data Vlaue (Cr)'!C29:CZ241,102,0)</f>
        <v>-4.1000000000000003E-3</v>
      </c>
      <c r="E34" s="91">
        <f>VLOOKUP($A34,'Data Vlaue (Cr)'!$C:$FB,75)</f>
        <v>943</v>
      </c>
      <c r="F34" s="91">
        <f>VLOOKUP($A34,'Data Vlaue (Cr)'!$C:$FB,77)</f>
        <v>4</v>
      </c>
      <c r="G34" s="92">
        <f>VLOOKUP(A34,'Data Vlaue (Cr)'!C29:CB241,78,0)</f>
        <v>4.5999999999999999E-3</v>
      </c>
      <c r="H34" s="91">
        <f>VLOOKUP($A34,'Data Vlaue (Cr)'!$C:$FB,91)</f>
        <v>1434</v>
      </c>
      <c r="I34" s="91">
        <f>VLOOKUP($A34,'Data Vlaue (Cr)'!$C:$FB,93)</f>
        <v>-15</v>
      </c>
      <c r="J34" s="92">
        <f>VLOOKUP($A34,'Data Vlaue (Cr)'!$C:$FB,94)</f>
        <v>-0.01</v>
      </c>
      <c r="K34" s="91">
        <f>VLOOKUP($A34,'Data Vlaue (Cr)'!$C:$FB,95)</f>
        <v>516</v>
      </c>
      <c r="L34" s="91">
        <f>VLOOKUP($A34,'Data Vlaue (Cr)'!$C:$FB,97)</f>
        <v>-2</v>
      </c>
      <c r="M34" s="92">
        <f>VLOOKUP($A34,'Data Vlaue (Cr)'!$C:$FB,98)</f>
        <v>-3.3999999999999998E-3</v>
      </c>
      <c r="N34" s="91">
        <f>VLOOKUP($A34,'Data Vlaue (Cr)'!$C:$FB,79)</f>
        <v>765</v>
      </c>
      <c r="O34" s="92">
        <f>VLOOKUP($A34,'Data Vlaue (Cr)'!$C:$FB,82)</f>
        <v>-7.0000000000000001E-3</v>
      </c>
    </row>
    <row r="35" spans="1:15" x14ac:dyDescent="0.25">
      <c r="A35" s="97" t="str">
        <f>'Data Vlaue (Cr)'!C30</f>
        <v>BEL</v>
      </c>
      <c r="B35" s="142">
        <f>VLOOKUP(A35,'Data Vlaue (Cr)'!C30:CW242,99,0)</f>
        <v>11340</v>
      </c>
      <c r="C35" s="90">
        <f>VLOOKUP(A35,'Data Vlaue (Cr)'!C30:CY242,101,0)</f>
        <v>-184</v>
      </c>
      <c r="D35" s="139">
        <f>VLOOKUP(A35,'Data Vlaue (Cr)'!C30:CZ242,102,0)</f>
        <v>-1.5900000000000001E-2</v>
      </c>
      <c r="E35" s="91">
        <f>VLOOKUP($A35,'Data Vlaue (Cr)'!$C:$FB,75)</f>
        <v>4939</v>
      </c>
      <c r="F35" s="91">
        <f>VLOOKUP($A35,'Data Vlaue (Cr)'!$C:$FB,77)</f>
        <v>-48</v>
      </c>
      <c r="G35" s="92">
        <f>VLOOKUP(A35,'Data Vlaue (Cr)'!C30:CB242,78,0)</f>
        <v>-9.5999999999999992E-3</v>
      </c>
      <c r="H35" s="91">
        <f>VLOOKUP($A35,'Data Vlaue (Cr)'!$C:$FB,91)</f>
        <v>4496</v>
      </c>
      <c r="I35" s="91">
        <f>VLOOKUP($A35,'Data Vlaue (Cr)'!$C:$FB,93)</f>
        <v>-111</v>
      </c>
      <c r="J35" s="92">
        <f>VLOOKUP($A35,'Data Vlaue (Cr)'!$C:$FB,94)</f>
        <v>-2.41E-2</v>
      </c>
      <c r="K35" s="91">
        <f>VLOOKUP($A35,'Data Vlaue (Cr)'!$C:$FB,95)</f>
        <v>1906</v>
      </c>
      <c r="L35" s="91">
        <f>VLOOKUP($A35,'Data Vlaue (Cr)'!$C:$FB,97)</f>
        <v>-25</v>
      </c>
      <c r="M35" s="92">
        <f>VLOOKUP($A35,'Data Vlaue (Cr)'!$C:$FB,98)</f>
        <v>-1.29E-2</v>
      </c>
      <c r="N35" s="91">
        <f>VLOOKUP($A35,'Data Vlaue (Cr)'!$C:$FB,79)</f>
        <v>4501</v>
      </c>
      <c r="O35" s="92">
        <f>VLOOKUP($A35,'Data Vlaue (Cr)'!$C:$FB,82)</f>
        <v>-1.1599999999999999E-2</v>
      </c>
    </row>
    <row r="36" spans="1:15" x14ac:dyDescent="0.25">
      <c r="A36" s="97" t="str">
        <f>'Data Vlaue (Cr)'!C31</f>
        <v>BHARATFORG</v>
      </c>
      <c r="B36" s="142">
        <f>VLOOKUP(A36,'Data Vlaue (Cr)'!C31:CW243,99,0)</f>
        <v>2212</v>
      </c>
      <c r="C36" s="90">
        <f>VLOOKUP(A36,'Data Vlaue (Cr)'!C31:CY243,101,0)</f>
        <v>173</v>
      </c>
      <c r="D36" s="139">
        <f>VLOOKUP(A36,'Data Vlaue (Cr)'!C31:CZ243,102,0)</f>
        <v>8.5000000000000006E-2</v>
      </c>
      <c r="E36" s="91">
        <f>VLOOKUP($A36,'Data Vlaue (Cr)'!$C:$FB,75)</f>
        <v>1190</v>
      </c>
      <c r="F36" s="91">
        <f>VLOOKUP($A36,'Data Vlaue (Cr)'!$C:$FB,77)</f>
        <v>27</v>
      </c>
      <c r="G36" s="92">
        <f>VLOOKUP(A36,'Data Vlaue (Cr)'!C31:CB243,78,0)</f>
        <v>2.3599999999999999E-2</v>
      </c>
      <c r="H36" s="91">
        <f>VLOOKUP($A36,'Data Vlaue (Cr)'!$C:$FB,91)</f>
        <v>576</v>
      </c>
      <c r="I36" s="91">
        <f>VLOOKUP($A36,'Data Vlaue (Cr)'!$C:$FB,93)</f>
        <v>76</v>
      </c>
      <c r="J36" s="92">
        <f>VLOOKUP($A36,'Data Vlaue (Cr)'!$C:$FB,94)</f>
        <v>0.153</v>
      </c>
      <c r="K36" s="91">
        <f>VLOOKUP($A36,'Data Vlaue (Cr)'!$C:$FB,95)</f>
        <v>446</v>
      </c>
      <c r="L36" s="91">
        <f>VLOOKUP($A36,'Data Vlaue (Cr)'!$C:$FB,97)</f>
        <v>69</v>
      </c>
      <c r="M36" s="92">
        <f>VLOOKUP($A36,'Data Vlaue (Cr)'!$C:$FB,98)</f>
        <v>0.1842</v>
      </c>
      <c r="N36" s="91">
        <f>VLOOKUP($A36,'Data Vlaue (Cr)'!$C:$FB,79)</f>
        <v>1167</v>
      </c>
      <c r="O36" s="92">
        <f>VLOOKUP($A36,'Data Vlaue (Cr)'!$C:$FB,82)</f>
        <v>2.0799999999999999E-2</v>
      </c>
    </row>
    <row r="37" spans="1:15" x14ac:dyDescent="0.25">
      <c r="A37" s="97" t="str">
        <f>'Data Vlaue (Cr)'!C32</f>
        <v>BHARTIARTL</v>
      </c>
      <c r="B37" s="142">
        <f>VLOOKUP(A37,'Data Vlaue (Cr)'!C32:CW244,99,0)</f>
        <v>15376</v>
      </c>
      <c r="C37" s="90">
        <f>VLOOKUP(A37,'Data Vlaue (Cr)'!C32:CY244,101,0)</f>
        <v>312</v>
      </c>
      <c r="D37" s="139">
        <f>VLOOKUP(A37,'Data Vlaue (Cr)'!C32:CZ244,102,0)</f>
        <v>2.07E-2</v>
      </c>
      <c r="E37" s="91">
        <f>VLOOKUP($A37,'Data Vlaue (Cr)'!$C:$FB,75)</f>
        <v>10649</v>
      </c>
      <c r="F37" s="91">
        <f>VLOOKUP($A37,'Data Vlaue (Cr)'!$C:$FB,77)</f>
        <v>142</v>
      </c>
      <c r="G37" s="92">
        <f>VLOOKUP(A37,'Data Vlaue (Cr)'!C32:CB244,78,0)</f>
        <v>1.35E-2</v>
      </c>
      <c r="H37" s="91">
        <f>VLOOKUP($A37,'Data Vlaue (Cr)'!$C:$FB,91)</f>
        <v>3159</v>
      </c>
      <c r="I37" s="91">
        <f>VLOOKUP($A37,'Data Vlaue (Cr)'!$C:$FB,93)</f>
        <v>150</v>
      </c>
      <c r="J37" s="92">
        <f>VLOOKUP($A37,'Data Vlaue (Cr)'!$C:$FB,94)</f>
        <v>0.05</v>
      </c>
      <c r="K37" s="91">
        <f>VLOOKUP($A37,'Data Vlaue (Cr)'!$C:$FB,95)</f>
        <v>1568</v>
      </c>
      <c r="L37" s="91">
        <f>VLOOKUP($A37,'Data Vlaue (Cr)'!$C:$FB,97)</f>
        <v>19</v>
      </c>
      <c r="M37" s="92">
        <f>VLOOKUP($A37,'Data Vlaue (Cr)'!$C:$FB,98)</f>
        <v>1.24E-2</v>
      </c>
      <c r="N37" s="91">
        <f>VLOOKUP($A37,'Data Vlaue (Cr)'!$C:$FB,79)</f>
        <v>9211</v>
      </c>
      <c r="O37" s="92">
        <f>VLOOKUP($A37,'Data Vlaue (Cr)'!$C:$FB,82)</f>
        <v>5.0000000000000001E-3</v>
      </c>
    </row>
    <row r="38" spans="1:15" x14ac:dyDescent="0.25">
      <c r="A38" s="97" t="str">
        <f>'Data Vlaue (Cr)'!C33</f>
        <v>BHEL</v>
      </c>
      <c r="B38" s="142">
        <f>VLOOKUP(A38,'Data Vlaue (Cr)'!C33:CW245,99,0)</f>
        <v>5790</v>
      </c>
      <c r="C38" s="90">
        <f>VLOOKUP(A38,'Data Vlaue (Cr)'!C33:CY245,101,0)</f>
        <v>1823</v>
      </c>
      <c r="D38" s="139">
        <f>VLOOKUP(A38,'Data Vlaue (Cr)'!C33:CZ245,102,0)</f>
        <v>0.45939999999999998</v>
      </c>
      <c r="E38" s="91">
        <f>VLOOKUP($A38,'Data Vlaue (Cr)'!$C:$FB,75)</f>
        <v>2676</v>
      </c>
      <c r="F38" s="91">
        <f>VLOOKUP($A38,'Data Vlaue (Cr)'!$C:$FB,77)</f>
        <v>675</v>
      </c>
      <c r="G38" s="92">
        <f>VLOOKUP(A38,'Data Vlaue (Cr)'!C33:CB245,78,0)</f>
        <v>0.33729999999999999</v>
      </c>
      <c r="H38" s="91">
        <f>VLOOKUP($A38,'Data Vlaue (Cr)'!$C:$FB,91)</f>
        <v>2042</v>
      </c>
      <c r="I38" s="91">
        <f>VLOOKUP($A38,'Data Vlaue (Cr)'!$C:$FB,93)</f>
        <v>785</v>
      </c>
      <c r="J38" s="92">
        <f>VLOOKUP($A38,'Data Vlaue (Cr)'!$C:$FB,94)</f>
        <v>0.62450000000000006</v>
      </c>
      <c r="K38" s="91">
        <f>VLOOKUP($A38,'Data Vlaue (Cr)'!$C:$FB,95)</f>
        <v>1072</v>
      </c>
      <c r="L38" s="91">
        <f>VLOOKUP($A38,'Data Vlaue (Cr)'!$C:$FB,97)</f>
        <v>363</v>
      </c>
      <c r="M38" s="92">
        <f>VLOOKUP($A38,'Data Vlaue (Cr)'!$C:$FB,98)</f>
        <v>0.51129999999999998</v>
      </c>
      <c r="N38" s="91">
        <f>VLOOKUP($A38,'Data Vlaue (Cr)'!$C:$FB,79)</f>
        <v>2532</v>
      </c>
      <c r="O38" s="92">
        <f>VLOOKUP($A38,'Data Vlaue (Cr)'!$C:$FB,82)</f>
        <v>0.31419999999999998</v>
      </c>
    </row>
    <row r="39" spans="1:15" x14ac:dyDescent="0.25">
      <c r="A39" s="97" t="str">
        <f>'Data Vlaue (Cr)'!C34</f>
        <v>BIOCON</v>
      </c>
      <c r="B39" s="142">
        <f>VLOOKUP(A39,'Data Vlaue (Cr)'!C34:CW246,99,0)</f>
        <v>3139</v>
      </c>
      <c r="C39" s="90">
        <f>VLOOKUP(A39,'Data Vlaue (Cr)'!C34:CY246,101,0)</f>
        <v>159</v>
      </c>
      <c r="D39" s="139">
        <f>VLOOKUP(A39,'Data Vlaue (Cr)'!C34:CZ246,102,0)</f>
        <v>5.33E-2</v>
      </c>
      <c r="E39" s="91">
        <f>VLOOKUP($A39,'Data Vlaue (Cr)'!$C:$FB,75)</f>
        <v>1708</v>
      </c>
      <c r="F39" s="91">
        <f>VLOOKUP($A39,'Data Vlaue (Cr)'!$C:$FB,77)</f>
        <v>30</v>
      </c>
      <c r="G39" s="92">
        <f>VLOOKUP(A39,'Data Vlaue (Cr)'!C34:CB246,78,0)</f>
        <v>1.77E-2</v>
      </c>
      <c r="H39" s="91">
        <f>VLOOKUP($A39,'Data Vlaue (Cr)'!$C:$FB,91)</f>
        <v>838</v>
      </c>
      <c r="I39" s="91">
        <f>VLOOKUP($A39,'Data Vlaue (Cr)'!$C:$FB,93)</f>
        <v>87</v>
      </c>
      <c r="J39" s="92">
        <f>VLOOKUP($A39,'Data Vlaue (Cr)'!$C:$FB,94)</f>
        <v>0.1153</v>
      </c>
      <c r="K39" s="91">
        <f>VLOOKUP($A39,'Data Vlaue (Cr)'!$C:$FB,95)</f>
        <v>593</v>
      </c>
      <c r="L39" s="91">
        <f>VLOOKUP($A39,'Data Vlaue (Cr)'!$C:$FB,97)</f>
        <v>42</v>
      </c>
      <c r="M39" s="92">
        <f>VLOOKUP($A39,'Data Vlaue (Cr)'!$C:$FB,98)</f>
        <v>7.7100000000000002E-2</v>
      </c>
      <c r="N39" s="91">
        <f>VLOOKUP($A39,'Data Vlaue (Cr)'!$C:$FB,79)</f>
        <v>1641</v>
      </c>
      <c r="O39" s="92">
        <f>VLOOKUP($A39,'Data Vlaue (Cr)'!$C:$FB,82)</f>
        <v>1.5699999999999999E-2</v>
      </c>
    </row>
    <row r="40" spans="1:15" x14ac:dyDescent="0.25">
      <c r="A40" s="97" t="str">
        <f>'Data Vlaue (Cr)'!C35</f>
        <v>BLUESTARCO</v>
      </c>
      <c r="B40" s="142">
        <f>VLOOKUP(A40,'Data Vlaue (Cr)'!C35:CW247,99,0)</f>
        <v>1114</v>
      </c>
      <c r="C40" s="90">
        <f>VLOOKUP(A40,'Data Vlaue (Cr)'!C35:CY247,101,0)</f>
        <v>-7</v>
      </c>
      <c r="D40" s="139">
        <f>VLOOKUP(A40,'Data Vlaue (Cr)'!C35:CZ247,102,0)</f>
        <v>-6.6E-3</v>
      </c>
      <c r="E40" s="91">
        <f>VLOOKUP($A40,'Data Vlaue (Cr)'!$C:$FB,75)</f>
        <v>586</v>
      </c>
      <c r="F40" s="91">
        <f>VLOOKUP($A40,'Data Vlaue (Cr)'!$C:$FB,77)</f>
        <v>0</v>
      </c>
      <c r="G40" s="92">
        <f>VLOOKUP(A40,'Data Vlaue (Cr)'!C35:CB247,78,0)</f>
        <v>-2.0000000000000001E-4</v>
      </c>
      <c r="H40" s="91">
        <f>VLOOKUP($A40,'Data Vlaue (Cr)'!$C:$FB,91)</f>
        <v>303</v>
      </c>
      <c r="I40" s="91">
        <f>VLOOKUP($A40,'Data Vlaue (Cr)'!$C:$FB,93)</f>
        <v>-13</v>
      </c>
      <c r="J40" s="92">
        <f>VLOOKUP($A40,'Data Vlaue (Cr)'!$C:$FB,94)</f>
        <v>-4.1300000000000003E-2</v>
      </c>
      <c r="K40" s="91">
        <f>VLOOKUP($A40,'Data Vlaue (Cr)'!$C:$FB,95)</f>
        <v>225</v>
      </c>
      <c r="L40" s="91">
        <f>VLOOKUP($A40,'Data Vlaue (Cr)'!$C:$FB,97)</f>
        <v>6</v>
      </c>
      <c r="M40" s="92">
        <f>VLOOKUP($A40,'Data Vlaue (Cr)'!$C:$FB,98)</f>
        <v>2.6200000000000001E-2</v>
      </c>
      <c r="N40" s="91">
        <f>VLOOKUP($A40,'Data Vlaue (Cr)'!$C:$FB,79)</f>
        <v>528</v>
      </c>
      <c r="O40" s="92">
        <f>VLOOKUP($A40,'Data Vlaue (Cr)'!$C:$FB,82)</f>
        <v>-2.8999999999999998E-3</v>
      </c>
    </row>
    <row r="41" spans="1:15" x14ac:dyDescent="0.25">
      <c r="A41" s="97" t="str">
        <f>'Data Vlaue (Cr)'!C36</f>
        <v>BOSCHLTD</v>
      </c>
      <c r="B41" s="142">
        <f>VLOOKUP(A41,'Data Vlaue (Cr)'!C36:CW248,99,0)</f>
        <v>1745</v>
      </c>
      <c r="C41" s="90">
        <f>VLOOKUP(A41,'Data Vlaue (Cr)'!C36:CY248,101,0)</f>
        <v>-112</v>
      </c>
      <c r="D41" s="139">
        <f>VLOOKUP(A41,'Data Vlaue (Cr)'!C36:CZ248,102,0)</f>
        <v>-6.0499999999999998E-2</v>
      </c>
      <c r="E41" s="91">
        <f>VLOOKUP($A41,'Data Vlaue (Cr)'!$C:$FB,75)</f>
        <v>744</v>
      </c>
      <c r="F41" s="91">
        <f>VLOOKUP($A41,'Data Vlaue (Cr)'!$C:$FB,77)</f>
        <v>-30</v>
      </c>
      <c r="G41" s="92">
        <f>VLOOKUP(A41,'Data Vlaue (Cr)'!C36:CB248,78,0)</f>
        <v>-3.9199999999999999E-2</v>
      </c>
      <c r="H41" s="91">
        <f>VLOOKUP($A41,'Data Vlaue (Cr)'!$C:$FB,91)</f>
        <v>664</v>
      </c>
      <c r="I41" s="91">
        <f>VLOOKUP($A41,'Data Vlaue (Cr)'!$C:$FB,93)</f>
        <v>-111</v>
      </c>
      <c r="J41" s="92">
        <f>VLOOKUP($A41,'Data Vlaue (Cr)'!$C:$FB,94)</f>
        <v>-0.1429</v>
      </c>
      <c r="K41" s="91">
        <f>VLOOKUP($A41,'Data Vlaue (Cr)'!$C:$FB,95)</f>
        <v>337</v>
      </c>
      <c r="L41" s="91">
        <f>VLOOKUP($A41,'Data Vlaue (Cr)'!$C:$FB,97)</f>
        <v>29</v>
      </c>
      <c r="M41" s="92">
        <f>VLOOKUP($A41,'Data Vlaue (Cr)'!$C:$FB,98)</f>
        <v>9.2999999999999999E-2</v>
      </c>
      <c r="N41" s="91">
        <f>VLOOKUP($A41,'Data Vlaue (Cr)'!$C:$FB,79)</f>
        <v>722</v>
      </c>
      <c r="O41" s="92">
        <f>VLOOKUP($A41,'Data Vlaue (Cr)'!$C:$FB,82)</f>
        <v>-3.6999999999999998E-2</v>
      </c>
    </row>
    <row r="42" spans="1:15" x14ac:dyDescent="0.25">
      <c r="A42" s="97" t="str">
        <f>'Data Vlaue (Cr)'!C37</f>
        <v>BPCL</v>
      </c>
      <c r="B42" s="142">
        <f>VLOOKUP(A42,'Data Vlaue (Cr)'!C37:CW249,99,0)</f>
        <v>2628</v>
      </c>
      <c r="C42" s="90">
        <f>VLOOKUP(A42,'Data Vlaue (Cr)'!C37:CY249,101,0)</f>
        <v>118</v>
      </c>
      <c r="D42" s="139">
        <f>VLOOKUP(A42,'Data Vlaue (Cr)'!C37:CZ249,102,0)</f>
        <v>4.7199999999999999E-2</v>
      </c>
      <c r="E42" s="91">
        <f>VLOOKUP($A42,'Data Vlaue (Cr)'!$C:$FB,75)</f>
        <v>1346</v>
      </c>
      <c r="F42" s="91">
        <f>VLOOKUP($A42,'Data Vlaue (Cr)'!$C:$FB,77)</f>
        <v>-4</v>
      </c>
      <c r="G42" s="92">
        <f>VLOOKUP(A42,'Data Vlaue (Cr)'!C37:CB249,78,0)</f>
        <v>-2.8999999999999998E-3</v>
      </c>
      <c r="H42" s="91">
        <f>VLOOKUP($A42,'Data Vlaue (Cr)'!$C:$FB,91)</f>
        <v>740</v>
      </c>
      <c r="I42" s="91">
        <f>VLOOKUP($A42,'Data Vlaue (Cr)'!$C:$FB,93)</f>
        <v>61</v>
      </c>
      <c r="J42" s="92">
        <f>VLOOKUP($A42,'Data Vlaue (Cr)'!$C:$FB,94)</f>
        <v>8.9499999999999996E-2</v>
      </c>
      <c r="K42" s="91">
        <f>VLOOKUP($A42,'Data Vlaue (Cr)'!$C:$FB,95)</f>
        <v>542</v>
      </c>
      <c r="L42" s="91">
        <f>VLOOKUP($A42,'Data Vlaue (Cr)'!$C:$FB,97)</f>
        <v>61</v>
      </c>
      <c r="M42" s="92">
        <f>VLOOKUP($A42,'Data Vlaue (Cr)'!$C:$FB,98)</f>
        <v>0.1278</v>
      </c>
      <c r="N42" s="91">
        <f>VLOOKUP($A42,'Data Vlaue (Cr)'!$C:$FB,79)</f>
        <v>1301</v>
      </c>
      <c r="O42" s="92">
        <f>VLOOKUP($A42,'Data Vlaue (Cr)'!$C:$FB,82)</f>
        <v>-6.0000000000000001E-3</v>
      </c>
    </row>
    <row r="43" spans="1:15" x14ac:dyDescent="0.25">
      <c r="A43" s="97" t="str">
        <f>'Data Vlaue (Cr)'!C38</f>
        <v>BRITANNIA</v>
      </c>
      <c r="B43" s="142">
        <f>VLOOKUP(A43,'Data Vlaue (Cr)'!C38:CW250,99,0)</f>
        <v>3683</v>
      </c>
      <c r="C43" s="90">
        <f>VLOOKUP(A43,'Data Vlaue (Cr)'!C38:CY250,101,0)</f>
        <v>386</v>
      </c>
      <c r="D43" s="139">
        <f>VLOOKUP(A43,'Data Vlaue (Cr)'!C38:CZ250,102,0)</f>
        <v>0.1171</v>
      </c>
      <c r="E43" s="91">
        <f>VLOOKUP($A43,'Data Vlaue (Cr)'!$C:$FB,75)</f>
        <v>2178</v>
      </c>
      <c r="F43" s="91">
        <f>VLOOKUP($A43,'Data Vlaue (Cr)'!$C:$FB,77)</f>
        <v>40</v>
      </c>
      <c r="G43" s="92">
        <f>VLOOKUP(A43,'Data Vlaue (Cr)'!C38:CB250,78,0)</f>
        <v>1.89E-2</v>
      </c>
      <c r="H43" s="91">
        <f>VLOOKUP($A43,'Data Vlaue (Cr)'!$C:$FB,91)</f>
        <v>973</v>
      </c>
      <c r="I43" s="91">
        <f>VLOOKUP($A43,'Data Vlaue (Cr)'!$C:$FB,93)</f>
        <v>203</v>
      </c>
      <c r="J43" s="92">
        <f>VLOOKUP($A43,'Data Vlaue (Cr)'!$C:$FB,94)</f>
        <v>0.26440000000000002</v>
      </c>
      <c r="K43" s="91">
        <f>VLOOKUP($A43,'Data Vlaue (Cr)'!$C:$FB,95)</f>
        <v>532</v>
      </c>
      <c r="L43" s="91">
        <f>VLOOKUP($A43,'Data Vlaue (Cr)'!$C:$FB,97)</f>
        <v>142</v>
      </c>
      <c r="M43" s="92">
        <f>VLOOKUP($A43,'Data Vlaue (Cr)'!$C:$FB,98)</f>
        <v>0.36470000000000002</v>
      </c>
      <c r="N43" s="91">
        <f>VLOOKUP($A43,'Data Vlaue (Cr)'!$C:$FB,79)</f>
        <v>2163</v>
      </c>
      <c r="O43" s="92">
        <f>VLOOKUP($A43,'Data Vlaue (Cr)'!$C:$FB,82)</f>
        <v>1.7899999999999999E-2</v>
      </c>
    </row>
    <row r="44" spans="1:15" x14ac:dyDescent="0.25">
      <c r="A44" s="97" t="str">
        <f>'Data Vlaue (Cr)'!C39</f>
        <v>BSE</v>
      </c>
      <c r="B44" s="142">
        <f>VLOOKUP(A44,'Data Vlaue (Cr)'!C39:CW251,99,0)</f>
        <v>9066</v>
      </c>
      <c r="C44" s="90">
        <f>VLOOKUP(A44,'Data Vlaue (Cr)'!C39:CY251,101,0)</f>
        <v>-240</v>
      </c>
      <c r="D44" s="139">
        <f>VLOOKUP(A44,'Data Vlaue (Cr)'!C39:CZ251,102,0)</f>
        <v>-2.58E-2</v>
      </c>
      <c r="E44" s="91">
        <f>VLOOKUP($A44,'Data Vlaue (Cr)'!$C:$FB,75)</f>
        <v>3328</v>
      </c>
      <c r="F44" s="91">
        <f>VLOOKUP($A44,'Data Vlaue (Cr)'!$C:$FB,77)</f>
        <v>-112</v>
      </c>
      <c r="G44" s="92">
        <f>VLOOKUP(A44,'Data Vlaue (Cr)'!C39:CB251,78,0)</f>
        <v>-3.2599999999999997E-2</v>
      </c>
      <c r="H44" s="91">
        <f>VLOOKUP($A44,'Data Vlaue (Cr)'!$C:$FB,91)</f>
        <v>2898</v>
      </c>
      <c r="I44" s="91">
        <f>VLOOKUP($A44,'Data Vlaue (Cr)'!$C:$FB,93)</f>
        <v>-88</v>
      </c>
      <c r="J44" s="92">
        <f>VLOOKUP($A44,'Data Vlaue (Cr)'!$C:$FB,94)</f>
        <v>-2.9399999999999999E-2</v>
      </c>
      <c r="K44" s="91">
        <f>VLOOKUP($A44,'Data Vlaue (Cr)'!$C:$FB,95)</f>
        <v>2840</v>
      </c>
      <c r="L44" s="91">
        <f>VLOOKUP($A44,'Data Vlaue (Cr)'!$C:$FB,97)</f>
        <v>-40</v>
      </c>
      <c r="M44" s="92">
        <f>VLOOKUP($A44,'Data Vlaue (Cr)'!$C:$FB,98)</f>
        <v>-1.3899999999999999E-2</v>
      </c>
      <c r="N44" s="91">
        <f>VLOOKUP($A44,'Data Vlaue (Cr)'!$C:$FB,79)</f>
        <v>3028</v>
      </c>
      <c r="O44" s="92">
        <f>VLOOKUP($A44,'Data Vlaue (Cr)'!$C:$FB,82)</f>
        <v>-3.2899999999999999E-2</v>
      </c>
    </row>
    <row r="45" spans="1:15" x14ac:dyDescent="0.25">
      <c r="A45" s="97" t="str">
        <f>'Data Vlaue (Cr)'!C40</f>
        <v>CAMS</v>
      </c>
      <c r="B45" s="142">
        <f>VLOOKUP(A45,'Data Vlaue (Cr)'!C40:CW252,99,0)</f>
        <v>991</v>
      </c>
      <c r="C45" s="90">
        <f>VLOOKUP(A45,'Data Vlaue (Cr)'!C40:CY252,101,0)</f>
        <v>8</v>
      </c>
      <c r="D45" s="139">
        <f>VLOOKUP(A45,'Data Vlaue (Cr)'!C40:CZ252,102,0)</f>
        <v>8.5000000000000006E-3</v>
      </c>
      <c r="E45" s="91">
        <f>VLOOKUP($A45,'Data Vlaue (Cr)'!$C:$FB,75)</f>
        <v>551</v>
      </c>
      <c r="F45" s="91">
        <f>VLOOKUP($A45,'Data Vlaue (Cr)'!$C:$FB,77)</f>
        <v>2</v>
      </c>
      <c r="G45" s="92">
        <f>VLOOKUP(A45,'Data Vlaue (Cr)'!C40:CB252,78,0)</f>
        <v>4.4000000000000003E-3</v>
      </c>
      <c r="H45" s="91">
        <f>VLOOKUP($A45,'Data Vlaue (Cr)'!$C:$FB,91)</f>
        <v>214</v>
      </c>
      <c r="I45" s="91">
        <f>VLOOKUP($A45,'Data Vlaue (Cr)'!$C:$FB,93)</f>
        <v>6</v>
      </c>
      <c r="J45" s="92">
        <f>VLOOKUP($A45,'Data Vlaue (Cr)'!$C:$FB,94)</f>
        <v>2.7799999999999998E-2</v>
      </c>
      <c r="K45" s="91">
        <f>VLOOKUP($A45,'Data Vlaue (Cr)'!$C:$FB,95)</f>
        <v>226</v>
      </c>
      <c r="L45" s="91">
        <f>VLOOKUP($A45,'Data Vlaue (Cr)'!$C:$FB,97)</f>
        <v>0</v>
      </c>
      <c r="M45" s="92">
        <f>VLOOKUP($A45,'Data Vlaue (Cr)'!$C:$FB,98)</f>
        <v>6.9999999999999999E-4</v>
      </c>
      <c r="N45" s="91">
        <f>VLOOKUP($A45,'Data Vlaue (Cr)'!$C:$FB,79)</f>
        <v>516</v>
      </c>
      <c r="O45" s="92">
        <f>VLOOKUP($A45,'Data Vlaue (Cr)'!$C:$FB,82)</f>
        <v>3.0999999999999999E-3</v>
      </c>
    </row>
    <row r="46" spans="1:15" x14ac:dyDescent="0.25">
      <c r="A46" s="97" t="str">
        <f>'Data Vlaue (Cr)'!C41</f>
        <v>CANBK</v>
      </c>
      <c r="B46" s="142">
        <f>VLOOKUP(A46,'Data Vlaue (Cr)'!C41:CW253,99,0)</f>
        <v>6864</v>
      </c>
      <c r="C46" s="90">
        <f>VLOOKUP(A46,'Data Vlaue (Cr)'!C41:CY253,101,0)</f>
        <v>324</v>
      </c>
      <c r="D46" s="139">
        <f>VLOOKUP(A46,'Data Vlaue (Cr)'!C41:CZ253,102,0)</f>
        <v>4.9500000000000002E-2</v>
      </c>
      <c r="E46" s="91">
        <f>VLOOKUP($A46,'Data Vlaue (Cr)'!$C:$FB,75)</f>
        <v>2863</v>
      </c>
      <c r="F46" s="91">
        <f>VLOOKUP($A46,'Data Vlaue (Cr)'!$C:$FB,77)</f>
        <v>157</v>
      </c>
      <c r="G46" s="92">
        <f>VLOOKUP(A46,'Data Vlaue (Cr)'!C41:CB253,78,0)</f>
        <v>5.8000000000000003E-2</v>
      </c>
      <c r="H46" s="91">
        <f>VLOOKUP($A46,'Data Vlaue (Cr)'!$C:$FB,91)</f>
        <v>2659</v>
      </c>
      <c r="I46" s="91">
        <f>VLOOKUP($A46,'Data Vlaue (Cr)'!$C:$FB,93)</f>
        <v>132</v>
      </c>
      <c r="J46" s="92">
        <f>VLOOKUP($A46,'Data Vlaue (Cr)'!$C:$FB,94)</f>
        <v>5.2200000000000003E-2</v>
      </c>
      <c r="K46" s="91">
        <f>VLOOKUP($A46,'Data Vlaue (Cr)'!$C:$FB,95)</f>
        <v>1342</v>
      </c>
      <c r="L46" s="91">
        <f>VLOOKUP($A46,'Data Vlaue (Cr)'!$C:$FB,97)</f>
        <v>35</v>
      </c>
      <c r="M46" s="92">
        <f>VLOOKUP($A46,'Data Vlaue (Cr)'!$C:$FB,98)</f>
        <v>2.6800000000000001E-2</v>
      </c>
      <c r="N46" s="91">
        <f>VLOOKUP($A46,'Data Vlaue (Cr)'!$C:$FB,79)</f>
        <v>2604</v>
      </c>
      <c r="O46" s="92">
        <f>VLOOKUP($A46,'Data Vlaue (Cr)'!$C:$FB,82)</f>
        <v>5.2999999999999999E-2</v>
      </c>
    </row>
    <row r="47" spans="1:15" x14ac:dyDescent="0.25">
      <c r="A47" s="97" t="str">
        <f>'Data Vlaue (Cr)'!C42</f>
        <v>CDSL</v>
      </c>
      <c r="B47" s="142">
        <f>VLOOKUP(A47,'Data Vlaue (Cr)'!C42:CW254,99,0)</f>
        <v>3701</v>
      </c>
      <c r="C47" s="90">
        <f>VLOOKUP(A47,'Data Vlaue (Cr)'!C42:CY254,101,0)</f>
        <v>83</v>
      </c>
      <c r="D47" s="139">
        <f>VLOOKUP(A47,'Data Vlaue (Cr)'!C42:CZ254,102,0)</f>
        <v>2.29E-2</v>
      </c>
      <c r="E47" s="91">
        <f>VLOOKUP($A47,'Data Vlaue (Cr)'!$C:$FB,75)</f>
        <v>1647</v>
      </c>
      <c r="F47" s="91">
        <f>VLOOKUP($A47,'Data Vlaue (Cr)'!$C:$FB,77)</f>
        <v>28</v>
      </c>
      <c r="G47" s="92">
        <f>VLOOKUP(A47,'Data Vlaue (Cr)'!C42:CB254,78,0)</f>
        <v>1.72E-2</v>
      </c>
      <c r="H47" s="91">
        <f>VLOOKUP($A47,'Data Vlaue (Cr)'!$C:$FB,91)</f>
        <v>1210</v>
      </c>
      <c r="I47" s="91">
        <f>VLOOKUP($A47,'Data Vlaue (Cr)'!$C:$FB,93)</f>
        <v>37</v>
      </c>
      <c r="J47" s="92">
        <f>VLOOKUP($A47,'Data Vlaue (Cr)'!$C:$FB,94)</f>
        <v>3.15E-2</v>
      </c>
      <c r="K47" s="91">
        <f>VLOOKUP($A47,'Data Vlaue (Cr)'!$C:$FB,95)</f>
        <v>843</v>
      </c>
      <c r="L47" s="91">
        <f>VLOOKUP($A47,'Data Vlaue (Cr)'!$C:$FB,97)</f>
        <v>18</v>
      </c>
      <c r="M47" s="92">
        <f>VLOOKUP($A47,'Data Vlaue (Cr)'!$C:$FB,98)</f>
        <v>2.1999999999999999E-2</v>
      </c>
      <c r="N47" s="91">
        <f>VLOOKUP($A47,'Data Vlaue (Cr)'!$C:$FB,79)</f>
        <v>1339</v>
      </c>
      <c r="O47" s="92">
        <f>VLOOKUP($A47,'Data Vlaue (Cr)'!$C:$FB,82)</f>
        <v>6.0000000000000001E-3</v>
      </c>
    </row>
    <row r="48" spans="1:15" x14ac:dyDescent="0.25">
      <c r="A48" s="97" t="str">
        <f>'Data Vlaue (Cr)'!C43</f>
        <v>CGPOWER</v>
      </c>
      <c r="B48" s="142">
        <f>VLOOKUP(A48,'Data Vlaue (Cr)'!C43:CW255,99,0)</f>
        <v>1990</v>
      </c>
      <c r="C48" s="90">
        <f>VLOOKUP(A48,'Data Vlaue (Cr)'!C43:CY255,101,0)</f>
        <v>-28</v>
      </c>
      <c r="D48" s="139">
        <f>VLOOKUP(A48,'Data Vlaue (Cr)'!C43:CZ255,102,0)</f>
        <v>-1.37E-2</v>
      </c>
      <c r="E48" s="91">
        <f>VLOOKUP($A48,'Data Vlaue (Cr)'!$C:$FB,75)</f>
        <v>1018</v>
      </c>
      <c r="F48" s="91">
        <f>VLOOKUP($A48,'Data Vlaue (Cr)'!$C:$FB,77)</f>
        <v>-1</v>
      </c>
      <c r="G48" s="92">
        <f>VLOOKUP(A48,'Data Vlaue (Cr)'!C43:CB255,78,0)</f>
        <v>-1.4E-3</v>
      </c>
      <c r="H48" s="91">
        <f>VLOOKUP($A48,'Data Vlaue (Cr)'!$C:$FB,91)</f>
        <v>515</v>
      </c>
      <c r="I48" s="91">
        <f>VLOOKUP($A48,'Data Vlaue (Cr)'!$C:$FB,93)</f>
        <v>-31</v>
      </c>
      <c r="J48" s="92">
        <f>VLOOKUP($A48,'Data Vlaue (Cr)'!$C:$FB,94)</f>
        <v>-5.6000000000000001E-2</v>
      </c>
      <c r="K48" s="91">
        <f>VLOOKUP($A48,'Data Vlaue (Cr)'!$C:$FB,95)</f>
        <v>457</v>
      </c>
      <c r="L48" s="91">
        <f>VLOOKUP($A48,'Data Vlaue (Cr)'!$C:$FB,97)</f>
        <v>4</v>
      </c>
      <c r="M48" s="92">
        <f>VLOOKUP($A48,'Data Vlaue (Cr)'!$C:$FB,98)</f>
        <v>9.7999999999999997E-3</v>
      </c>
      <c r="N48" s="91">
        <f>VLOOKUP($A48,'Data Vlaue (Cr)'!$C:$FB,79)</f>
        <v>980</v>
      </c>
      <c r="O48" s="92">
        <f>VLOOKUP($A48,'Data Vlaue (Cr)'!$C:$FB,82)</f>
        <v>-2.0999999999999999E-3</v>
      </c>
    </row>
    <row r="49" spans="1:15" x14ac:dyDescent="0.25">
      <c r="A49" s="97" t="str">
        <f>'Data Vlaue (Cr)'!C44</f>
        <v>CHOLAFIN</v>
      </c>
      <c r="B49" s="142">
        <f>VLOOKUP(A49,'Data Vlaue (Cr)'!C44:CW256,99,0)</f>
        <v>3304</v>
      </c>
      <c r="C49" s="90">
        <f>VLOOKUP(A49,'Data Vlaue (Cr)'!C44:CY256,101,0)</f>
        <v>-21</v>
      </c>
      <c r="D49" s="139">
        <f>VLOOKUP(A49,'Data Vlaue (Cr)'!C44:CZ256,102,0)</f>
        <v>-6.4000000000000003E-3</v>
      </c>
      <c r="E49" s="91">
        <f>VLOOKUP($A49,'Data Vlaue (Cr)'!$C:$FB,75)</f>
        <v>2243</v>
      </c>
      <c r="F49" s="91">
        <f>VLOOKUP($A49,'Data Vlaue (Cr)'!$C:$FB,77)</f>
        <v>-27</v>
      </c>
      <c r="G49" s="92">
        <f>VLOOKUP(A49,'Data Vlaue (Cr)'!C44:CB256,78,0)</f>
        <v>-1.1900000000000001E-2</v>
      </c>
      <c r="H49" s="91">
        <f>VLOOKUP($A49,'Data Vlaue (Cr)'!$C:$FB,91)</f>
        <v>564</v>
      </c>
      <c r="I49" s="91">
        <f>VLOOKUP($A49,'Data Vlaue (Cr)'!$C:$FB,93)</f>
        <v>12</v>
      </c>
      <c r="J49" s="92">
        <f>VLOOKUP($A49,'Data Vlaue (Cr)'!$C:$FB,94)</f>
        <v>2.1499999999999998E-2</v>
      </c>
      <c r="K49" s="91">
        <f>VLOOKUP($A49,'Data Vlaue (Cr)'!$C:$FB,95)</f>
        <v>497</v>
      </c>
      <c r="L49" s="91">
        <f>VLOOKUP($A49,'Data Vlaue (Cr)'!$C:$FB,97)</f>
        <v>-6</v>
      </c>
      <c r="M49" s="92">
        <f>VLOOKUP($A49,'Data Vlaue (Cr)'!$C:$FB,98)</f>
        <v>-1.2200000000000001E-2</v>
      </c>
      <c r="N49" s="91">
        <f>VLOOKUP($A49,'Data Vlaue (Cr)'!$C:$FB,79)</f>
        <v>2206</v>
      </c>
      <c r="O49" s="92">
        <f>VLOOKUP($A49,'Data Vlaue (Cr)'!$C:$FB,82)</f>
        <v>-1.3100000000000001E-2</v>
      </c>
    </row>
    <row r="50" spans="1:15" x14ac:dyDescent="0.25">
      <c r="A50" s="97" t="str">
        <f>'Data Vlaue (Cr)'!C45</f>
        <v>CIPLA</v>
      </c>
      <c r="B50" s="142">
        <f>VLOOKUP(A50,'Data Vlaue (Cr)'!C45:CW257,99,0)</f>
        <v>3367</v>
      </c>
      <c r="C50" s="90">
        <f>VLOOKUP(A50,'Data Vlaue (Cr)'!C45:CY257,101,0)</f>
        <v>-27</v>
      </c>
      <c r="D50" s="139">
        <f>VLOOKUP(A50,'Data Vlaue (Cr)'!C45:CZ257,102,0)</f>
        <v>-8.0000000000000002E-3</v>
      </c>
      <c r="E50" s="91">
        <f>VLOOKUP($A50,'Data Vlaue (Cr)'!$C:$FB,75)</f>
        <v>1914</v>
      </c>
      <c r="F50" s="91">
        <f>VLOOKUP($A50,'Data Vlaue (Cr)'!$C:$FB,77)</f>
        <v>-18</v>
      </c>
      <c r="G50" s="92">
        <f>VLOOKUP(A50,'Data Vlaue (Cr)'!C45:CB257,78,0)</f>
        <v>-9.1000000000000004E-3</v>
      </c>
      <c r="H50" s="91">
        <f>VLOOKUP($A50,'Data Vlaue (Cr)'!$C:$FB,91)</f>
        <v>893</v>
      </c>
      <c r="I50" s="91">
        <f>VLOOKUP($A50,'Data Vlaue (Cr)'!$C:$FB,93)</f>
        <v>-10</v>
      </c>
      <c r="J50" s="92">
        <f>VLOOKUP($A50,'Data Vlaue (Cr)'!$C:$FB,94)</f>
        <v>-1.12E-2</v>
      </c>
      <c r="K50" s="91">
        <f>VLOOKUP($A50,'Data Vlaue (Cr)'!$C:$FB,95)</f>
        <v>560</v>
      </c>
      <c r="L50" s="91">
        <f>VLOOKUP($A50,'Data Vlaue (Cr)'!$C:$FB,97)</f>
        <v>0</v>
      </c>
      <c r="M50" s="92">
        <f>VLOOKUP($A50,'Data Vlaue (Cr)'!$C:$FB,98)</f>
        <v>8.0000000000000004E-4</v>
      </c>
      <c r="N50" s="91">
        <f>VLOOKUP($A50,'Data Vlaue (Cr)'!$C:$FB,79)</f>
        <v>1838</v>
      </c>
      <c r="O50" s="92">
        <f>VLOOKUP($A50,'Data Vlaue (Cr)'!$C:$FB,82)</f>
        <v>-1.01E-2</v>
      </c>
    </row>
    <row r="51" spans="1:15" x14ac:dyDescent="0.25">
      <c r="A51" s="97" t="str">
        <f>'Data Vlaue (Cr)'!C46</f>
        <v>COALINDIA</v>
      </c>
      <c r="B51" s="142">
        <f>VLOOKUP(A51,'Data Vlaue (Cr)'!C46:CW258,99,0)</f>
        <v>4893</v>
      </c>
      <c r="C51" s="90">
        <f>VLOOKUP(A51,'Data Vlaue (Cr)'!C46:CY258,101,0)</f>
        <v>164</v>
      </c>
      <c r="D51" s="139">
        <f>VLOOKUP(A51,'Data Vlaue (Cr)'!C46:CZ258,102,0)</f>
        <v>3.4799999999999998E-2</v>
      </c>
      <c r="E51" s="91">
        <f>VLOOKUP($A51,'Data Vlaue (Cr)'!$C:$FB,75)</f>
        <v>2097</v>
      </c>
      <c r="F51" s="91">
        <f>VLOOKUP($A51,'Data Vlaue (Cr)'!$C:$FB,77)</f>
        <v>77</v>
      </c>
      <c r="G51" s="92">
        <f>VLOOKUP(A51,'Data Vlaue (Cr)'!C46:CB258,78,0)</f>
        <v>3.7999999999999999E-2</v>
      </c>
      <c r="H51" s="91">
        <f>VLOOKUP($A51,'Data Vlaue (Cr)'!$C:$FB,91)</f>
        <v>1857</v>
      </c>
      <c r="I51" s="91">
        <f>VLOOKUP($A51,'Data Vlaue (Cr)'!$C:$FB,93)</f>
        <v>47</v>
      </c>
      <c r="J51" s="92">
        <f>VLOOKUP($A51,'Data Vlaue (Cr)'!$C:$FB,94)</f>
        <v>2.6200000000000001E-2</v>
      </c>
      <c r="K51" s="91">
        <f>VLOOKUP($A51,'Data Vlaue (Cr)'!$C:$FB,95)</f>
        <v>939</v>
      </c>
      <c r="L51" s="91">
        <f>VLOOKUP($A51,'Data Vlaue (Cr)'!$C:$FB,97)</f>
        <v>40</v>
      </c>
      <c r="M51" s="92">
        <f>VLOOKUP($A51,'Data Vlaue (Cr)'!$C:$FB,98)</f>
        <v>4.48E-2</v>
      </c>
      <c r="N51" s="91">
        <f>VLOOKUP($A51,'Data Vlaue (Cr)'!$C:$FB,79)</f>
        <v>2005</v>
      </c>
      <c r="O51" s="92">
        <f>VLOOKUP($A51,'Data Vlaue (Cr)'!$C:$FB,82)</f>
        <v>3.3500000000000002E-2</v>
      </c>
    </row>
    <row r="52" spans="1:15" x14ac:dyDescent="0.25">
      <c r="A52" s="97" t="str">
        <f>'Data Vlaue (Cr)'!C47</f>
        <v>COFORGE</v>
      </c>
      <c r="B52" s="142">
        <f>VLOOKUP(A52,'Data Vlaue (Cr)'!C47:CW259,99,0)</f>
        <v>4037</v>
      </c>
      <c r="C52" s="90">
        <f>VLOOKUP(A52,'Data Vlaue (Cr)'!C47:CY259,101,0)</f>
        <v>140</v>
      </c>
      <c r="D52" s="139">
        <f>VLOOKUP(A52,'Data Vlaue (Cr)'!C47:CZ259,102,0)</f>
        <v>3.5900000000000001E-2</v>
      </c>
      <c r="E52" s="91">
        <f>VLOOKUP($A52,'Data Vlaue (Cr)'!$C:$FB,75)</f>
        <v>2054</v>
      </c>
      <c r="F52" s="91">
        <f>VLOOKUP($A52,'Data Vlaue (Cr)'!$C:$FB,77)</f>
        <v>40</v>
      </c>
      <c r="G52" s="92">
        <f>VLOOKUP(A52,'Data Vlaue (Cr)'!C47:CB259,78,0)</f>
        <v>1.9900000000000001E-2</v>
      </c>
      <c r="H52" s="91">
        <f>VLOOKUP($A52,'Data Vlaue (Cr)'!$C:$FB,91)</f>
        <v>1387</v>
      </c>
      <c r="I52" s="91">
        <f>VLOOKUP($A52,'Data Vlaue (Cr)'!$C:$FB,93)</f>
        <v>64</v>
      </c>
      <c r="J52" s="92">
        <f>VLOOKUP($A52,'Data Vlaue (Cr)'!$C:$FB,94)</f>
        <v>4.8500000000000001E-2</v>
      </c>
      <c r="K52" s="91">
        <f>VLOOKUP($A52,'Data Vlaue (Cr)'!$C:$FB,95)</f>
        <v>596</v>
      </c>
      <c r="L52" s="91">
        <f>VLOOKUP($A52,'Data Vlaue (Cr)'!$C:$FB,97)</f>
        <v>36</v>
      </c>
      <c r="M52" s="92">
        <f>VLOOKUP($A52,'Data Vlaue (Cr)'!$C:$FB,98)</f>
        <v>6.3700000000000007E-2</v>
      </c>
      <c r="N52" s="91">
        <f>VLOOKUP($A52,'Data Vlaue (Cr)'!$C:$FB,79)</f>
        <v>1938</v>
      </c>
      <c r="O52" s="92">
        <f>VLOOKUP($A52,'Data Vlaue (Cr)'!$C:$FB,82)</f>
        <v>9.1000000000000004E-3</v>
      </c>
    </row>
    <row r="53" spans="1:15" x14ac:dyDescent="0.25">
      <c r="A53" s="97" t="str">
        <f>'Data Vlaue (Cr)'!C48</f>
        <v>COLPAL</v>
      </c>
      <c r="B53" s="142">
        <f>VLOOKUP(A53,'Data Vlaue (Cr)'!C48:CW260,99,0)</f>
        <v>2356</v>
      </c>
      <c r="C53" s="90">
        <f>VLOOKUP(A53,'Data Vlaue (Cr)'!C48:CY260,101,0)</f>
        <v>170</v>
      </c>
      <c r="D53" s="139">
        <f>VLOOKUP(A53,'Data Vlaue (Cr)'!C48:CZ260,102,0)</f>
        <v>7.7700000000000005E-2</v>
      </c>
      <c r="E53" s="91">
        <f>VLOOKUP($A53,'Data Vlaue (Cr)'!$C:$FB,75)</f>
        <v>1394</v>
      </c>
      <c r="F53" s="91">
        <f>VLOOKUP($A53,'Data Vlaue (Cr)'!$C:$FB,77)</f>
        <v>24</v>
      </c>
      <c r="G53" s="92">
        <f>VLOOKUP(A53,'Data Vlaue (Cr)'!C48:CB260,78,0)</f>
        <v>1.7500000000000002E-2</v>
      </c>
      <c r="H53" s="91">
        <f>VLOOKUP($A53,'Data Vlaue (Cr)'!$C:$FB,91)</f>
        <v>633</v>
      </c>
      <c r="I53" s="91">
        <f>VLOOKUP($A53,'Data Vlaue (Cr)'!$C:$FB,93)</f>
        <v>120</v>
      </c>
      <c r="J53" s="92">
        <f>VLOOKUP($A53,'Data Vlaue (Cr)'!$C:$FB,94)</f>
        <v>0.2346</v>
      </c>
      <c r="K53" s="91">
        <f>VLOOKUP($A53,'Data Vlaue (Cr)'!$C:$FB,95)</f>
        <v>330</v>
      </c>
      <c r="L53" s="91">
        <f>VLOOKUP($A53,'Data Vlaue (Cr)'!$C:$FB,97)</f>
        <v>26</v>
      </c>
      <c r="M53" s="92">
        <f>VLOOKUP($A53,'Data Vlaue (Cr)'!$C:$FB,98)</f>
        <v>8.43E-2</v>
      </c>
      <c r="N53" s="91">
        <f>VLOOKUP($A53,'Data Vlaue (Cr)'!$C:$FB,79)</f>
        <v>1315</v>
      </c>
      <c r="O53" s="92">
        <f>VLOOKUP($A53,'Data Vlaue (Cr)'!$C:$FB,82)</f>
        <v>1.67E-2</v>
      </c>
    </row>
    <row r="54" spans="1:15" x14ac:dyDescent="0.25">
      <c r="A54" s="97" t="str">
        <f>'Data Vlaue (Cr)'!C49</f>
        <v>CONCOR</v>
      </c>
      <c r="B54" s="142">
        <f>VLOOKUP(A54,'Data Vlaue (Cr)'!C49:CW261,99,0)</f>
        <v>2855</v>
      </c>
      <c r="C54" s="90">
        <f>VLOOKUP(A54,'Data Vlaue (Cr)'!C49:CY261,101,0)</f>
        <v>26</v>
      </c>
      <c r="D54" s="139">
        <f>VLOOKUP(A54,'Data Vlaue (Cr)'!C49:CZ261,102,0)</f>
        <v>9.2999999999999992E-3</v>
      </c>
      <c r="E54" s="91">
        <f>VLOOKUP($A54,'Data Vlaue (Cr)'!$C:$FB,75)</f>
        <v>1769</v>
      </c>
      <c r="F54" s="91">
        <f>VLOOKUP($A54,'Data Vlaue (Cr)'!$C:$FB,77)</f>
        <v>9</v>
      </c>
      <c r="G54" s="92">
        <f>VLOOKUP(A54,'Data Vlaue (Cr)'!C49:CB261,78,0)</f>
        <v>5.0000000000000001E-3</v>
      </c>
      <c r="H54" s="91">
        <f>VLOOKUP($A54,'Data Vlaue (Cr)'!$C:$FB,91)</f>
        <v>573</v>
      </c>
      <c r="I54" s="91">
        <f>VLOOKUP($A54,'Data Vlaue (Cr)'!$C:$FB,93)</f>
        <v>11</v>
      </c>
      <c r="J54" s="92">
        <f>VLOOKUP($A54,'Data Vlaue (Cr)'!$C:$FB,94)</f>
        <v>1.95E-2</v>
      </c>
      <c r="K54" s="91">
        <f>VLOOKUP($A54,'Data Vlaue (Cr)'!$C:$FB,95)</f>
        <v>513</v>
      </c>
      <c r="L54" s="91">
        <f>VLOOKUP($A54,'Data Vlaue (Cr)'!$C:$FB,97)</f>
        <v>7</v>
      </c>
      <c r="M54" s="92">
        <f>VLOOKUP($A54,'Data Vlaue (Cr)'!$C:$FB,98)</f>
        <v>1.29E-2</v>
      </c>
      <c r="N54" s="91">
        <f>VLOOKUP($A54,'Data Vlaue (Cr)'!$C:$FB,79)</f>
        <v>1671</v>
      </c>
      <c r="O54" s="92">
        <f>VLOOKUP($A54,'Data Vlaue (Cr)'!$C:$FB,82)</f>
        <v>-1E-3</v>
      </c>
    </row>
    <row r="55" spans="1:15" x14ac:dyDescent="0.25">
      <c r="A55" s="97" t="str">
        <f>'Data Vlaue (Cr)'!C50</f>
        <v>CROMPTON</v>
      </c>
      <c r="B55" s="142">
        <f>VLOOKUP(A55,'Data Vlaue (Cr)'!C50:CW262,99,0)</f>
        <v>2374</v>
      </c>
      <c r="C55" s="90">
        <f>VLOOKUP(A55,'Data Vlaue (Cr)'!C50:CY262,101,0)</f>
        <v>-31</v>
      </c>
      <c r="D55" s="139">
        <f>VLOOKUP(A55,'Data Vlaue (Cr)'!C50:CZ262,102,0)</f>
        <v>-1.29E-2</v>
      </c>
      <c r="E55" s="91">
        <f>VLOOKUP($A55,'Data Vlaue (Cr)'!$C:$FB,75)</f>
        <v>1465</v>
      </c>
      <c r="F55" s="91">
        <f>VLOOKUP($A55,'Data Vlaue (Cr)'!$C:$FB,77)</f>
        <v>-15</v>
      </c>
      <c r="G55" s="92">
        <f>VLOOKUP(A55,'Data Vlaue (Cr)'!C50:CB262,78,0)</f>
        <v>-9.9000000000000008E-3</v>
      </c>
      <c r="H55" s="91">
        <f>VLOOKUP($A55,'Data Vlaue (Cr)'!$C:$FB,91)</f>
        <v>467</v>
      </c>
      <c r="I55" s="91">
        <f>VLOOKUP($A55,'Data Vlaue (Cr)'!$C:$FB,93)</f>
        <v>-5</v>
      </c>
      <c r="J55" s="92">
        <f>VLOOKUP($A55,'Data Vlaue (Cr)'!$C:$FB,94)</f>
        <v>-1.03E-2</v>
      </c>
      <c r="K55" s="91">
        <f>VLOOKUP($A55,'Data Vlaue (Cr)'!$C:$FB,95)</f>
        <v>442</v>
      </c>
      <c r="L55" s="91">
        <f>VLOOKUP($A55,'Data Vlaue (Cr)'!$C:$FB,97)</f>
        <v>-11</v>
      </c>
      <c r="M55" s="92">
        <f>VLOOKUP($A55,'Data Vlaue (Cr)'!$C:$FB,98)</f>
        <v>-2.53E-2</v>
      </c>
      <c r="N55" s="91">
        <f>VLOOKUP($A55,'Data Vlaue (Cr)'!$C:$FB,79)</f>
        <v>1412</v>
      </c>
      <c r="O55" s="92">
        <f>VLOOKUP($A55,'Data Vlaue (Cr)'!$C:$FB,82)</f>
        <v>-1.1299999999999999E-2</v>
      </c>
    </row>
    <row r="56" spans="1:15" x14ac:dyDescent="0.25">
      <c r="A56" s="97" t="str">
        <f>'Data Vlaue (Cr)'!C51</f>
        <v>CUMMINSIND</v>
      </c>
      <c r="B56" s="142">
        <f>VLOOKUP(A56,'Data Vlaue (Cr)'!C51:CW263,99,0)</f>
        <v>2445</v>
      </c>
      <c r="C56" s="90">
        <f>VLOOKUP(A56,'Data Vlaue (Cr)'!C51:CY263,101,0)</f>
        <v>-9</v>
      </c>
      <c r="D56" s="139">
        <f>VLOOKUP(A56,'Data Vlaue (Cr)'!C51:CZ263,102,0)</f>
        <v>-3.7000000000000002E-3</v>
      </c>
      <c r="E56" s="91">
        <f>VLOOKUP($A56,'Data Vlaue (Cr)'!$C:$FB,75)</f>
        <v>1517</v>
      </c>
      <c r="F56" s="91">
        <f>VLOOKUP($A56,'Data Vlaue (Cr)'!$C:$FB,77)</f>
        <v>-17</v>
      </c>
      <c r="G56" s="92">
        <f>VLOOKUP(A56,'Data Vlaue (Cr)'!C51:CB263,78,0)</f>
        <v>-1.0800000000000001E-2</v>
      </c>
      <c r="H56" s="91">
        <f>VLOOKUP($A56,'Data Vlaue (Cr)'!$C:$FB,91)</f>
        <v>490</v>
      </c>
      <c r="I56" s="91">
        <f>VLOOKUP($A56,'Data Vlaue (Cr)'!$C:$FB,93)</f>
        <v>17</v>
      </c>
      <c r="J56" s="92">
        <f>VLOOKUP($A56,'Data Vlaue (Cr)'!$C:$FB,94)</f>
        <v>3.6799999999999999E-2</v>
      </c>
      <c r="K56" s="91">
        <f>VLOOKUP($A56,'Data Vlaue (Cr)'!$C:$FB,95)</f>
        <v>437</v>
      </c>
      <c r="L56" s="91">
        <f>VLOOKUP($A56,'Data Vlaue (Cr)'!$C:$FB,97)</f>
        <v>-10</v>
      </c>
      <c r="M56" s="92">
        <f>VLOOKUP($A56,'Data Vlaue (Cr)'!$C:$FB,98)</f>
        <v>-2.2100000000000002E-2</v>
      </c>
      <c r="N56" s="91">
        <f>VLOOKUP($A56,'Data Vlaue (Cr)'!$C:$FB,79)</f>
        <v>1491</v>
      </c>
      <c r="O56" s="92">
        <f>VLOOKUP($A56,'Data Vlaue (Cr)'!$C:$FB,82)</f>
        <v>-1.2500000000000001E-2</v>
      </c>
    </row>
    <row r="57" spans="1:15" x14ac:dyDescent="0.25">
      <c r="A57" s="97" t="str">
        <f>'Data Vlaue (Cr)'!C52</f>
        <v>DABUR</v>
      </c>
      <c r="B57" s="142">
        <f>VLOOKUP(A57,'Data Vlaue (Cr)'!C52:CW264,99,0)</f>
        <v>2420</v>
      </c>
      <c r="C57" s="90">
        <f>VLOOKUP(A57,'Data Vlaue (Cr)'!C52:CY264,101,0)</f>
        <v>9</v>
      </c>
      <c r="D57" s="139">
        <f>VLOOKUP(A57,'Data Vlaue (Cr)'!C52:CZ264,102,0)</f>
        <v>3.7000000000000002E-3</v>
      </c>
      <c r="E57" s="91">
        <f>VLOOKUP($A57,'Data Vlaue (Cr)'!$C:$FB,75)</f>
        <v>1336</v>
      </c>
      <c r="F57" s="91">
        <f>VLOOKUP($A57,'Data Vlaue (Cr)'!$C:$FB,77)</f>
        <v>-14</v>
      </c>
      <c r="G57" s="92">
        <f>VLOOKUP(A57,'Data Vlaue (Cr)'!C52:CB264,78,0)</f>
        <v>-1.0200000000000001E-2</v>
      </c>
      <c r="H57" s="91">
        <f>VLOOKUP($A57,'Data Vlaue (Cr)'!$C:$FB,91)</f>
        <v>688</v>
      </c>
      <c r="I57" s="91">
        <f>VLOOKUP($A57,'Data Vlaue (Cr)'!$C:$FB,93)</f>
        <v>22</v>
      </c>
      <c r="J57" s="92">
        <f>VLOOKUP($A57,'Data Vlaue (Cr)'!$C:$FB,94)</f>
        <v>3.3500000000000002E-2</v>
      </c>
      <c r="K57" s="91">
        <f>VLOOKUP($A57,'Data Vlaue (Cr)'!$C:$FB,95)</f>
        <v>396</v>
      </c>
      <c r="L57" s="91">
        <f>VLOOKUP($A57,'Data Vlaue (Cr)'!$C:$FB,97)</f>
        <v>0</v>
      </c>
      <c r="M57" s="92">
        <f>VLOOKUP($A57,'Data Vlaue (Cr)'!$C:$FB,98)</f>
        <v>1E-3</v>
      </c>
      <c r="N57" s="91">
        <f>VLOOKUP($A57,'Data Vlaue (Cr)'!$C:$FB,79)</f>
        <v>1316</v>
      </c>
      <c r="O57" s="92">
        <f>VLOOKUP($A57,'Data Vlaue (Cr)'!$C:$FB,82)</f>
        <v>-0.01</v>
      </c>
    </row>
    <row r="58" spans="1:15" x14ac:dyDescent="0.25">
      <c r="A58" s="97" t="str">
        <f>'Data Vlaue (Cr)'!C53</f>
        <v>DALBHARAT</v>
      </c>
      <c r="B58" s="142">
        <f>VLOOKUP(A58,'Data Vlaue (Cr)'!C53:CW265,99,0)</f>
        <v>1198</v>
      </c>
      <c r="C58" s="90">
        <f>VLOOKUP(A58,'Data Vlaue (Cr)'!C53:CY265,101,0)</f>
        <v>37</v>
      </c>
      <c r="D58" s="139">
        <f>VLOOKUP(A58,'Data Vlaue (Cr)'!C53:CZ265,102,0)</f>
        <v>3.2300000000000002E-2</v>
      </c>
      <c r="E58" s="91">
        <f>VLOOKUP($A58,'Data Vlaue (Cr)'!$C:$FB,75)</f>
        <v>606</v>
      </c>
      <c r="F58" s="91">
        <f>VLOOKUP($A58,'Data Vlaue (Cr)'!$C:$FB,77)</f>
        <v>23</v>
      </c>
      <c r="G58" s="92">
        <f>VLOOKUP(A58,'Data Vlaue (Cr)'!C53:CB265,78,0)</f>
        <v>3.9399999999999998E-2</v>
      </c>
      <c r="H58" s="91">
        <f>VLOOKUP($A58,'Data Vlaue (Cr)'!$C:$FB,91)</f>
        <v>190</v>
      </c>
      <c r="I58" s="91">
        <f>VLOOKUP($A58,'Data Vlaue (Cr)'!$C:$FB,93)</f>
        <v>6</v>
      </c>
      <c r="J58" s="92">
        <f>VLOOKUP($A58,'Data Vlaue (Cr)'!$C:$FB,94)</f>
        <v>3.1600000000000003E-2</v>
      </c>
      <c r="K58" s="91">
        <f>VLOOKUP($A58,'Data Vlaue (Cr)'!$C:$FB,95)</f>
        <v>402</v>
      </c>
      <c r="L58" s="91">
        <f>VLOOKUP($A58,'Data Vlaue (Cr)'!$C:$FB,97)</f>
        <v>9</v>
      </c>
      <c r="M58" s="92">
        <f>VLOOKUP($A58,'Data Vlaue (Cr)'!$C:$FB,98)</f>
        <v>2.1999999999999999E-2</v>
      </c>
      <c r="N58" s="91">
        <f>VLOOKUP($A58,'Data Vlaue (Cr)'!$C:$FB,79)</f>
        <v>589</v>
      </c>
      <c r="O58" s="92">
        <f>VLOOKUP($A58,'Data Vlaue (Cr)'!$C:$FB,82)</f>
        <v>3.0499999999999999E-2</v>
      </c>
    </row>
    <row r="59" spans="1:15" x14ac:dyDescent="0.25">
      <c r="A59" s="97" t="str">
        <f>'Data Vlaue (Cr)'!C54</f>
        <v>DELHIVERY</v>
      </c>
      <c r="B59" s="142">
        <f>VLOOKUP(A59,'Data Vlaue (Cr)'!C54:CW266,99,0)</f>
        <v>1789</v>
      </c>
      <c r="C59" s="90">
        <f>VLOOKUP(A59,'Data Vlaue (Cr)'!C54:CY266,101,0)</f>
        <v>19</v>
      </c>
      <c r="D59" s="139">
        <f>VLOOKUP(A59,'Data Vlaue (Cr)'!C54:CZ266,102,0)</f>
        <v>1.0800000000000001E-2</v>
      </c>
      <c r="E59" s="91">
        <f>VLOOKUP($A59,'Data Vlaue (Cr)'!$C:$FB,75)</f>
        <v>1056</v>
      </c>
      <c r="F59" s="91">
        <f>VLOOKUP($A59,'Data Vlaue (Cr)'!$C:$FB,77)</f>
        <v>35</v>
      </c>
      <c r="G59" s="92">
        <f>VLOOKUP(A59,'Data Vlaue (Cr)'!C54:CB266,78,0)</f>
        <v>3.4599999999999999E-2</v>
      </c>
      <c r="H59" s="91">
        <f>VLOOKUP($A59,'Data Vlaue (Cr)'!$C:$FB,91)</f>
        <v>467</v>
      </c>
      <c r="I59" s="91">
        <f>VLOOKUP($A59,'Data Vlaue (Cr)'!$C:$FB,93)</f>
        <v>-9</v>
      </c>
      <c r="J59" s="92">
        <f>VLOOKUP($A59,'Data Vlaue (Cr)'!$C:$FB,94)</f>
        <v>-1.9900000000000001E-2</v>
      </c>
      <c r="K59" s="91">
        <f>VLOOKUP($A59,'Data Vlaue (Cr)'!$C:$FB,95)</f>
        <v>267</v>
      </c>
      <c r="L59" s="91">
        <f>VLOOKUP($A59,'Data Vlaue (Cr)'!$C:$FB,97)</f>
        <v>-7</v>
      </c>
      <c r="M59" s="92">
        <f>VLOOKUP($A59,'Data Vlaue (Cr)'!$C:$FB,98)</f>
        <v>-2.4799999999999999E-2</v>
      </c>
      <c r="N59" s="91">
        <f>VLOOKUP($A59,'Data Vlaue (Cr)'!$C:$FB,79)</f>
        <v>1029</v>
      </c>
      <c r="O59" s="92">
        <f>VLOOKUP($A59,'Data Vlaue (Cr)'!$C:$FB,82)</f>
        <v>3.2099999999999997E-2</v>
      </c>
    </row>
    <row r="60" spans="1:15" x14ac:dyDescent="0.25">
      <c r="A60" s="97" t="str">
        <f>'Data Vlaue (Cr)'!C55</f>
        <v>DIVISLAB</v>
      </c>
      <c r="B60" s="142">
        <f>VLOOKUP(A60,'Data Vlaue (Cr)'!C55:CW267,99,0)</f>
        <v>4093</v>
      </c>
      <c r="C60" s="90">
        <f>VLOOKUP(A60,'Data Vlaue (Cr)'!C55:CY267,101,0)</f>
        <v>483</v>
      </c>
      <c r="D60" s="139">
        <f>VLOOKUP(A60,'Data Vlaue (Cr)'!C55:CZ267,102,0)</f>
        <v>0.13400000000000001</v>
      </c>
      <c r="E60" s="91">
        <f>VLOOKUP($A60,'Data Vlaue (Cr)'!$C:$FB,75)</f>
        <v>2222</v>
      </c>
      <c r="F60" s="91">
        <f>VLOOKUP($A60,'Data Vlaue (Cr)'!$C:$FB,77)</f>
        <v>-24</v>
      </c>
      <c r="G60" s="92">
        <f>VLOOKUP(A60,'Data Vlaue (Cr)'!C55:CB267,78,0)</f>
        <v>-1.06E-2</v>
      </c>
      <c r="H60" s="91">
        <f>VLOOKUP($A60,'Data Vlaue (Cr)'!$C:$FB,91)</f>
        <v>1144</v>
      </c>
      <c r="I60" s="91">
        <f>VLOOKUP($A60,'Data Vlaue (Cr)'!$C:$FB,93)</f>
        <v>323</v>
      </c>
      <c r="J60" s="92">
        <f>VLOOKUP($A60,'Data Vlaue (Cr)'!$C:$FB,94)</f>
        <v>0.39439999999999997</v>
      </c>
      <c r="K60" s="91">
        <f>VLOOKUP($A60,'Data Vlaue (Cr)'!$C:$FB,95)</f>
        <v>727</v>
      </c>
      <c r="L60" s="91">
        <f>VLOOKUP($A60,'Data Vlaue (Cr)'!$C:$FB,97)</f>
        <v>184</v>
      </c>
      <c r="M60" s="92">
        <f>VLOOKUP($A60,'Data Vlaue (Cr)'!$C:$FB,98)</f>
        <v>0.33839999999999998</v>
      </c>
      <c r="N60" s="91">
        <f>VLOOKUP($A60,'Data Vlaue (Cr)'!$C:$FB,79)</f>
        <v>2168</v>
      </c>
      <c r="O60" s="92">
        <f>VLOOKUP($A60,'Data Vlaue (Cr)'!$C:$FB,82)</f>
        <v>-1.17E-2</v>
      </c>
    </row>
    <row r="61" spans="1:15" x14ac:dyDescent="0.25">
      <c r="A61" s="97" t="str">
        <f>'Data Vlaue (Cr)'!C56</f>
        <v>DIXON</v>
      </c>
      <c r="B61" s="142">
        <f>VLOOKUP(A61,'Data Vlaue (Cr)'!C56:CW268,99,0)</f>
        <v>7370</v>
      </c>
      <c r="C61" s="90">
        <f>VLOOKUP(A61,'Data Vlaue (Cr)'!C56:CY268,101,0)</f>
        <v>-29</v>
      </c>
      <c r="D61" s="139">
        <f>VLOOKUP(A61,'Data Vlaue (Cr)'!C56:CZ268,102,0)</f>
        <v>-4.0000000000000001E-3</v>
      </c>
      <c r="E61" s="91">
        <f>VLOOKUP($A61,'Data Vlaue (Cr)'!$C:$FB,75)</f>
        <v>3027</v>
      </c>
      <c r="F61" s="91">
        <f>VLOOKUP($A61,'Data Vlaue (Cr)'!$C:$FB,77)</f>
        <v>-19</v>
      </c>
      <c r="G61" s="92">
        <f>VLOOKUP(A61,'Data Vlaue (Cr)'!C56:CB268,78,0)</f>
        <v>-6.4000000000000003E-3</v>
      </c>
      <c r="H61" s="91">
        <f>VLOOKUP($A61,'Data Vlaue (Cr)'!$C:$FB,91)</f>
        <v>2443</v>
      </c>
      <c r="I61" s="91">
        <f>VLOOKUP($A61,'Data Vlaue (Cr)'!$C:$FB,93)</f>
        <v>-74</v>
      </c>
      <c r="J61" s="92">
        <f>VLOOKUP($A61,'Data Vlaue (Cr)'!$C:$FB,94)</f>
        <v>-2.9399999999999999E-2</v>
      </c>
      <c r="K61" s="91">
        <f>VLOOKUP($A61,'Data Vlaue (Cr)'!$C:$FB,95)</f>
        <v>1901</v>
      </c>
      <c r="L61" s="91">
        <f>VLOOKUP($A61,'Data Vlaue (Cr)'!$C:$FB,97)</f>
        <v>64</v>
      </c>
      <c r="M61" s="92">
        <f>VLOOKUP($A61,'Data Vlaue (Cr)'!$C:$FB,98)</f>
        <v>3.4799999999999998E-2</v>
      </c>
      <c r="N61" s="91">
        <f>VLOOKUP($A61,'Data Vlaue (Cr)'!$C:$FB,79)</f>
        <v>2755</v>
      </c>
      <c r="O61" s="92">
        <f>VLOOKUP($A61,'Data Vlaue (Cr)'!$C:$FB,82)</f>
        <v>-7.0000000000000001E-3</v>
      </c>
    </row>
    <row r="62" spans="1:15" x14ac:dyDescent="0.25">
      <c r="A62" s="97" t="str">
        <f>'Data Vlaue (Cr)'!C57</f>
        <v>DLF</v>
      </c>
      <c r="B62" s="142">
        <f>VLOOKUP(A62,'Data Vlaue (Cr)'!C57:CW269,99,0)</f>
        <v>5113</v>
      </c>
      <c r="C62" s="90">
        <f>VLOOKUP(A62,'Data Vlaue (Cr)'!C57:CY269,101,0)</f>
        <v>4</v>
      </c>
      <c r="D62" s="139">
        <f>VLOOKUP(A62,'Data Vlaue (Cr)'!C57:CZ269,102,0)</f>
        <v>8.0000000000000004E-4</v>
      </c>
      <c r="E62" s="91">
        <f>VLOOKUP($A62,'Data Vlaue (Cr)'!$C:$FB,75)</f>
        <v>3476</v>
      </c>
      <c r="F62" s="91">
        <f>VLOOKUP($A62,'Data Vlaue (Cr)'!$C:$FB,77)</f>
        <v>-2</v>
      </c>
      <c r="G62" s="92">
        <f>VLOOKUP(A62,'Data Vlaue (Cr)'!C57:CB269,78,0)</f>
        <v>-5.0000000000000001E-4</v>
      </c>
      <c r="H62" s="91">
        <f>VLOOKUP($A62,'Data Vlaue (Cr)'!$C:$FB,91)</f>
        <v>873</v>
      </c>
      <c r="I62" s="91">
        <f>VLOOKUP($A62,'Data Vlaue (Cr)'!$C:$FB,93)</f>
        <v>-10</v>
      </c>
      <c r="J62" s="92">
        <f>VLOOKUP($A62,'Data Vlaue (Cr)'!$C:$FB,94)</f>
        <v>-1.11E-2</v>
      </c>
      <c r="K62" s="91">
        <f>VLOOKUP($A62,'Data Vlaue (Cr)'!$C:$FB,95)</f>
        <v>764</v>
      </c>
      <c r="L62" s="91">
        <f>VLOOKUP($A62,'Data Vlaue (Cr)'!$C:$FB,97)</f>
        <v>16</v>
      </c>
      <c r="M62" s="92">
        <f>VLOOKUP($A62,'Data Vlaue (Cr)'!$C:$FB,98)</f>
        <v>2.1100000000000001E-2</v>
      </c>
      <c r="N62" s="91">
        <f>VLOOKUP($A62,'Data Vlaue (Cr)'!$C:$FB,79)</f>
        <v>3351</v>
      </c>
      <c r="O62" s="92">
        <f>VLOOKUP($A62,'Data Vlaue (Cr)'!$C:$FB,82)</f>
        <v>-3.3E-3</v>
      </c>
    </row>
    <row r="63" spans="1:15" x14ac:dyDescent="0.25">
      <c r="A63" s="97" t="str">
        <f>'Data Vlaue (Cr)'!C58</f>
        <v>DMART</v>
      </c>
      <c r="B63" s="142">
        <f>VLOOKUP(A63,'Data Vlaue (Cr)'!C58:CW270,99,0)</f>
        <v>3577</v>
      </c>
      <c r="C63" s="90">
        <f>VLOOKUP(A63,'Data Vlaue (Cr)'!C58:CY270,101,0)</f>
        <v>85</v>
      </c>
      <c r="D63" s="139">
        <f>VLOOKUP(A63,'Data Vlaue (Cr)'!C58:CZ270,102,0)</f>
        <v>2.4299999999999999E-2</v>
      </c>
      <c r="E63" s="91">
        <f>VLOOKUP($A63,'Data Vlaue (Cr)'!$C:$FB,75)</f>
        <v>2403</v>
      </c>
      <c r="F63" s="91">
        <f>VLOOKUP($A63,'Data Vlaue (Cr)'!$C:$FB,77)</f>
        <v>47</v>
      </c>
      <c r="G63" s="92">
        <f>VLOOKUP(A63,'Data Vlaue (Cr)'!C58:CB270,78,0)</f>
        <v>1.9800000000000002E-2</v>
      </c>
      <c r="H63" s="91">
        <f>VLOOKUP($A63,'Data Vlaue (Cr)'!$C:$FB,91)</f>
        <v>693</v>
      </c>
      <c r="I63" s="91">
        <f>VLOOKUP($A63,'Data Vlaue (Cr)'!$C:$FB,93)</f>
        <v>38</v>
      </c>
      <c r="J63" s="92">
        <f>VLOOKUP($A63,'Data Vlaue (Cr)'!$C:$FB,94)</f>
        <v>5.74E-2</v>
      </c>
      <c r="K63" s="91">
        <f>VLOOKUP($A63,'Data Vlaue (Cr)'!$C:$FB,95)</f>
        <v>481</v>
      </c>
      <c r="L63" s="91">
        <f>VLOOKUP($A63,'Data Vlaue (Cr)'!$C:$FB,97)</f>
        <v>1</v>
      </c>
      <c r="M63" s="92">
        <f>VLOOKUP($A63,'Data Vlaue (Cr)'!$C:$FB,98)</f>
        <v>1.1999999999999999E-3</v>
      </c>
      <c r="N63" s="91">
        <f>VLOOKUP($A63,'Data Vlaue (Cr)'!$C:$FB,79)</f>
        <v>2053</v>
      </c>
      <c r="O63" s="92">
        <f>VLOOKUP($A63,'Data Vlaue (Cr)'!$C:$FB,82)</f>
        <v>4.7999999999999996E-3</v>
      </c>
    </row>
    <row r="64" spans="1:15" x14ac:dyDescent="0.25">
      <c r="A64" s="97" t="str">
        <f>'Data Vlaue (Cr)'!C59</f>
        <v>DRREDDY</v>
      </c>
      <c r="B64" s="142">
        <f>VLOOKUP(A64,'Data Vlaue (Cr)'!C59:CW271,99,0)</f>
        <v>3531</v>
      </c>
      <c r="C64" s="90">
        <f>VLOOKUP(A64,'Data Vlaue (Cr)'!C59:CY271,101,0)</f>
        <v>-48</v>
      </c>
      <c r="D64" s="139">
        <f>VLOOKUP(A64,'Data Vlaue (Cr)'!C59:CZ271,102,0)</f>
        <v>-1.3299999999999999E-2</v>
      </c>
      <c r="E64" s="91">
        <f>VLOOKUP($A64,'Data Vlaue (Cr)'!$C:$FB,75)</f>
        <v>1976</v>
      </c>
      <c r="F64" s="91">
        <f>VLOOKUP($A64,'Data Vlaue (Cr)'!$C:$FB,77)</f>
        <v>-37</v>
      </c>
      <c r="G64" s="92">
        <f>VLOOKUP(A64,'Data Vlaue (Cr)'!C59:CB271,78,0)</f>
        <v>-1.84E-2</v>
      </c>
      <c r="H64" s="91">
        <f>VLOOKUP($A64,'Data Vlaue (Cr)'!$C:$FB,91)</f>
        <v>1056</v>
      </c>
      <c r="I64" s="91">
        <f>VLOOKUP($A64,'Data Vlaue (Cr)'!$C:$FB,93)</f>
        <v>-22</v>
      </c>
      <c r="J64" s="92">
        <f>VLOOKUP($A64,'Data Vlaue (Cr)'!$C:$FB,94)</f>
        <v>-2.0299999999999999E-2</v>
      </c>
      <c r="K64" s="91">
        <f>VLOOKUP($A64,'Data Vlaue (Cr)'!$C:$FB,95)</f>
        <v>499</v>
      </c>
      <c r="L64" s="91">
        <f>VLOOKUP($A64,'Data Vlaue (Cr)'!$C:$FB,97)</f>
        <v>11</v>
      </c>
      <c r="M64" s="92">
        <f>VLOOKUP($A64,'Data Vlaue (Cr)'!$C:$FB,98)</f>
        <v>2.3099999999999999E-2</v>
      </c>
      <c r="N64" s="91">
        <f>VLOOKUP($A64,'Data Vlaue (Cr)'!$C:$FB,79)</f>
        <v>1919</v>
      </c>
      <c r="O64" s="92">
        <f>VLOOKUP($A64,'Data Vlaue (Cr)'!$C:$FB,82)</f>
        <v>-2.4500000000000001E-2</v>
      </c>
    </row>
    <row r="65" spans="1:15" x14ac:dyDescent="0.25">
      <c r="A65" s="97" t="str">
        <f>'Data Vlaue (Cr)'!C60</f>
        <v>EICHERMOT</v>
      </c>
      <c r="B65" s="142">
        <f>VLOOKUP(A65,'Data Vlaue (Cr)'!C60:CW272,99,0)</f>
        <v>6824</v>
      </c>
      <c r="C65" s="90">
        <f>VLOOKUP(A65,'Data Vlaue (Cr)'!C60:CY272,101,0)</f>
        <v>1856</v>
      </c>
      <c r="D65" s="139">
        <f>VLOOKUP(A65,'Data Vlaue (Cr)'!C60:CZ272,102,0)</f>
        <v>0.37359999999999999</v>
      </c>
      <c r="E65" s="91">
        <f>VLOOKUP($A65,'Data Vlaue (Cr)'!$C:$FB,75)</f>
        <v>2617</v>
      </c>
      <c r="F65" s="91">
        <f>VLOOKUP($A65,'Data Vlaue (Cr)'!$C:$FB,77)</f>
        <v>247</v>
      </c>
      <c r="G65" s="92">
        <f>VLOOKUP(A65,'Data Vlaue (Cr)'!C60:CB272,78,0)</f>
        <v>0.1043</v>
      </c>
      <c r="H65" s="91">
        <f>VLOOKUP($A65,'Data Vlaue (Cr)'!$C:$FB,91)</f>
        <v>2159</v>
      </c>
      <c r="I65" s="91">
        <f>VLOOKUP($A65,'Data Vlaue (Cr)'!$C:$FB,93)</f>
        <v>681</v>
      </c>
      <c r="J65" s="92">
        <f>VLOOKUP($A65,'Data Vlaue (Cr)'!$C:$FB,94)</f>
        <v>0.46050000000000002</v>
      </c>
      <c r="K65" s="91">
        <f>VLOOKUP($A65,'Data Vlaue (Cr)'!$C:$FB,95)</f>
        <v>2049</v>
      </c>
      <c r="L65" s="91">
        <f>VLOOKUP($A65,'Data Vlaue (Cr)'!$C:$FB,97)</f>
        <v>928</v>
      </c>
      <c r="M65" s="92">
        <f>VLOOKUP($A65,'Data Vlaue (Cr)'!$C:$FB,98)</f>
        <v>0.82840000000000003</v>
      </c>
      <c r="N65" s="91">
        <f>VLOOKUP($A65,'Data Vlaue (Cr)'!$C:$FB,79)</f>
        <v>2455</v>
      </c>
      <c r="O65" s="92">
        <f>VLOOKUP($A65,'Data Vlaue (Cr)'!$C:$FB,82)</f>
        <v>7.0099999999999996E-2</v>
      </c>
    </row>
    <row r="66" spans="1:15" x14ac:dyDescent="0.25">
      <c r="A66" s="97" t="str">
        <f>'Data Vlaue (Cr)'!C61</f>
        <v>ETERNAL</v>
      </c>
      <c r="B66" s="142">
        <f>VLOOKUP(A66,'Data Vlaue (Cr)'!C61:CW273,99,0)</f>
        <v>11654</v>
      </c>
      <c r="C66" s="90">
        <f>VLOOKUP(A66,'Data Vlaue (Cr)'!C61:CY273,101,0)</f>
        <v>-95</v>
      </c>
      <c r="D66" s="139">
        <f>VLOOKUP(A66,'Data Vlaue (Cr)'!C61:CZ273,102,0)</f>
        <v>-8.0999999999999996E-3</v>
      </c>
      <c r="E66" s="91">
        <f>VLOOKUP($A66,'Data Vlaue (Cr)'!$C:$FB,75)</f>
        <v>7548</v>
      </c>
      <c r="F66" s="91">
        <f>VLOOKUP($A66,'Data Vlaue (Cr)'!$C:$FB,77)</f>
        <v>-32</v>
      </c>
      <c r="G66" s="92">
        <f>VLOOKUP(A66,'Data Vlaue (Cr)'!C61:CB273,78,0)</f>
        <v>-4.1999999999999997E-3</v>
      </c>
      <c r="H66" s="91">
        <f>VLOOKUP($A66,'Data Vlaue (Cr)'!$C:$FB,91)</f>
        <v>2256</v>
      </c>
      <c r="I66" s="91">
        <f>VLOOKUP($A66,'Data Vlaue (Cr)'!$C:$FB,93)</f>
        <v>34</v>
      </c>
      <c r="J66" s="92">
        <f>VLOOKUP($A66,'Data Vlaue (Cr)'!$C:$FB,94)</f>
        <v>1.5100000000000001E-2</v>
      </c>
      <c r="K66" s="91">
        <f>VLOOKUP($A66,'Data Vlaue (Cr)'!$C:$FB,95)</f>
        <v>1850</v>
      </c>
      <c r="L66" s="91">
        <f>VLOOKUP($A66,'Data Vlaue (Cr)'!$C:$FB,97)</f>
        <v>-96</v>
      </c>
      <c r="M66" s="92">
        <f>VLOOKUP($A66,'Data Vlaue (Cr)'!$C:$FB,98)</f>
        <v>-4.9599999999999998E-2</v>
      </c>
      <c r="N66" s="91">
        <f>VLOOKUP($A66,'Data Vlaue (Cr)'!$C:$FB,79)</f>
        <v>7115</v>
      </c>
      <c r="O66" s="92">
        <f>VLOOKUP($A66,'Data Vlaue (Cr)'!$C:$FB,82)</f>
        <v>-6.4000000000000003E-3</v>
      </c>
    </row>
    <row r="67" spans="1:15" x14ac:dyDescent="0.25">
      <c r="A67" s="97" t="str">
        <f>'Data Vlaue (Cr)'!C62</f>
        <v>EXIDEIND</v>
      </c>
      <c r="B67" s="142">
        <f>VLOOKUP(A67,'Data Vlaue (Cr)'!C62:CW274,99,0)</f>
        <v>2224</v>
      </c>
      <c r="C67" s="90">
        <f>VLOOKUP(A67,'Data Vlaue (Cr)'!C62:CY274,101,0)</f>
        <v>6</v>
      </c>
      <c r="D67" s="139">
        <f>VLOOKUP(A67,'Data Vlaue (Cr)'!C62:CZ274,102,0)</f>
        <v>2.8999999999999998E-3</v>
      </c>
      <c r="E67" s="91">
        <f>VLOOKUP($A67,'Data Vlaue (Cr)'!$C:$FB,75)</f>
        <v>1193</v>
      </c>
      <c r="F67" s="91">
        <f>VLOOKUP($A67,'Data Vlaue (Cr)'!$C:$FB,77)</f>
        <v>-9</v>
      </c>
      <c r="G67" s="92">
        <f>VLOOKUP(A67,'Data Vlaue (Cr)'!C62:CB274,78,0)</f>
        <v>-7.4000000000000003E-3</v>
      </c>
      <c r="H67" s="91">
        <f>VLOOKUP($A67,'Data Vlaue (Cr)'!$C:$FB,91)</f>
        <v>651</v>
      </c>
      <c r="I67" s="91">
        <f>VLOOKUP($A67,'Data Vlaue (Cr)'!$C:$FB,93)</f>
        <v>14</v>
      </c>
      <c r="J67" s="92">
        <f>VLOOKUP($A67,'Data Vlaue (Cr)'!$C:$FB,94)</f>
        <v>2.1899999999999999E-2</v>
      </c>
      <c r="K67" s="91">
        <f>VLOOKUP($A67,'Data Vlaue (Cr)'!$C:$FB,95)</f>
        <v>380</v>
      </c>
      <c r="L67" s="91">
        <f>VLOOKUP($A67,'Data Vlaue (Cr)'!$C:$FB,97)</f>
        <v>1</v>
      </c>
      <c r="M67" s="92">
        <f>VLOOKUP($A67,'Data Vlaue (Cr)'!$C:$FB,98)</f>
        <v>3.3999999999999998E-3</v>
      </c>
      <c r="N67" s="91">
        <f>VLOOKUP($A67,'Data Vlaue (Cr)'!$C:$FB,79)</f>
        <v>1115</v>
      </c>
      <c r="O67" s="92">
        <f>VLOOKUP($A67,'Data Vlaue (Cr)'!$C:$FB,82)</f>
        <v>-1.0999999999999999E-2</v>
      </c>
    </row>
    <row r="68" spans="1:15" x14ac:dyDescent="0.25">
      <c r="A68" s="97" t="str">
        <f>'Data Vlaue (Cr)'!C63</f>
        <v>FEDERALBNK</v>
      </c>
      <c r="B68" s="142">
        <f>VLOOKUP(A68,'Data Vlaue (Cr)'!C63:CW275,99,0)</f>
        <v>4030</v>
      </c>
      <c r="C68" s="90">
        <f>VLOOKUP(A68,'Data Vlaue (Cr)'!C63:CY275,101,0)</f>
        <v>271</v>
      </c>
      <c r="D68" s="139">
        <f>VLOOKUP(A68,'Data Vlaue (Cr)'!C63:CZ275,102,0)</f>
        <v>7.2099999999999997E-2</v>
      </c>
      <c r="E68" s="91">
        <f>VLOOKUP($A68,'Data Vlaue (Cr)'!$C:$FB,75)</f>
        <v>1781</v>
      </c>
      <c r="F68" s="91">
        <f>VLOOKUP($A68,'Data Vlaue (Cr)'!$C:$FB,77)</f>
        <v>157</v>
      </c>
      <c r="G68" s="92">
        <f>VLOOKUP(A68,'Data Vlaue (Cr)'!C63:CB275,78,0)</f>
        <v>9.6500000000000002E-2</v>
      </c>
      <c r="H68" s="91">
        <f>VLOOKUP($A68,'Data Vlaue (Cr)'!$C:$FB,91)</f>
        <v>1197</v>
      </c>
      <c r="I68" s="91">
        <f>VLOOKUP($A68,'Data Vlaue (Cr)'!$C:$FB,93)</f>
        <v>18</v>
      </c>
      <c r="J68" s="92">
        <f>VLOOKUP($A68,'Data Vlaue (Cr)'!$C:$FB,94)</f>
        <v>1.5599999999999999E-2</v>
      </c>
      <c r="K68" s="91">
        <f>VLOOKUP($A68,'Data Vlaue (Cr)'!$C:$FB,95)</f>
        <v>1053</v>
      </c>
      <c r="L68" s="91">
        <f>VLOOKUP($A68,'Data Vlaue (Cr)'!$C:$FB,97)</f>
        <v>96</v>
      </c>
      <c r="M68" s="92">
        <f>VLOOKUP($A68,'Data Vlaue (Cr)'!$C:$FB,98)</f>
        <v>0.1004</v>
      </c>
      <c r="N68" s="91">
        <f>VLOOKUP($A68,'Data Vlaue (Cr)'!$C:$FB,79)</f>
        <v>1664</v>
      </c>
      <c r="O68" s="92">
        <f>VLOOKUP($A68,'Data Vlaue (Cr)'!$C:$FB,82)</f>
        <v>9.8599999999999993E-2</v>
      </c>
    </row>
    <row r="69" spans="1:15" x14ac:dyDescent="0.25">
      <c r="A69" s="97" t="str">
        <f>'Data Vlaue (Cr)'!C64</f>
        <v>FINNIFTY</v>
      </c>
      <c r="B69" s="142">
        <f>VLOOKUP(A69,'Data Vlaue (Cr)'!C64:CW276,99,0)</f>
        <v>5260</v>
      </c>
      <c r="C69" s="90">
        <f>VLOOKUP(A69,'Data Vlaue (Cr)'!C64:CY276,101,0)</f>
        <v>451</v>
      </c>
      <c r="D69" s="139">
        <f>VLOOKUP(A69,'Data Vlaue (Cr)'!C64:CZ276,102,0)</f>
        <v>9.3899999999999997E-2</v>
      </c>
      <c r="E69" s="91">
        <f>VLOOKUP($A69,'Data Vlaue (Cr)'!$C:$FB,75)</f>
        <v>135</v>
      </c>
      <c r="F69" s="91">
        <f>VLOOKUP($A69,'Data Vlaue (Cr)'!$C:$FB,77)</f>
        <v>0</v>
      </c>
      <c r="G69" s="92">
        <f>VLOOKUP(A69,'Data Vlaue (Cr)'!C64:CB276,78,0)</f>
        <v>-1.2999999999999999E-3</v>
      </c>
      <c r="H69" s="91">
        <f>VLOOKUP($A69,'Data Vlaue (Cr)'!$C:$FB,91)</f>
        <v>2307</v>
      </c>
      <c r="I69" s="91">
        <f>VLOOKUP($A69,'Data Vlaue (Cr)'!$C:$FB,93)</f>
        <v>354</v>
      </c>
      <c r="J69" s="92">
        <f>VLOOKUP($A69,'Data Vlaue (Cr)'!$C:$FB,94)</f>
        <v>0.18140000000000001</v>
      </c>
      <c r="K69" s="91">
        <f>VLOOKUP($A69,'Data Vlaue (Cr)'!$C:$FB,95)</f>
        <v>2818</v>
      </c>
      <c r="L69" s="91">
        <f>VLOOKUP($A69,'Data Vlaue (Cr)'!$C:$FB,97)</f>
        <v>97</v>
      </c>
      <c r="M69" s="92">
        <f>VLOOKUP($A69,'Data Vlaue (Cr)'!$C:$FB,98)</f>
        <v>3.5799999999999998E-2</v>
      </c>
      <c r="N69" s="91">
        <f>VLOOKUP($A69,'Data Vlaue (Cr)'!$C:$FB,79)</f>
        <v>132</v>
      </c>
      <c r="O69" s="92">
        <f>VLOOKUP($A69,'Data Vlaue (Cr)'!$C:$FB,82)</f>
        <v>-2.5999999999999999E-3</v>
      </c>
    </row>
    <row r="70" spans="1:15" x14ac:dyDescent="0.25">
      <c r="A70" s="97" t="str">
        <f>'Data Vlaue (Cr)'!C65</f>
        <v>FORTIS</v>
      </c>
      <c r="B70" s="142">
        <f>VLOOKUP(A70,'Data Vlaue (Cr)'!C65:CW277,99,0)</f>
        <v>1884</v>
      </c>
      <c r="C70" s="90">
        <f>VLOOKUP(A70,'Data Vlaue (Cr)'!C65:CY277,101,0)</f>
        <v>301</v>
      </c>
      <c r="D70" s="139">
        <f>VLOOKUP(A70,'Data Vlaue (Cr)'!C65:CZ277,102,0)</f>
        <v>0.1898</v>
      </c>
      <c r="E70" s="91">
        <f>VLOOKUP($A70,'Data Vlaue (Cr)'!$C:$FB,75)</f>
        <v>1156</v>
      </c>
      <c r="F70" s="91">
        <f>VLOOKUP($A70,'Data Vlaue (Cr)'!$C:$FB,77)</f>
        <v>39</v>
      </c>
      <c r="G70" s="92">
        <f>VLOOKUP(A70,'Data Vlaue (Cr)'!C65:CB277,78,0)</f>
        <v>3.4799999999999998E-2</v>
      </c>
      <c r="H70" s="91">
        <f>VLOOKUP($A70,'Data Vlaue (Cr)'!$C:$FB,91)</f>
        <v>437</v>
      </c>
      <c r="I70" s="91">
        <f>VLOOKUP($A70,'Data Vlaue (Cr)'!$C:$FB,93)</f>
        <v>175</v>
      </c>
      <c r="J70" s="92">
        <f>VLOOKUP($A70,'Data Vlaue (Cr)'!$C:$FB,94)</f>
        <v>0.66830000000000001</v>
      </c>
      <c r="K70" s="91">
        <f>VLOOKUP($A70,'Data Vlaue (Cr)'!$C:$FB,95)</f>
        <v>291</v>
      </c>
      <c r="L70" s="91">
        <f>VLOOKUP($A70,'Data Vlaue (Cr)'!$C:$FB,97)</f>
        <v>86</v>
      </c>
      <c r="M70" s="92">
        <f>VLOOKUP($A70,'Data Vlaue (Cr)'!$C:$FB,98)</f>
        <v>0.42249999999999999</v>
      </c>
      <c r="N70" s="91">
        <f>VLOOKUP($A70,'Data Vlaue (Cr)'!$C:$FB,79)</f>
        <v>1132</v>
      </c>
      <c r="O70" s="92">
        <f>VLOOKUP($A70,'Data Vlaue (Cr)'!$C:$FB,82)</f>
        <v>3.1300000000000001E-2</v>
      </c>
    </row>
    <row r="71" spans="1:15" x14ac:dyDescent="0.25">
      <c r="A71" s="97" t="str">
        <f>'Data Vlaue (Cr)'!C66</f>
        <v>GAIL</v>
      </c>
      <c r="B71" s="142">
        <f>VLOOKUP(A71,'Data Vlaue (Cr)'!C66:CW278,99,0)</f>
        <v>3121</v>
      </c>
      <c r="C71" s="90">
        <f>VLOOKUP(A71,'Data Vlaue (Cr)'!C66:CY278,101,0)</f>
        <v>30</v>
      </c>
      <c r="D71" s="139">
        <f>VLOOKUP(A71,'Data Vlaue (Cr)'!C66:CZ278,102,0)</f>
        <v>9.7000000000000003E-3</v>
      </c>
      <c r="E71" s="91">
        <f>VLOOKUP($A71,'Data Vlaue (Cr)'!$C:$FB,75)</f>
        <v>1926</v>
      </c>
      <c r="F71" s="91">
        <f>VLOOKUP($A71,'Data Vlaue (Cr)'!$C:$FB,77)</f>
        <v>24</v>
      </c>
      <c r="G71" s="92">
        <f>VLOOKUP(A71,'Data Vlaue (Cr)'!C66:CB278,78,0)</f>
        <v>1.26E-2</v>
      </c>
      <c r="H71" s="91">
        <f>VLOOKUP($A71,'Data Vlaue (Cr)'!$C:$FB,91)</f>
        <v>680</v>
      </c>
      <c r="I71" s="91">
        <f>VLOOKUP($A71,'Data Vlaue (Cr)'!$C:$FB,93)</f>
        <v>4</v>
      </c>
      <c r="J71" s="92">
        <f>VLOOKUP($A71,'Data Vlaue (Cr)'!$C:$FB,94)</f>
        <v>6.4000000000000003E-3</v>
      </c>
      <c r="K71" s="91">
        <f>VLOOKUP($A71,'Data Vlaue (Cr)'!$C:$FB,95)</f>
        <v>515</v>
      </c>
      <c r="L71" s="91">
        <f>VLOOKUP($A71,'Data Vlaue (Cr)'!$C:$FB,97)</f>
        <v>2</v>
      </c>
      <c r="M71" s="92">
        <f>VLOOKUP($A71,'Data Vlaue (Cr)'!$C:$FB,98)</f>
        <v>3.2000000000000002E-3</v>
      </c>
      <c r="N71" s="91">
        <f>VLOOKUP($A71,'Data Vlaue (Cr)'!$C:$FB,79)</f>
        <v>1815</v>
      </c>
      <c r="O71" s="92">
        <f>VLOOKUP($A71,'Data Vlaue (Cr)'!$C:$FB,82)</f>
        <v>6.1000000000000004E-3</v>
      </c>
    </row>
    <row r="72" spans="1:15" x14ac:dyDescent="0.25">
      <c r="A72" s="97" t="str">
        <f>'Data Vlaue (Cr)'!C67</f>
        <v>GLENMARK</v>
      </c>
      <c r="B72" s="142">
        <f>VLOOKUP(A72,'Data Vlaue (Cr)'!C67:CW279,99,0)</f>
        <v>3171</v>
      </c>
      <c r="C72" s="90">
        <f>VLOOKUP(A72,'Data Vlaue (Cr)'!C67:CY279,101,0)</f>
        <v>17</v>
      </c>
      <c r="D72" s="139">
        <f>VLOOKUP(A72,'Data Vlaue (Cr)'!C67:CZ279,102,0)</f>
        <v>5.3E-3</v>
      </c>
      <c r="E72" s="91">
        <f>VLOOKUP($A72,'Data Vlaue (Cr)'!$C:$FB,75)</f>
        <v>2292</v>
      </c>
      <c r="F72" s="91">
        <f>VLOOKUP($A72,'Data Vlaue (Cr)'!$C:$FB,77)</f>
        <v>-30</v>
      </c>
      <c r="G72" s="92">
        <f>VLOOKUP(A72,'Data Vlaue (Cr)'!C67:CB279,78,0)</f>
        <v>-1.29E-2</v>
      </c>
      <c r="H72" s="91">
        <f>VLOOKUP($A72,'Data Vlaue (Cr)'!$C:$FB,91)</f>
        <v>515</v>
      </c>
      <c r="I72" s="91">
        <f>VLOOKUP($A72,'Data Vlaue (Cr)'!$C:$FB,93)</f>
        <v>11</v>
      </c>
      <c r="J72" s="92">
        <f>VLOOKUP($A72,'Data Vlaue (Cr)'!$C:$FB,94)</f>
        <v>2.1600000000000001E-2</v>
      </c>
      <c r="K72" s="91">
        <f>VLOOKUP($A72,'Data Vlaue (Cr)'!$C:$FB,95)</f>
        <v>364</v>
      </c>
      <c r="L72" s="91">
        <f>VLOOKUP($A72,'Data Vlaue (Cr)'!$C:$FB,97)</f>
        <v>36</v>
      </c>
      <c r="M72" s="92">
        <f>VLOOKUP($A72,'Data Vlaue (Cr)'!$C:$FB,98)</f>
        <v>0.10920000000000001</v>
      </c>
      <c r="N72" s="91">
        <f>VLOOKUP($A72,'Data Vlaue (Cr)'!$C:$FB,79)</f>
        <v>2272</v>
      </c>
      <c r="O72" s="92">
        <f>VLOOKUP($A72,'Data Vlaue (Cr)'!$C:$FB,82)</f>
        <v>-1.3299999999999999E-2</v>
      </c>
    </row>
    <row r="73" spans="1:15" x14ac:dyDescent="0.25">
      <c r="A73" s="97" t="str">
        <f>'Data Vlaue (Cr)'!C68</f>
        <v>GMRAIRPORT</v>
      </c>
      <c r="B73" s="142">
        <f>VLOOKUP(A73,'Data Vlaue (Cr)'!C68:CW280,99,0)</f>
        <v>2855</v>
      </c>
      <c r="C73" s="90">
        <f>VLOOKUP(A73,'Data Vlaue (Cr)'!C68:CY280,101,0)</f>
        <v>72</v>
      </c>
      <c r="D73" s="139">
        <f>VLOOKUP(A73,'Data Vlaue (Cr)'!C68:CZ280,102,0)</f>
        <v>2.5700000000000001E-2</v>
      </c>
      <c r="E73" s="91">
        <f>VLOOKUP($A73,'Data Vlaue (Cr)'!$C:$FB,75)</f>
        <v>1506</v>
      </c>
      <c r="F73" s="91">
        <f>VLOOKUP($A73,'Data Vlaue (Cr)'!$C:$FB,77)</f>
        <v>5</v>
      </c>
      <c r="G73" s="92">
        <f>VLOOKUP(A73,'Data Vlaue (Cr)'!C68:CB280,78,0)</f>
        <v>3.3E-3</v>
      </c>
      <c r="H73" s="91">
        <f>VLOOKUP($A73,'Data Vlaue (Cr)'!$C:$FB,91)</f>
        <v>802</v>
      </c>
      <c r="I73" s="91">
        <f>VLOOKUP($A73,'Data Vlaue (Cr)'!$C:$FB,93)</f>
        <v>54</v>
      </c>
      <c r="J73" s="92">
        <f>VLOOKUP($A73,'Data Vlaue (Cr)'!$C:$FB,94)</f>
        <v>7.2300000000000003E-2</v>
      </c>
      <c r="K73" s="91">
        <f>VLOOKUP($A73,'Data Vlaue (Cr)'!$C:$FB,95)</f>
        <v>547</v>
      </c>
      <c r="L73" s="91">
        <f>VLOOKUP($A73,'Data Vlaue (Cr)'!$C:$FB,97)</f>
        <v>13</v>
      </c>
      <c r="M73" s="92">
        <f>VLOOKUP($A73,'Data Vlaue (Cr)'!$C:$FB,98)</f>
        <v>2.3599999999999999E-2</v>
      </c>
      <c r="N73" s="91">
        <f>VLOOKUP($A73,'Data Vlaue (Cr)'!$C:$FB,79)</f>
        <v>1449</v>
      </c>
      <c r="O73" s="92">
        <f>VLOOKUP($A73,'Data Vlaue (Cr)'!$C:$FB,82)</f>
        <v>3.0000000000000001E-3</v>
      </c>
    </row>
    <row r="74" spans="1:15" x14ac:dyDescent="0.25">
      <c r="A74" s="97" t="str">
        <f>'Data Vlaue (Cr)'!C69</f>
        <v>GODREJCP</v>
      </c>
      <c r="B74" s="142">
        <f>VLOOKUP(A74,'Data Vlaue (Cr)'!C69:CW281,99,0)</f>
        <v>1624</v>
      </c>
      <c r="C74" s="90">
        <f>VLOOKUP(A74,'Data Vlaue (Cr)'!C69:CY281,101,0)</f>
        <v>-6</v>
      </c>
      <c r="D74" s="139">
        <f>VLOOKUP(A74,'Data Vlaue (Cr)'!C69:CZ281,102,0)</f>
        <v>-3.5999999999999999E-3</v>
      </c>
      <c r="E74" s="91">
        <f>VLOOKUP($A74,'Data Vlaue (Cr)'!$C:$FB,75)</f>
        <v>1048</v>
      </c>
      <c r="F74" s="91">
        <f>VLOOKUP($A74,'Data Vlaue (Cr)'!$C:$FB,77)</f>
        <v>-3</v>
      </c>
      <c r="G74" s="92">
        <f>VLOOKUP(A74,'Data Vlaue (Cr)'!C69:CB281,78,0)</f>
        <v>-2.8E-3</v>
      </c>
      <c r="H74" s="91">
        <f>VLOOKUP($A74,'Data Vlaue (Cr)'!$C:$FB,91)</f>
        <v>331</v>
      </c>
      <c r="I74" s="91">
        <f>VLOOKUP($A74,'Data Vlaue (Cr)'!$C:$FB,93)</f>
        <v>-2</v>
      </c>
      <c r="J74" s="92">
        <f>VLOOKUP($A74,'Data Vlaue (Cr)'!$C:$FB,94)</f>
        <v>-6.4000000000000003E-3</v>
      </c>
      <c r="K74" s="91">
        <f>VLOOKUP($A74,'Data Vlaue (Cr)'!$C:$FB,95)</f>
        <v>245</v>
      </c>
      <c r="L74" s="91">
        <f>VLOOKUP($A74,'Data Vlaue (Cr)'!$C:$FB,97)</f>
        <v>-1</v>
      </c>
      <c r="M74" s="92">
        <f>VLOOKUP($A74,'Data Vlaue (Cr)'!$C:$FB,98)</f>
        <v>-3.2000000000000002E-3</v>
      </c>
      <c r="N74" s="91">
        <f>VLOOKUP($A74,'Data Vlaue (Cr)'!$C:$FB,79)</f>
        <v>1022</v>
      </c>
      <c r="O74" s="92">
        <f>VLOOKUP($A74,'Data Vlaue (Cr)'!$C:$FB,82)</f>
        <v>-2.8E-3</v>
      </c>
    </row>
    <row r="75" spans="1:15" x14ac:dyDescent="0.25">
      <c r="A75" s="97" t="str">
        <f>'Data Vlaue (Cr)'!C70</f>
        <v>GODREJPROP</v>
      </c>
      <c r="B75" s="142">
        <f>VLOOKUP(A75,'Data Vlaue (Cr)'!C70:CW282,99,0)</f>
        <v>3282</v>
      </c>
      <c r="C75" s="90">
        <f>VLOOKUP(A75,'Data Vlaue (Cr)'!C70:CY282,101,0)</f>
        <v>-84</v>
      </c>
      <c r="D75" s="139">
        <f>VLOOKUP(A75,'Data Vlaue (Cr)'!C70:CZ282,102,0)</f>
        <v>-2.4899999999999999E-2</v>
      </c>
      <c r="E75" s="91">
        <f>VLOOKUP($A75,'Data Vlaue (Cr)'!$C:$FB,75)</f>
        <v>1858</v>
      </c>
      <c r="F75" s="91">
        <f>VLOOKUP($A75,'Data Vlaue (Cr)'!$C:$FB,77)</f>
        <v>-80</v>
      </c>
      <c r="G75" s="92">
        <f>VLOOKUP(A75,'Data Vlaue (Cr)'!C70:CB282,78,0)</f>
        <v>-4.1399999999999999E-2</v>
      </c>
      <c r="H75" s="91">
        <f>VLOOKUP($A75,'Data Vlaue (Cr)'!$C:$FB,91)</f>
        <v>827</v>
      </c>
      <c r="I75" s="91">
        <f>VLOOKUP($A75,'Data Vlaue (Cr)'!$C:$FB,93)</f>
        <v>2</v>
      </c>
      <c r="J75" s="92">
        <f>VLOOKUP($A75,'Data Vlaue (Cr)'!$C:$FB,94)</f>
        <v>2.3999999999999998E-3</v>
      </c>
      <c r="K75" s="91">
        <f>VLOOKUP($A75,'Data Vlaue (Cr)'!$C:$FB,95)</f>
        <v>597</v>
      </c>
      <c r="L75" s="91">
        <f>VLOOKUP($A75,'Data Vlaue (Cr)'!$C:$FB,97)</f>
        <v>-6</v>
      </c>
      <c r="M75" s="92">
        <f>VLOOKUP($A75,'Data Vlaue (Cr)'!$C:$FB,98)</f>
        <v>-9.2999999999999992E-3</v>
      </c>
      <c r="N75" s="91">
        <f>VLOOKUP($A75,'Data Vlaue (Cr)'!$C:$FB,79)</f>
        <v>1779</v>
      </c>
      <c r="O75" s="92">
        <f>VLOOKUP($A75,'Data Vlaue (Cr)'!$C:$FB,82)</f>
        <v>-4.4499999999999998E-2</v>
      </c>
    </row>
    <row r="76" spans="1:15" x14ac:dyDescent="0.25">
      <c r="A76" s="97" t="str">
        <f>'Data Vlaue (Cr)'!C71</f>
        <v>GRASIM</v>
      </c>
      <c r="B76" s="142">
        <f>VLOOKUP(A76,'Data Vlaue (Cr)'!C71:CW283,99,0)</f>
        <v>6227</v>
      </c>
      <c r="C76" s="90">
        <f>VLOOKUP(A76,'Data Vlaue (Cr)'!C71:CY283,101,0)</f>
        <v>-37</v>
      </c>
      <c r="D76" s="139">
        <f>VLOOKUP(A76,'Data Vlaue (Cr)'!C71:CZ283,102,0)</f>
        <v>-5.7999999999999996E-3</v>
      </c>
      <c r="E76" s="91">
        <f>VLOOKUP($A76,'Data Vlaue (Cr)'!$C:$FB,75)</f>
        <v>4925</v>
      </c>
      <c r="F76" s="91">
        <f>VLOOKUP($A76,'Data Vlaue (Cr)'!$C:$FB,77)</f>
        <v>-129</v>
      </c>
      <c r="G76" s="92">
        <f>VLOOKUP(A76,'Data Vlaue (Cr)'!C71:CB283,78,0)</f>
        <v>-2.5600000000000001E-2</v>
      </c>
      <c r="H76" s="91">
        <f>VLOOKUP($A76,'Data Vlaue (Cr)'!$C:$FB,91)</f>
        <v>708</v>
      </c>
      <c r="I76" s="91">
        <f>VLOOKUP($A76,'Data Vlaue (Cr)'!$C:$FB,93)</f>
        <v>91</v>
      </c>
      <c r="J76" s="92">
        <f>VLOOKUP($A76,'Data Vlaue (Cr)'!$C:$FB,94)</f>
        <v>0.14779999999999999</v>
      </c>
      <c r="K76" s="91">
        <f>VLOOKUP($A76,'Data Vlaue (Cr)'!$C:$FB,95)</f>
        <v>594</v>
      </c>
      <c r="L76" s="91">
        <f>VLOOKUP($A76,'Data Vlaue (Cr)'!$C:$FB,97)</f>
        <v>2</v>
      </c>
      <c r="M76" s="92">
        <f>VLOOKUP($A76,'Data Vlaue (Cr)'!$C:$FB,98)</f>
        <v>3.0000000000000001E-3</v>
      </c>
      <c r="N76" s="91">
        <f>VLOOKUP($A76,'Data Vlaue (Cr)'!$C:$FB,79)</f>
        <v>4826</v>
      </c>
      <c r="O76" s="92">
        <f>VLOOKUP($A76,'Data Vlaue (Cr)'!$C:$FB,82)</f>
        <v>-2.6499999999999999E-2</v>
      </c>
    </row>
    <row r="77" spans="1:15" x14ac:dyDescent="0.25">
      <c r="A77" s="97" t="str">
        <f>'Data Vlaue (Cr)'!C72</f>
        <v>HAL</v>
      </c>
      <c r="B77" s="142">
        <f>VLOOKUP(A77,'Data Vlaue (Cr)'!C72:CW284,99,0)</f>
        <v>10589</v>
      </c>
      <c r="C77" s="90">
        <f>VLOOKUP(A77,'Data Vlaue (Cr)'!C72:CY284,101,0)</f>
        <v>85</v>
      </c>
      <c r="D77" s="139">
        <f>VLOOKUP(A77,'Data Vlaue (Cr)'!C72:CZ284,102,0)</f>
        <v>8.0000000000000002E-3</v>
      </c>
      <c r="E77" s="91">
        <f>VLOOKUP($A77,'Data Vlaue (Cr)'!$C:$FB,75)</f>
        <v>4405</v>
      </c>
      <c r="F77" s="91">
        <f>VLOOKUP($A77,'Data Vlaue (Cr)'!$C:$FB,77)</f>
        <v>18</v>
      </c>
      <c r="G77" s="92">
        <f>VLOOKUP(A77,'Data Vlaue (Cr)'!C72:CB284,78,0)</f>
        <v>4.1000000000000003E-3</v>
      </c>
      <c r="H77" s="91">
        <f>VLOOKUP($A77,'Data Vlaue (Cr)'!$C:$FB,91)</f>
        <v>3993</v>
      </c>
      <c r="I77" s="91">
        <f>VLOOKUP($A77,'Data Vlaue (Cr)'!$C:$FB,93)</f>
        <v>58</v>
      </c>
      <c r="J77" s="92">
        <f>VLOOKUP($A77,'Data Vlaue (Cr)'!$C:$FB,94)</f>
        <v>1.49E-2</v>
      </c>
      <c r="K77" s="91">
        <f>VLOOKUP($A77,'Data Vlaue (Cr)'!$C:$FB,95)</f>
        <v>2191</v>
      </c>
      <c r="L77" s="91">
        <f>VLOOKUP($A77,'Data Vlaue (Cr)'!$C:$FB,97)</f>
        <v>8</v>
      </c>
      <c r="M77" s="92">
        <f>VLOOKUP($A77,'Data Vlaue (Cr)'!$C:$FB,98)</f>
        <v>3.8E-3</v>
      </c>
      <c r="N77" s="91">
        <f>VLOOKUP($A77,'Data Vlaue (Cr)'!$C:$FB,79)</f>
        <v>3881</v>
      </c>
      <c r="O77" s="92">
        <f>VLOOKUP($A77,'Data Vlaue (Cr)'!$C:$FB,82)</f>
        <v>6.9999999999999999E-4</v>
      </c>
    </row>
    <row r="78" spans="1:15" x14ac:dyDescent="0.25">
      <c r="A78" s="97" t="str">
        <f>'Data Vlaue (Cr)'!C73</f>
        <v>HAVELLS</v>
      </c>
      <c r="B78" s="142">
        <f>VLOOKUP(A78,'Data Vlaue (Cr)'!C73:CW285,99,0)</f>
        <v>2198</v>
      </c>
      <c r="C78" s="90">
        <f>VLOOKUP(A78,'Data Vlaue (Cr)'!C73:CY285,101,0)</f>
        <v>4</v>
      </c>
      <c r="D78" s="139">
        <f>VLOOKUP(A78,'Data Vlaue (Cr)'!C73:CZ285,102,0)</f>
        <v>1.8E-3</v>
      </c>
      <c r="E78" s="91">
        <f>VLOOKUP($A78,'Data Vlaue (Cr)'!$C:$FB,75)</f>
        <v>1457</v>
      </c>
      <c r="F78" s="91">
        <f>VLOOKUP($A78,'Data Vlaue (Cr)'!$C:$FB,77)</f>
        <v>-5</v>
      </c>
      <c r="G78" s="92">
        <f>VLOOKUP(A78,'Data Vlaue (Cr)'!C73:CB285,78,0)</f>
        <v>-3.3E-3</v>
      </c>
      <c r="H78" s="91">
        <f>VLOOKUP($A78,'Data Vlaue (Cr)'!$C:$FB,91)</f>
        <v>440</v>
      </c>
      <c r="I78" s="91">
        <f>VLOOKUP($A78,'Data Vlaue (Cr)'!$C:$FB,93)</f>
        <v>7</v>
      </c>
      <c r="J78" s="92">
        <f>VLOOKUP($A78,'Data Vlaue (Cr)'!$C:$FB,94)</f>
        <v>1.5800000000000002E-2</v>
      </c>
      <c r="K78" s="91">
        <f>VLOOKUP($A78,'Data Vlaue (Cr)'!$C:$FB,95)</f>
        <v>301</v>
      </c>
      <c r="L78" s="91">
        <f>VLOOKUP($A78,'Data Vlaue (Cr)'!$C:$FB,97)</f>
        <v>2</v>
      </c>
      <c r="M78" s="92">
        <f>VLOOKUP($A78,'Data Vlaue (Cr)'!$C:$FB,98)</f>
        <v>6.7000000000000002E-3</v>
      </c>
      <c r="N78" s="91">
        <f>VLOOKUP($A78,'Data Vlaue (Cr)'!$C:$FB,79)</f>
        <v>1416</v>
      </c>
      <c r="O78" s="92">
        <f>VLOOKUP($A78,'Data Vlaue (Cr)'!$C:$FB,82)</f>
        <v>-4.1999999999999997E-3</v>
      </c>
    </row>
    <row r="79" spans="1:15" x14ac:dyDescent="0.25">
      <c r="A79" s="97" t="str">
        <f>'Data Vlaue (Cr)'!C74</f>
        <v>HCLTECH</v>
      </c>
      <c r="B79" s="142">
        <f>VLOOKUP(A79,'Data Vlaue (Cr)'!C74:CW286,99,0)</f>
        <v>5539</v>
      </c>
      <c r="C79" s="90">
        <f>VLOOKUP(A79,'Data Vlaue (Cr)'!C74:CY286,101,0)</f>
        <v>196</v>
      </c>
      <c r="D79" s="139">
        <f>VLOOKUP(A79,'Data Vlaue (Cr)'!C74:CZ286,102,0)</f>
        <v>3.6700000000000003E-2</v>
      </c>
      <c r="E79" s="91">
        <f>VLOOKUP($A79,'Data Vlaue (Cr)'!$C:$FB,75)</f>
        <v>2953</v>
      </c>
      <c r="F79" s="91">
        <f>VLOOKUP($A79,'Data Vlaue (Cr)'!$C:$FB,77)</f>
        <v>0</v>
      </c>
      <c r="G79" s="92">
        <f>VLOOKUP(A79,'Data Vlaue (Cr)'!C74:CB286,78,0)</f>
        <v>0</v>
      </c>
      <c r="H79" s="91">
        <f>VLOOKUP($A79,'Data Vlaue (Cr)'!$C:$FB,91)</f>
        <v>1694</v>
      </c>
      <c r="I79" s="91">
        <f>VLOOKUP($A79,'Data Vlaue (Cr)'!$C:$FB,93)</f>
        <v>191</v>
      </c>
      <c r="J79" s="92">
        <f>VLOOKUP($A79,'Data Vlaue (Cr)'!$C:$FB,94)</f>
        <v>0.12740000000000001</v>
      </c>
      <c r="K79" s="91">
        <f>VLOOKUP($A79,'Data Vlaue (Cr)'!$C:$FB,95)</f>
        <v>893</v>
      </c>
      <c r="L79" s="91">
        <f>VLOOKUP($A79,'Data Vlaue (Cr)'!$C:$FB,97)</f>
        <v>5</v>
      </c>
      <c r="M79" s="92">
        <f>VLOOKUP($A79,'Data Vlaue (Cr)'!$C:$FB,98)</f>
        <v>5.5999999999999999E-3</v>
      </c>
      <c r="N79" s="91">
        <f>VLOOKUP($A79,'Data Vlaue (Cr)'!$C:$FB,79)</f>
        <v>2807</v>
      </c>
      <c r="O79" s="92">
        <f>VLOOKUP($A79,'Data Vlaue (Cr)'!$C:$FB,82)</f>
        <v>-2.5999999999999999E-3</v>
      </c>
    </row>
    <row r="80" spans="1:15" x14ac:dyDescent="0.25">
      <c r="A80" s="97" t="str">
        <f>'Data Vlaue (Cr)'!C75</f>
        <v>HDFCAMC</v>
      </c>
      <c r="B80" s="142">
        <f>VLOOKUP(A80,'Data Vlaue (Cr)'!C75:CW287,99,0)</f>
        <v>2799</v>
      </c>
      <c r="C80" s="90">
        <f>VLOOKUP(A80,'Data Vlaue (Cr)'!C75:CY287,101,0)</f>
        <v>-21</v>
      </c>
      <c r="D80" s="139">
        <f>VLOOKUP(A80,'Data Vlaue (Cr)'!C75:CZ287,102,0)</f>
        <v>-7.3000000000000001E-3</v>
      </c>
      <c r="E80" s="91">
        <f>VLOOKUP($A80,'Data Vlaue (Cr)'!$C:$FB,75)</f>
        <v>1753</v>
      </c>
      <c r="F80" s="91">
        <f>VLOOKUP($A80,'Data Vlaue (Cr)'!$C:$FB,77)</f>
        <v>-41</v>
      </c>
      <c r="G80" s="92">
        <f>VLOOKUP(A80,'Data Vlaue (Cr)'!C75:CB287,78,0)</f>
        <v>-2.2599999999999999E-2</v>
      </c>
      <c r="H80" s="91">
        <f>VLOOKUP($A80,'Data Vlaue (Cr)'!$C:$FB,91)</f>
        <v>548</v>
      </c>
      <c r="I80" s="91">
        <f>VLOOKUP($A80,'Data Vlaue (Cr)'!$C:$FB,93)</f>
        <v>9</v>
      </c>
      <c r="J80" s="92">
        <f>VLOOKUP($A80,'Data Vlaue (Cr)'!$C:$FB,94)</f>
        <v>1.7399999999999999E-2</v>
      </c>
      <c r="K80" s="91">
        <f>VLOOKUP($A80,'Data Vlaue (Cr)'!$C:$FB,95)</f>
        <v>498</v>
      </c>
      <c r="L80" s="91">
        <f>VLOOKUP($A80,'Data Vlaue (Cr)'!$C:$FB,97)</f>
        <v>11</v>
      </c>
      <c r="M80" s="92">
        <f>VLOOKUP($A80,'Data Vlaue (Cr)'!$C:$FB,98)</f>
        <v>2.18E-2</v>
      </c>
      <c r="N80" s="91">
        <f>VLOOKUP($A80,'Data Vlaue (Cr)'!$C:$FB,79)</f>
        <v>1722</v>
      </c>
      <c r="O80" s="92">
        <f>VLOOKUP($A80,'Data Vlaue (Cr)'!$C:$FB,82)</f>
        <v>-2.3599999999999999E-2</v>
      </c>
    </row>
    <row r="81" spans="1:15" x14ac:dyDescent="0.25">
      <c r="A81" s="97" t="str">
        <f>'Data Vlaue (Cr)'!C76</f>
        <v>HDFCBANK</v>
      </c>
      <c r="B81" s="142">
        <f>VLOOKUP(A81,'Data Vlaue (Cr)'!C76:CW288,99,0)</f>
        <v>33817</v>
      </c>
      <c r="C81" s="90">
        <f>VLOOKUP(A81,'Data Vlaue (Cr)'!C76:CY288,101,0)</f>
        <v>987</v>
      </c>
      <c r="D81" s="139">
        <f>VLOOKUP(A81,'Data Vlaue (Cr)'!C76:CZ288,102,0)</f>
        <v>3.0099999999999998E-2</v>
      </c>
      <c r="E81" s="91">
        <f>VLOOKUP($A81,'Data Vlaue (Cr)'!$C:$FB,75)</f>
        <v>24490</v>
      </c>
      <c r="F81" s="91">
        <f>VLOOKUP($A81,'Data Vlaue (Cr)'!$C:$FB,77)</f>
        <v>234</v>
      </c>
      <c r="G81" s="92">
        <f>VLOOKUP(A81,'Data Vlaue (Cr)'!C76:CB288,78,0)</f>
        <v>9.5999999999999992E-3</v>
      </c>
      <c r="H81" s="91">
        <f>VLOOKUP($A81,'Data Vlaue (Cr)'!$C:$FB,91)</f>
        <v>6011</v>
      </c>
      <c r="I81" s="91">
        <f>VLOOKUP($A81,'Data Vlaue (Cr)'!$C:$FB,93)</f>
        <v>590</v>
      </c>
      <c r="J81" s="92">
        <f>VLOOKUP($A81,'Data Vlaue (Cr)'!$C:$FB,94)</f>
        <v>0.1089</v>
      </c>
      <c r="K81" s="91">
        <f>VLOOKUP($A81,'Data Vlaue (Cr)'!$C:$FB,95)</f>
        <v>3316</v>
      </c>
      <c r="L81" s="91">
        <f>VLOOKUP($A81,'Data Vlaue (Cr)'!$C:$FB,97)</f>
        <v>163</v>
      </c>
      <c r="M81" s="92">
        <f>VLOOKUP($A81,'Data Vlaue (Cr)'!$C:$FB,98)</f>
        <v>5.16E-2</v>
      </c>
      <c r="N81" s="91">
        <f>VLOOKUP($A81,'Data Vlaue (Cr)'!$C:$FB,79)</f>
        <v>21593</v>
      </c>
      <c r="O81" s="92">
        <f>VLOOKUP($A81,'Data Vlaue (Cr)'!$C:$FB,82)</f>
        <v>6.1000000000000004E-3</v>
      </c>
    </row>
    <row r="82" spans="1:15" x14ac:dyDescent="0.25">
      <c r="A82" s="97" t="str">
        <f>'Data Vlaue (Cr)'!C77</f>
        <v>HDFCLIFE</v>
      </c>
      <c r="B82" s="142">
        <f>VLOOKUP(A82,'Data Vlaue (Cr)'!C77:CW289,99,0)</f>
        <v>4317</v>
      </c>
      <c r="C82" s="90">
        <f>VLOOKUP(A82,'Data Vlaue (Cr)'!C77:CY289,101,0)</f>
        <v>92</v>
      </c>
      <c r="D82" s="139">
        <f>VLOOKUP(A82,'Data Vlaue (Cr)'!C77:CZ289,102,0)</f>
        <v>2.1899999999999999E-2</v>
      </c>
      <c r="E82" s="91">
        <f>VLOOKUP($A82,'Data Vlaue (Cr)'!$C:$FB,75)</f>
        <v>2716</v>
      </c>
      <c r="F82" s="91">
        <f>VLOOKUP($A82,'Data Vlaue (Cr)'!$C:$FB,77)</f>
        <v>31</v>
      </c>
      <c r="G82" s="92">
        <f>VLOOKUP(A82,'Data Vlaue (Cr)'!C77:CB289,78,0)</f>
        <v>1.15E-2</v>
      </c>
      <c r="H82" s="91">
        <f>VLOOKUP($A82,'Data Vlaue (Cr)'!$C:$FB,91)</f>
        <v>1123</v>
      </c>
      <c r="I82" s="91">
        <f>VLOOKUP($A82,'Data Vlaue (Cr)'!$C:$FB,93)</f>
        <v>50</v>
      </c>
      <c r="J82" s="92">
        <f>VLOOKUP($A82,'Data Vlaue (Cr)'!$C:$FB,94)</f>
        <v>4.6199999999999998E-2</v>
      </c>
      <c r="K82" s="91">
        <f>VLOOKUP($A82,'Data Vlaue (Cr)'!$C:$FB,95)</f>
        <v>478</v>
      </c>
      <c r="L82" s="91">
        <f>VLOOKUP($A82,'Data Vlaue (Cr)'!$C:$FB,97)</f>
        <v>12</v>
      </c>
      <c r="M82" s="92">
        <f>VLOOKUP($A82,'Data Vlaue (Cr)'!$C:$FB,98)</f>
        <v>2.5700000000000001E-2</v>
      </c>
      <c r="N82" s="91">
        <f>VLOOKUP($A82,'Data Vlaue (Cr)'!$C:$FB,79)</f>
        <v>2583</v>
      </c>
      <c r="O82" s="92">
        <f>VLOOKUP($A82,'Data Vlaue (Cr)'!$C:$FB,82)</f>
        <v>-3.8E-3</v>
      </c>
    </row>
    <row r="83" spans="1:15" x14ac:dyDescent="0.25">
      <c r="A83" s="97" t="str">
        <f>'Data Vlaue (Cr)'!C78</f>
        <v>HEROMOTOCO</v>
      </c>
      <c r="B83" s="142">
        <f>VLOOKUP(A83,'Data Vlaue (Cr)'!C78:CW290,99,0)</f>
        <v>5083</v>
      </c>
      <c r="C83" s="90">
        <f>VLOOKUP(A83,'Data Vlaue (Cr)'!C78:CY290,101,0)</f>
        <v>-291</v>
      </c>
      <c r="D83" s="139">
        <f>VLOOKUP(A83,'Data Vlaue (Cr)'!C78:CZ290,102,0)</f>
        <v>-5.4100000000000002E-2</v>
      </c>
      <c r="E83" s="91">
        <f>VLOOKUP($A83,'Data Vlaue (Cr)'!$C:$FB,75)</f>
        <v>2132</v>
      </c>
      <c r="F83" s="91">
        <f>VLOOKUP($A83,'Data Vlaue (Cr)'!$C:$FB,77)</f>
        <v>-87</v>
      </c>
      <c r="G83" s="92">
        <f>VLOOKUP(A83,'Data Vlaue (Cr)'!C78:CB290,78,0)</f>
        <v>-3.9E-2</v>
      </c>
      <c r="H83" s="91">
        <f>VLOOKUP($A83,'Data Vlaue (Cr)'!$C:$FB,91)</f>
        <v>1828</v>
      </c>
      <c r="I83" s="91">
        <f>VLOOKUP($A83,'Data Vlaue (Cr)'!$C:$FB,93)</f>
        <v>-200</v>
      </c>
      <c r="J83" s="92">
        <f>VLOOKUP($A83,'Data Vlaue (Cr)'!$C:$FB,94)</f>
        <v>-9.8699999999999996E-2</v>
      </c>
      <c r="K83" s="91">
        <f>VLOOKUP($A83,'Data Vlaue (Cr)'!$C:$FB,95)</f>
        <v>1123</v>
      </c>
      <c r="L83" s="91">
        <f>VLOOKUP($A83,'Data Vlaue (Cr)'!$C:$FB,97)</f>
        <v>-4</v>
      </c>
      <c r="M83" s="92">
        <f>VLOOKUP($A83,'Data Vlaue (Cr)'!$C:$FB,98)</f>
        <v>-3.5999999999999999E-3</v>
      </c>
      <c r="N83" s="91">
        <f>VLOOKUP($A83,'Data Vlaue (Cr)'!$C:$FB,79)</f>
        <v>2062</v>
      </c>
      <c r="O83" s="92">
        <f>VLOOKUP($A83,'Data Vlaue (Cr)'!$C:$FB,82)</f>
        <v>-4.3700000000000003E-2</v>
      </c>
    </row>
    <row r="84" spans="1:15" x14ac:dyDescent="0.25">
      <c r="A84" s="97" t="str">
        <f>'Data Vlaue (Cr)'!C79</f>
        <v>HINDALCO</v>
      </c>
      <c r="B84" s="142">
        <f>VLOOKUP(A84,'Data Vlaue (Cr)'!C79:CW291,99,0)</f>
        <v>6792</v>
      </c>
      <c r="C84" s="90">
        <f>VLOOKUP(A84,'Data Vlaue (Cr)'!C79:CY291,101,0)</f>
        <v>288</v>
      </c>
      <c r="D84" s="139">
        <f>VLOOKUP(A84,'Data Vlaue (Cr)'!C79:CZ291,102,0)</f>
        <v>4.4299999999999999E-2</v>
      </c>
      <c r="E84" s="91">
        <f>VLOOKUP($A84,'Data Vlaue (Cr)'!$C:$FB,75)</f>
        <v>4463</v>
      </c>
      <c r="F84" s="91">
        <f>VLOOKUP($A84,'Data Vlaue (Cr)'!$C:$FB,77)</f>
        <v>72</v>
      </c>
      <c r="G84" s="92">
        <f>VLOOKUP(A84,'Data Vlaue (Cr)'!C79:CB291,78,0)</f>
        <v>1.6400000000000001E-2</v>
      </c>
      <c r="H84" s="91">
        <f>VLOOKUP($A84,'Data Vlaue (Cr)'!$C:$FB,91)</f>
        <v>1297</v>
      </c>
      <c r="I84" s="91">
        <f>VLOOKUP($A84,'Data Vlaue (Cr)'!$C:$FB,93)</f>
        <v>88</v>
      </c>
      <c r="J84" s="92">
        <f>VLOOKUP($A84,'Data Vlaue (Cr)'!$C:$FB,94)</f>
        <v>7.3099999999999998E-2</v>
      </c>
      <c r="K84" s="91">
        <f>VLOOKUP($A84,'Data Vlaue (Cr)'!$C:$FB,95)</f>
        <v>1031</v>
      </c>
      <c r="L84" s="91">
        <f>VLOOKUP($A84,'Data Vlaue (Cr)'!$C:$FB,97)</f>
        <v>127</v>
      </c>
      <c r="M84" s="92">
        <f>VLOOKUP($A84,'Data Vlaue (Cr)'!$C:$FB,98)</f>
        <v>0.1409</v>
      </c>
      <c r="N84" s="91">
        <f>VLOOKUP($A84,'Data Vlaue (Cr)'!$C:$FB,79)</f>
        <v>4188</v>
      </c>
      <c r="O84" s="92">
        <f>VLOOKUP($A84,'Data Vlaue (Cr)'!$C:$FB,82)</f>
        <v>7.1000000000000004E-3</v>
      </c>
    </row>
    <row r="85" spans="1:15" x14ac:dyDescent="0.25">
      <c r="A85" s="97" t="str">
        <f>'Data Vlaue (Cr)'!C80</f>
        <v>HINDPETRO</v>
      </c>
      <c r="B85" s="142">
        <f>VLOOKUP(A85,'Data Vlaue (Cr)'!C80:CW292,99,0)</f>
        <v>3034</v>
      </c>
      <c r="C85" s="90">
        <f>VLOOKUP(A85,'Data Vlaue (Cr)'!C80:CY292,101,0)</f>
        <v>10</v>
      </c>
      <c r="D85" s="139">
        <f>VLOOKUP(A85,'Data Vlaue (Cr)'!C80:CZ292,102,0)</f>
        <v>3.3999999999999998E-3</v>
      </c>
      <c r="E85" s="91">
        <f>VLOOKUP($A85,'Data Vlaue (Cr)'!$C:$FB,75)</f>
        <v>1800</v>
      </c>
      <c r="F85" s="91">
        <f>VLOOKUP($A85,'Data Vlaue (Cr)'!$C:$FB,77)</f>
        <v>12</v>
      </c>
      <c r="G85" s="92">
        <f>VLOOKUP(A85,'Data Vlaue (Cr)'!C80:CB292,78,0)</f>
        <v>6.4999999999999997E-3</v>
      </c>
      <c r="H85" s="91">
        <f>VLOOKUP($A85,'Data Vlaue (Cr)'!$C:$FB,91)</f>
        <v>744</v>
      </c>
      <c r="I85" s="91">
        <f>VLOOKUP($A85,'Data Vlaue (Cr)'!$C:$FB,93)</f>
        <v>4</v>
      </c>
      <c r="J85" s="92">
        <f>VLOOKUP($A85,'Data Vlaue (Cr)'!$C:$FB,94)</f>
        <v>5.3E-3</v>
      </c>
      <c r="K85" s="91">
        <f>VLOOKUP($A85,'Data Vlaue (Cr)'!$C:$FB,95)</f>
        <v>491</v>
      </c>
      <c r="L85" s="91">
        <f>VLOOKUP($A85,'Data Vlaue (Cr)'!$C:$FB,97)</f>
        <v>-5</v>
      </c>
      <c r="M85" s="92">
        <f>VLOOKUP($A85,'Data Vlaue (Cr)'!$C:$FB,98)</f>
        <v>-1.06E-2</v>
      </c>
      <c r="N85" s="91">
        <f>VLOOKUP($A85,'Data Vlaue (Cr)'!$C:$FB,79)</f>
        <v>1758</v>
      </c>
      <c r="O85" s="92">
        <f>VLOOKUP($A85,'Data Vlaue (Cr)'!$C:$FB,82)</f>
        <v>4.4999999999999997E-3</v>
      </c>
    </row>
    <row r="86" spans="1:15" x14ac:dyDescent="0.25">
      <c r="A86" s="97" t="str">
        <f>'Data Vlaue (Cr)'!C81</f>
        <v>HINDUNILVR</v>
      </c>
      <c r="B86" s="142">
        <f>VLOOKUP(A86,'Data Vlaue (Cr)'!C81:CW293,99,0)</f>
        <v>6087</v>
      </c>
      <c r="C86" s="90">
        <f>VLOOKUP(A86,'Data Vlaue (Cr)'!C81:CY293,101,0)</f>
        <v>153</v>
      </c>
      <c r="D86" s="139">
        <f>VLOOKUP(A86,'Data Vlaue (Cr)'!C81:CZ293,102,0)</f>
        <v>2.5700000000000001E-2</v>
      </c>
      <c r="E86" s="91">
        <f>VLOOKUP($A86,'Data Vlaue (Cr)'!$C:$FB,75)</f>
        <v>3692</v>
      </c>
      <c r="F86" s="91">
        <f>VLOOKUP($A86,'Data Vlaue (Cr)'!$C:$FB,77)</f>
        <v>8</v>
      </c>
      <c r="G86" s="92">
        <f>VLOOKUP(A86,'Data Vlaue (Cr)'!C81:CB293,78,0)</f>
        <v>2.2000000000000001E-3</v>
      </c>
      <c r="H86" s="91">
        <f>VLOOKUP($A86,'Data Vlaue (Cr)'!$C:$FB,91)</f>
        <v>1393</v>
      </c>
      <c r="I86" s="91">
        <f>VLOOKUP($A86,'Data Vlaue (Cr)'!$C:$FB,93)</f>
        <v>71</v>
      </c>
      <c r="J86" s="92">
        <f>VLOOKUP($A86,'Data Vlaue (Cr)'!$C:$FB,94)</f>
        <v>5.33E-2</v>
      </c>
      <c r="K86" s="91">
        <f>VLOOKUP($A86,'Data Vlaue (Cr)'!$C:$FB,95)</f>
        <v>1002</v>
      </c>
      <c r="L86" s="91">
        <f>VLOOKUP($A86,'Data Vlaue (Cr)'!$C:$FB,97)</f>
        <v>74</v>
      </c>
      <c r="M86" s="92">
        <f>VLOOKUP($A86,'Data Vlaue (Cr)'!$C:$FB,98)</f>
        <v>0.08</v>
      </c>
      <c r="N86" s="91">
        <f>VLOOKUP($A86,'Data Vlaue (Cr)'!$C:$FB,79)</f>
        <v>3583</v>
      </c>
      <c r="O86" s="92">
        <f>VLOOKUP($A86,'Data Vlaue (Cr)'!$C:$FB,82)</f>
        <v>-2.5000000000000001E-3</v>
      </c>
    </row>
    <row r="87" spans="1:15" x14ac:dyDescent="0.25">
      <c r="A87" s="97" t="str">
        <f>'Data Vlaue (Cr)'!C82</f>
        <v>HINDZINC</v>
      </c>
      <c r="B87" s="142">
        <f>VLOOKUP(A87,'Data Vlaue (Cr)'!C82:CW294,99,0)</f>
        <v>9092</v>
      </c>
      <c r="C87" s="90">
        <f>VLOOKUP(A87,'Data Vlaue (Cr)'!C82:CY294,101,0)</f>
        <v>-216</v>
      </c>
      <c r="D87" s="139">
        <f>VLOOKUP(A87,'Data Vlaue (Cr)'!C82:CZ294,102,0)</f>
        <v>-2.3300000000000001E-2</v>
      </c>
      <c r="E87" s="91">
        <f>VLOOKUP($A87,'Data Vlaue (Cr)'!$C:$FB,75)</f>
        <v>2446</v>
      </c>
      <c r="F87" s="91">
        <f>VLOOKUP($A87,'Data Vlaue (Cr)'!$C:$FB,77)</f>
        <v>-44</v>
      </c>
      <c r="G87" s="92">
        <f>VLOOKUP(A87,'Data Vlaue (Cr)'!C82:CB294,78,0)</f>
        <v>-1.7500000000000002E-2</v>
      </c>
      <c r="H87" s="91">
        <f>VLOOKUP($A87,'Data Vlaue (Cr)'!$C:$FB,91)</f>
        <v>4280</v>
      </c>
      <c r="I87" s="91">
        <f>VLOOKUP($A87,'Data Vlaue (Cr)'!$C:$FB,93)</f>
        <v>-140</v>
      </c>
      <c r="J87" s="92">
        <f>VLOOKUP($A87,'Data Vlaue (Cr)'!$C:$FB,94)</f>
        <v>-3.1699999999999999E-2</v>
      </c>
      <c r="K87" s="91">
        <f>VLOOKUP($A87,'Data Vlaue (Cr)'!$C:$FB,95)</f>
        <v>2366</v>
      </c>
      <c r="L87" s="91">
        <f>VLOOKUP($A87,'Data Vlaue (Cr)'!$C:$FB,97)</f>
        <v>-33</v>
      </c>
      <c r="M87" s="92">
        <f>VLOOKUP($A87,'Data Vlaue (Cr)'!$C:$FB,98)</f>
        <v>-1.37E-2</v>
      </c>
      <c r="N87" s="91">
        <f>VLOOKUP($A87,'Data Vlaue (Cr)'!$C:$FB,79)</f>
        <v>2199</v>
      </c>
      <c r="O87" s="92">
        <f>VLOOKUP($A87,'Data Vlaue (Cr)'!$C:$FB,82)</f>
        <v>-1.9199999999999998E-2</v>
      </c>
    </row>
    <row r="88" spans="1:15" x14ac:dyDescent="0.25">
      <c r="A88" s="97" t="str">
        <f>'Data Vlaue (Cr)'!C83</f>
        <v>HUDCO</v>
      </c>
      <c r="B88" s="142">
        <f>VLOOKUP(A88,'Data Vlaue (Cr)'!C83:CW295,99,0)</f>
        <v>1863</v>
      </c>
      <c r="C88" s="90">
        <f>VLOOKUP(A88,'Data Vlaue (Cr)'!C83:CY295,101,0)</f>
        <v>13</v>
      </c>
      <c r="D88" s="139">
        <f>VLOOKUP(A88,'Data Vlaue (Cr)'!C83:CZ295,102,0)</f>
        <v>7.1999999999999998E-3</v>
      </c>
      <c r="E88" s="91">
        <f>VLOOKUP($A88,'Data Vlaue (Cr)'!$C:$FB,75)</f>
        <v>826</v>
      </c>
      <c r="F88" s="91">
        <f>VLOOKUP($A88,'Data Vlaue (Cr)'!$C:$FB,77)</f>
        <v>18</v>
      </c>
      <c r="G88" s="92">
        <f>VLOOKUP(A88,'Data Vlaue (Cr)'!C83:CB295,78,0)</f>
        <v>2.2800000000000001E-2</v>
      </c>
      <c r="H88" s="91">
        <f>VLOOKUP($A88,'Data Vlaue (Cr)'!$C:$FB,91)</f>
        <v>657</v>
      </c>
      <c r="I88" s="91">
        <f>VLOOKUP($A88,'Data Vlaue (Cr)'!$C:$FB,93)</f>
        <v>3</v>
      </c>
      <c r="J88" s="92">
        <f>VLOOKUP($A88,'Data Vlaue (Cr)'!$C:$FB,94)</f>
        <v>4.8999999999999998E-3</v>
      </c>
      <c r="K88" s="91">
        <f>VLOOKUP($A88,'Data Vlaue (Cr)'!$C:$FB,95)</f>
        <v>380</v>
      </c>
      <c r="L88" s="91">
        <f>VLOOKUP($A88,'Data Vlaue (Cr)'!$C:$FB,97)</f>
        <v>-8</v>
      </c>
      <c r="M88" s="92">
        <f>VLOOKUP($A88,'Data Vlaue (Cr)'!$C:$FB,98)</f>
        <v>-2.1600000000000001E-2</v>
      </c>
      <c r="N88" s="91">
        <f>VLOOKUP($A88,'Data Vlaue (Cr)'!$C:$FB,79)</f>
        <v>770</v>
      </c>
      <c r="O88" s="92">
        <f>VLOOKUP($A88,'Data Vlaue (Cr)'!$C:$FB,82)</f>
        <v>1.6799999999999999E-2</v>
      </c>
    </row>
    <row r="89" spans="1:15" x14ac:dyDescent="0.25">
      <c r="A89" s="97" t="str">
        <f>'Data Vlaue (Cr)'!C84</f>
        <v>ICICIBANK</v>
      </c>
      <c r="B89" s="142">
        <f>VLOOKUP(A89,'Data Vlaue (Cr)'!C84:CW296,99,0)</f>
        <v>25922</v>
      </c>
      <c r="C89" s="90">
        <f>VLOOKUP(A89,'Data Vlaue (Cr)'!C84:CY296,101,0)</f>
        <v>294</v>
      </c>
      <c r="D89" s="139">
        <f>VLOOKUP(A89,'Data Vlaue (Cr)'!C84:CZ296,102,0)</f>
        <v>1.15E-2</v>
      </c>
      <c r="E89" s="91">
        <f>VLOOKUP($A89,'Data Vlaue (Cr)'!$C:$FB,75)</f>
        <v>17405</v>
      </c>
      <c r="F89" s="91">
        <f>VLOOKUP($A89,'Data Vlaue (Cr)'!$C:$FB,77)</f>
        <v>259</v>
      </c>
      <c r="G89" s="92">
        <f>VLOOKUP(A89,'Data Vlaue (Cr)'!C84:CB296,78,0)</f>
        <v>1.5100000000000001E-2</v>
      </c>
      <c r="H89" s="91">
        <f>VLOOKUP($A89,'Data Vlaue (Cr)'!$C:$FB,91)</f>
        <v>5156</v>
      </c>
      <c r="I89" s="91">
        <f>VLOOKUP($A89,'Data Vlaue (Cr)'!$C:$FB,93)</f>
        <v>-12</v>
      </c>
      <c r="J89" s="92">
        <f>VLOOKUP($A89,'Data Vlaue (Cr)'!$C:$FB,94)</f>
        <v>-2.3999999999999998E-3</v>
      </c>
      <c r="K89" s="91">
        <f>VLOOKUP($A89,'Data Vlaue (Cr)'!$C:$FB,95)</f>
        <v>3361</v>
      </c>
      <c r="L89" s="91">
        <f>VLOOKUP($A89,'Data Vlaue (Cr)'!$C:$FB,97)</f>
        <v>47</v>
      </c>
      <c r="M89" s="92">
        <f>VLOOKUP($A89,'Data Vlaue (Cr)'!$C:$FB,98)</f>
        <v>1.43E-2</v>
      </c>
      <c r="N89" s="91">
        <f>VLOOKUP($A89,'Data Vlaue (Cr)'!$C:$FB,79)</f>
        <v>15466</v>
      </c>
      <c r="O89" s="92">
        <f>VLOOKUP($A89,'Data Vlaue (Cr)'!$C:$FB,82)</f>
        <v>1.5299999999999999E-2</v>
      </c>
    </row>
    <row r="90" spans="1:15" x14ac:dyDescent="0.25">
      <c r="A90" s="97" t="str">
        <f>'Data Vlaue (Cr)'!C85</f>
        <v>ICICIGI</v>
      </c>
      <c r="B90" s="142">
        <f>VLOOKUP(A90,'Data Vlaue (Cr)'!C85:CW297,99,0)</f>
        <v>1586</v>
      </c>
      <c r="C90" s="90">
        <f>VLOOKUP(A90,'Data Vlaue (Cr)'!C85:CY297,101,0)</f>
        <v>56</v>
      </c>
      <c r="D90" s="139">
        <f>VLOOKUP(A90,'Data Vlaue (Cr)'!C85:CZ297,102,0)</f>
        <v>3.6900000000000002E-2</v>
      </c>
      <c r="E90" s="91">
        <f>VLOOKUP($A90,'Data Vlaue (Cr)'!$C:$FB,75)</f>
        <v>1161</v>
      </c>
      <c r="F90" s="91">
        <f>VLOOKUP($A90,'Data Vlaue (Cr)'!$C:$FB,77)</f>
        <v>34</v>
      </c>
      <c r="G90" s="92">
        <f>VLOOKUP(A90,'Data Vlaue (Cr)'!C85:CB297,78,0)</f>
        <v>3.0200000000000001E-2</v>
      </c>
      <c r="H90" s="91">
        <f>VLOOKUP($A90,'Data Vlaue (Cr)'!$C:$FB,91)</f>
        <v>207</v>
      </c>
      <c r="I90" s="91">
        <f>VLOOKUP($A90,'Data Vlaue (Cr)'!$C:$FB,93)</f>
        <v>8</v>
      </c>
      <c r="J90" s="92">
        <f>VLOOKUP($A90,'Data Vlaue (Cr)'!$C:$FB,94)</f>
        <v>3.9800000000000002E-2</v>
      </c>
      <c r="K90" s="91">
        <f>VLOOKUP($A90,'Data Vlaue (Cr)'!$C:$FB,95)</f>
        <v>217</v>
      </c>
      <c r="L90" s="91">
        <f>VLOOKUP($A90,'Data Vlaue (Cr)'!$C:$FB,97)</f>
        <v>14</v>
      </c>
      <c r="M90" s="92">
        <f>VLOOKUP($A90,'Data Vlaue (Cr)'!$C:$FB,98)</f>
        <v>7.1099999999999997E-2</v>
      </c>
      <c r="N90" s="91">
        <f>VLOOKUP($A90,'Data Vlaue (Cr)'!$C:$FB,79)</f>
        <v>1142</v>
      </c>
      <c r="O90" s="92">
        <f>VLOOKUP($A90,'Data Vlaue (Cr)'!$C:$FB,82)</f>
        <v>2.9600000000000001E-2</v>
      </c>
    </row>
    <row r="91" spans="1:15" x14ac:dyDescent="0.25">
      <c r="A91" s="97" t="str">
        <f>'Data Vlaue (Cr)'!C86</f>
        <v>ICICIPRULI</v>
      </c>
      <c r="B91" s="142">
        <f>VLOOKUP(A91,'Data Vlaue (Cr)'!C86:CW298,99,0)</f>
        <v>1334</v>
      </c>
      <c r="C91" s="90">
        <f>VLOOKUP(A91,'Data Vlaue (Cr)'!C86:CY298,101,0)</f>
        <v>-6</v>
      </c>
      <c r="D91" s="139">
        <f>VLOOKUP(A91,'Data Vlaue (Cr)'!C86:CZ298,102,0)</f>
        <v>-4.7000000000000002E-3</v>
      </c>
      <c r="E91" s="91">
        <f>VLOOKUP($A91,'Data Vlaue (Cr)'!$C:$FB,75)</f>
        <v>1002</v>
      </c>
      <c r="F91" s="91">
        <f>VLOOKUP($A91,'Data Vlaue (Cr)'!$C:$FB,77)</f>
        <v>7</v>
      </c>
      <c r="G91" s="92">
        <f>VLOOKUP(A91,'Data Vlaue (Cr)'!C86:CB298,78,0)</f>
        <v>7.3000000000000001E-3</v>
      </c>
      <c r="H91" s="91">
        <f>VLOOKUP($A91,'Data Vlaue (Cr)'!$C:$FB,91)</f>
        <v>193</v>
      </c>
      <c r="I91" s="91">
        <f>VLOOKUP($A91,'Data Vlaue (Cr)'!$C:$FB,93)</f>
        <v>-7</v>
      </c>
      <c r="J91" s="92">
        <f>VLOOKUP($A91,'Data Vlaue (Cr)'!$C:$FB,94)</f>
        <v>-3.4500000000000003E-2</v>
      </c>
      <c r="K91" s="91">
        <f>VLOOKUP($A91,'Data Vlaue (Cr)'!$C:$FB,95)</f>
        <v>139</v>
      </c>
      <c r="L91" s="91">
        <f>VLOOKUP($A91,'Data Vlaue (Cr)'!$C:$FB,97)</f>
        <v>-7</v>
      </c>
      <c r="M91" s="92">
        <f>VLOOKUP($A91,'Data Vlaue (Cr)'!$C:$FB,98)</f>
        <v>-4.5600000000000002E-2</v>
      </c>
      <c r="N91" s="91">
        <f>VLOOKUP($A91,'Data Vlaue (Cr)'!$C:$FB,79)</f>
        <v>995</v>
      </c>
      <c r="O91" s="92">
        <f>VLOOKUP($A91,'Data Vlaue (Cr)'!$C:$FB,82)</f>
        <v>6.7999999999999996E-3</v>
      </c>
    </row>
    <row r="92" spans="1:15" x14ac:dyDescent="0.25">
      <c r="A92" s="97" t="str">
        <f>'Data Vlaue (Cr)'!C87</f>
        <v>IDEA</v>
      </c>
      <c r="B92" s="142">
        <f>VLOOKUP(A92,'Data Vlaue (Cr)'!C87:CW299,99,0)</f>
        <v>11763</v>
      </c>
      <c r="C92" s="90">
        <f>VLOOKUP(A92,'Data Vlaue (Cr)'!C87:CY299,101,0)</f>
        <v>-21</v>
      </c>
      <c r="D92" s="139">
        <f>VLOOKUP(A92,'Data Vlaue (Cr)'!C87:CZ299,102,0)</f>
        <v>-1.8E-3</v>
      </c>
      <c r="E92" s="91">
        <f>VLOOKUP($A92,'Data Vlaue (Cr)'!$C:$FB,75)</f>
        <v>8458</v>
      </c>
      <c r="F92" s="91">
        <f>VLOOKUP($A92,'Data Vlaue (Cr)'!$C:$FB,77)</f>
        <v>-63</v>
      </c>
      <c r="G92" s="92">
        <f>VLOOKUP(A92,'Data Vlaue (Cr)'!C87:CB299,78,0)</f>
        <v>-7.4000000000000003E-3</v>
      </c>
      <c r="H92" s="91">
        <f>VLOOKUP($A92,'Data Vlaue (Cr)'!$C:$FB,91)</f>
        <v>2035</v>
      </c>
      <c r="I92" s="91">
        <f>VLOOKUP($A92,'Data Vlaue (Cr)'!$C:$FB,93)</f>
        <v>14</v>
      </c>
      <c r="J92" s="92">
        <f>VLOOKUP($A92,'Data Vlaue (Cr)'!$C:$FB,94)</f>
        <v>7.1000000000000004E-3</v>
      </c>
      <c r="K92" s="91">
        <f>VLOOKUP($A92,'Data Vlaue (Cr)'!$C:$FB,95)</f>
        <v>1269</v>
      </c>
      <c r="L92" s="91">
        <f>VLOOKUP($A92,'Data Vlaue (Cr)'!$C:$FB,97)</f>
        <v>28</v>
      </c>
      <c r="M92" s="92">
        <f>VLOOKUP($A92,'Data Vlaue (Cr)'!$C:$FB,98)</f>
        <v>2.2700000000000001E-2</v>
      </c>
      <c r="N92" s="91">
        <f>VLOOKUP($A92,'Data Vlaue (Cr)'!$C:$FB,79)</f>
        <v>7834</v>
      </c>
      <c r="O92" s="92">
        <f>VLOOKUP($A92,'Data Vlaue (Cr)'!$C:$FB,82)</f>
        <v>-0.02</v>
      </c>
    </row>
    <row r="93" spans="1:15" x14ac:dyDescent="0.25">
      <c r="A93" s="97" t="str">
        <f>'Data Vlaue (Cr)'!C88</f>
        <v>IDFCFIRSTB</v>
      </c>
      <c r="B93" s="142">
        <f>VLOOKUP(A93,'Data Vlaue (Cr)'!C88:CW300,99,0)</f>
        <v>4386</v>
      </c>
      <c r="C93" s="90">
        <f>VLOOKUP(A93,'Data Vlaue (Cr)'!C88:CY300,101,0)</f>
        <v>224</v>
      </c>
      <c r="D93" s="139">
        <f>VLOOKUP(A93,'Data Vlaue (Cr)'!C88:CZ300,102,0)</f>
        <v>5.3800000000000001E-2</v>
      </c>
      <c r="E93" s="91">
        <f>VLOOKUP($A93,'Data Vlaue (Cr)'!$C:$FB,75)</f>
        <v>2390</v>
      </c>
      <c r="F93" s="91">
        <f>VLOOKUP($A93,'Data Vlaue (Cr)'!$C:$FB,77)</f>
        <v>98</v>
      </c>
      <c r="G93" s="92">
        <f>VLOOKUP(A93,'Data Vlaue (Cr)'!C88:CB300,78,0)</f>
        <v>4.2799999999999998E-2</v>
      </c>
      <c r="H93" s="91">
        <f>VLOOKUP($A93,'Data Vlaue (Cr)'!$C:$FB,91)</f>
        <v>1185</v>
      </c>
      <c r="I93" s="91">
        <f>VLOOKUP($A93,'Data Vlaue (Cr)'!$C:$FB,93)</f>
        <v>92</v>
      </c>
      <c r="J93" s="92">
        <f>VLOOKUP($A93,'Data Vlaue (Cr)'!$C:$FB,94)</f>
        <v>8.4199999999999997E-2</v>
      </c>
      <c r="K93" s="91">
        <f>VLOOKUP($A93,'Data Vlaue (Cr)'!$C:$FB,95)</f>
        <v>811</v>
      </c>
      <c r="L93" s="91">
        <f>VLOOKUP($A93,'Data Vlaue (Cr)'!$C:$FB,97)</f>
        <v>34</v>
      </c>
      <c r="M93" s="92">
        <f>VLOOKUP($A93,'Data Vlaue (Cr)'!$C:$FB,98)</f>
        <v>4.3499999999999997E-2</v>
      </c>
      <c r="N93" s="91">
        <f>VLOOKUP($A93,'Data Vlaue (Cr)'!$C:$FB,79)</f>
        <v>2188</v>
      </c>
      <c r="O93" s="92">
        <f>VLOOKUP($A93,'Data Vlaue (Cr)'!$C:$FB,82)</f>
        <v>3.2599999999999997E-2</v>
      </c>
    </row>
    <row r="94" spans="1:15" x14ac:dyDescent="0.25">
      <c r="A94" s="97" t="str">
        <f>'Data Vlaue (Cr)'!C89</f>
        <v>IEX</v>
      </c>
      <c r="B94" s="142">
        <f>VLOOKUP(A94,'Data Vlaue (Cr)'!C89:CW301,99,0)</f>
        <v>2613</v>
      </c>
      <c r="C94" s="90">
        <f>VLOOKUP(A94,'Data Vlaue (Cr)'!C89:CY301,101,0)</f>
        <v>22</v>
      </c>
      <c r="D94" s="139">
        <f>VLOOKUP(A94,'Data Vlaue (Cr)'!C89:CZ301,102,0)</f>
        <v>8.6E-3</v>
      </c>
      <c r="E94" s="91">
        <f>VLOOKUP($A94,'Data Vlaue (Cr)'!$C:$FB,75)</f>
        <v>1092</v>
      </c>
      <c r="F94" s="91">
        <f>VLOOKUP($A94,'Data Vlaue (Cr)'!$C:$FB,77)</f>
        <v>-12</v>
      </c>
      <c r="G94" s="92">
        <f>VLOOKUP(A94,'Data Vlaue (Cr)'!C89:CB301,78,0)</f>
        <v>-1.1299999999999999E-2</v>
      </c>
      <c r="H94" s="91">
        <f>VLOOKUP($A94,'Data Vlaue (Cr)'!$C:$FB,91)</f>
        <v>908</v>
      </c>
      <c r="I94" s="91">
        <f>VLOOKUP($A94,'Data Vlaue (Cr)'!$C:$FB,93)</f>
        <v>30</v>
      </c>
      <c r="J94" s="92">
        <f>VLOOKUP($A94,'Data Vlaue (Cr)'!$C:$FB,94)</f>
        <v>3.3700000000000001E-2</v>
      </c>
      <c r="K94" s="91">
        <f>VLOOKUP($A94,'Data Vlaue (Cr)'!$C:$FB,95)</f>
        <v>613</v>
      </c>
      <c r="L94" s="91">
        <f>VLOOKUP($A94,'Data Vlaue (Cr)'!$C:$FB,97)</f>
        <v>5</v>
      </c>
      <c r="M94" s="92">
        <f>VLOOKUP($A94,'Data Vlaue (Cr)'!$C:$FB,98)</f>
        <v>8.6999999999999994E-3</v>
      </c>
      <c r="N94" s="91">
        <f>VLOOKUP($A94,'Data Vlaue (Cr)'!$C:$FB,79)</f>
        <v>965</v>
      </c>
      <c r="O94" s="92">
        <f>VLOOKUP($A94,'Data Vlaue (Cr)'!$C:$FB,82)</f>
        <v>-2.5600000000000001E-2</v>
      </c>
    </row>
    <row r="95" spans="1:15" x14ac:dyDescent="0.25">
      <c r="A95" s="97" t="str">
        <f>'Data Vlaue (Cr)'!C90</f>
        <v>INDHOTEL</v>
      </c>
      <c r="B95" s="142">
        <f>VLOOKUP(A95,'Data Vlaue (Cr)'!C90:CW302,99,0)</f>
        <v>3175</v>
      </c>
      <c r="C95" s="90">
        <f>VLOOKUP(A95,'Data Vlaue (Cr)'!C90:CY302,101,0)</f>
        <v>171</v>
      </c>
      <c r="D95" s="139">
        <f>VLOOKUP(A95,'Data Vlaue (Cr)'!C90:CZ302,102,0)</f>
        <v>5.6899999999999999E-2</v>
      </c>
      <c r="E95" s="91">
        <f>VLOOKUP($A95,'Data Vlaue (Cr)'!$C:$FB,75)</f>
        <v>1864</v>
      </c>
      <c r="F95" s="91">
        <f>VLOOKUP($A95,'Data Vlaue (Cr)'!$C:$FB,77)</f>
        <v>20</v>
      </c>
      <c r="G95" s="92">
        <f>VLOOKUP(A95,'Data Vlaue (Cr)'!C90:CB302,78,0)</f>
        <v>1.0999999999999999E-2</v>
      </c>
      <c r="H95" s="91">
        <f>VLOOKUP($A95,'Data Vlaue (Cr)'!$C:$FB,91)</f>
        <v>736</v>
      </c>
      <c r="I95" s="91">
        <f>VLOOKUP($A95,'Data Vlaue (Cr)'!$C:$FB,93)</f>
        <v>107</v>
      </c>
      <c r="J95" s="92">
        <f>VLOOKUP($A95,'Data Vlaue (Cr)'!$C:$FB,94)</f>
        <v>0.17030000000000001</v>
      </c>
      <c r="K95" s="91">
        <f>VLOOKUP($A95,'Data Vlaue (Cr)'!$C:$FB,95)</f>
        <v>575</v>
      </c>
      <c r="L95" s="91">
        <f>VLOOKUP($A95,'Data Vlaue (Cr)'!$C:$FB,97)</f>
        <v>44</v>
      </c>
      <c r="M95" s="92">
        <f>VLOOKUP($A95,'Data Vlaue (Cr)'!$C:$FB,98)</f>
        <v>8.2000000000000003E-2</v>
      </c>
      <c r="N95" s="91">
        <f>VLOOKUP($A95,'Data Vlaue (Cr)'!$C:$FB,79)</f>
        <v>1805</v>
      </c>
      <c r="O95" s="92">
        <f>VLOOKUP($A95,'Data Vlaue (Cr)'!$C:$FB,82)</f>
        <v>9.1999999999999998E-3</v>
      </c>
    </row>
    <row r="96" spans="1:15" x14ac:dyDescent="0.25">
      <c r="A96" s="97" t="str">
        <f>'Data Vlaue (Cr)'!C91</f>
        <v>INDIANB</v>
      </c>
      <c r="B96" s="142">
        <f>VLOOKUP(A96,'Data Vlaue (Cr)'!C91:CW303,99,0)</f>
        <v>1689</v>
      </c>
      <c r="C96" s="90">
        <f>VLOOKUP(A96,'Data Vlaue (Cr)'!C91:CY303,101,0)</f>
        <v>45</v>
      </c>
      <c r="D96" s="139">
        <f>VLOOKUP(A96,'Data Vlaue (Cr)'!C91:CZ303,102,0)</f>
        <v>2.7400000000000001E-2</v>
      </c>
      <c r="E96" s="91">
        <f>VLOOKUP($A96,'Data Vlaue (Cr)'!$C:$FB,75)</f>
        <v>819</v>
      </c>
      <c r="F96" s="91">
        <f>VLOOKUP($A96,'Data Vlaue (Cr)'!$C:$FB,77)</f>
        <v>45</v>
      </c>
      <c r="G96" s="92">
        <f>VLOOKUP(A96,'Data Vlaue (Cr)'!C91:CB303,78,0)</f>
        <v>5.8500000000000003E-2</v>
      </c>
      <c r="H96" s="91">
        <f>VLOOKUP($A96,'Data Vlaue (Cr)'!$C:$FB,91)</f>
        <v>515</v>
      </c>
      <c r="I96" s="91">
        <f>VLOOKUP($A96,'Data Vlaue (Cr)'!$C:$FB,93)</f>
        <v>-15</v>
      </c>
      <c r="J96" s="92">
        <f>VLOOKUP($A96,'Data Vlaue (Cr)'!$C:$FB,94)</f>
        <v>-2.75E-2</v>
      </c>
      <c r="K96" s="91">
        <f>VLOOKUP($A96,'Data Vlaue (Cr)'!$C:$FB,95)</f>
        <v>355</v>
      </c>
      <c r="L96" s="91">
        <f>VLOOKUP($A96,'Data Vlaue (Cr)'!$C:$FB,97)</f>
        <v>14</v>
      </c>
      <c r="M96" s="92">
        <f>VLOOKUP($A96,'Data Vlaue (Cr)'!$C:$FB,98)</f>
        <v>4.2299999999999997E-2</v>
      </c>
      <c r="N96" s="91">
        <f>VLOOKUP($A96,'Data Vlaue (Cr)'!$C:$FB,79)</f>
        <v>784</v>
      </c>
      <c r="O96" s="92">
        <f>VLOOKUP($A96,'Data Vlaue (Cr)'!$C:$FB,82)</f>
        <v>6.0600000000000001E-2</v>
      </c>
    </row>
    <row r="97" spans="1:15" x14ac:dyDescent="0.25">
      <c r="A97" s="97" t="str">
        <f>'Data Vlaue (Cr)'!C92</f>
        <v>INDIAVIX</v>
      </c>
      <c r="B97" s="142">
        <f>VLOOKUP(A97,'Data Vlaue (Cr)'!C92:CW304,99,0)</f>
        <v>0</v>
      </c>
      <c r="C97" s="90">
        <f>VLOOKUP(A97,'Data Vlaue (Cr)'!C92:CY304,101,0)</f>
        <v>0</v>
      </c>
      <c r="D97" s="139">
        <f>VLOOKUP(A97,'Data Vlaue (Cr)'!C92:CZ304,102,0)</f>
        <v>0</v>
      </c>
      <c r="E97" s="91">
        <f>VLOOKUP($A97,'Data Vlaue (Cr)'!$C:$FB,75)</f>
        <v>0</v>
      </c>
      <c r="F97" s="91">
        <f>VLOOKUP($A97,'Data Vlaue (Cr)'!$C:$FB,77)</f>
        <v>0</v>
      </c>
      <c r="G97" s="92">
        <f>VLOOKUP(A97,'Data Vlaue (Cr)'!C92:CB304,78,0)</f>
        <v>0</v>
      </c>
      <c r="H97" s="91">
        <f>VLOOKUP($A97,'Data Vlaue (Cr)'!$C:$FB,91)</f>
        <v>0</v>
      </c>
      <c r="I97" s="91">
        <f>VLOOKUP($A97,'Data Vlaue (Cr)'!$C:$FB,93)</f>
        <v>0</v>
      </c>
      <c r="J97" s="92">
        <f>VLOOKUP($A97,'Data Vlaue (Cr)'!$C:$FB,94)</f>
        <v>0</v>
      </c>
      <c r="K97" s="91">
        <f>VLOOKUP($A97,'Data Vlaue (Cr)'!$C:$FB,95)</f>
        <v>0</v>
      </c>
      <c r="L97" s="91">
        <f>VLOOKUP($A97,'Data Vlaue (Cr)'!$C:$FB,97)</f>
        <v>0</v>
      </c>
      <c r="M97" s="92">
        <f>VLOOKUP($A97,'Data Vlaue (Cr)'!$C:$FB,98)</f>
        <v>0</v>
      </c>
      <c r="N97" s="91">
        <f>VLOOKUP($A97,'Data Vlaue (Cr)'!$C:$FB,79)</f>
        <v>0</v>
      </c>
      <c r="O97" s="92">
        <f>VLOOKUP($A97,'Data Vlaue (Cr)'!$C:$FB,82)</f>
        <v>0</v>
      </c>
    </row>
    <row r="98" spans="1:15" x14ac:dyDescent="0.25">
      <c r="A98" s="97" t="str">
        <f>'Data Vlaue (Cr)'!C93</f>
        <v>INDIGO</v>
      </c>
      <c r="B98" s="142">
        <f>VLOOKUP(A98,'Data Vlaue (Cr)'!C93:CW305,99,0)</f>
        <v>7629</v>
      </c>
      <c r="C98" s="90">
        <f>VLOOKUP(A98,'Data Vlaue (Cr)'!C93:CY305,101,0)</f>
        <v>123</v>
      </c>
      <c r="D98" s="139">
        <f>VLOOKUP(A98,'Data Vlaue (Cr)'!C93:CZ305,102,0)</f>
        <v>1.6400000000000001E-2</v>
      </c>
      <c r="E98" s="91">
        <f>VLOOKUP($A98,'Data Vlaue (Cr)'!$C:$FB,75)</f>
        <v>4662</v>
      </c>
      <c r="F98" s="91">
        <f>VLOOKUP($A98,'Data Vlaue (Cr)'!$C:$FB,77)</f>
        <v>-43</v>
      </c>
      <c r="G98" s="92">
        <f>VLOOKUP(A98,'Data Vlaue (Cr)'!C93:CB305,78,0)</f>
        <v>-9.1000000000000004E-3</v>
      </c>
      <c r="H98" s="91">
        <f>VLOOKUP($A98,'Data Vlaue (Cr)'!$C:$FB,91)</f>
        <v>1601</v>
      </c>
      <c r="I98" s="91">
        <f>VLOOKUP($A98,'Data Vlaue (Cr)'!$C:$FB,93)</f>
        <v>96</v>
      </c>
      <c r="J98" s="92">
        <f>VLOOKUP($A98,'Data Vlaue (Cr)'!$C:$FB,94)</f>
        <v>6.3899999999999998E-2</v>
      </c>
      <c r="K98" s="91">
        <f>VLOOKUP($A98,'Data Vlaue (Cr)'!$C:$FB,95)</f>
        <v>1366</v>
      </c>
      <c r="L98" s="91">
        <f>VLOOKUP($A98,'Data Vlaue (Cr)'!$C:$FB,97)</f>
        <v>70</v>
      </c>
      <c r="M98" s="92">
        <f>VLOOKUP($A98,'Data Vlaue (Cr)'!$C:$FB,98)</f>
        <v>5.3800000000000001E-2</v>
      </c>
      <c r="N98" s="91">
        <f>VLOOKUP($A98,'Data Vlaue (Cr)'!$C:$FB,79)</f>
        <v>4578</v>
      </c>
      <c r="O98" s="92">
        <f>VLOOKUP($A98,'Data Vlaue (Cr)'!$C:$FB,82)</f>
        <v>-0.01</v>
      </c>
    </row>
    <row r="99" spans="1:15" x14ac:dyDescent="0.25">
      <c r="A99" s="97" t="str">
        <f>'Data Vlaue (Cr)'!C94</f>
        <v>INDUSINDBK</v>
      </c>
      <c r="B99" s="142">
        <f>VLOOKUP(A99,'Data Vlaue (Cr)'!C94:CW306,99,0)</f>
        <v>4676</v>
      </c>
      <c r="C99" s="90">
        <f>VLOOKUP(A99,'Data Vlaue (Cr)'!C94:CY306,101,0)</f>
        <v>-86</v>
      </c>
      <c r="D99" s="139">
        <f>VLOOKUP(A99,'Data Vlaue (Cr)'!C94:CZ306,102,0)</f>
        <v>-1.8100000000000002E-2</v>
      </c>
      <c r="E99" s="91">
        <f>VLOOKUP($A99,'Data Vlaue (Cr)'!$C:$FB,75)</f>
        <v>3218</v>
      </c>
      <c r="F99" s="91">
        <f>VLOOKUP($A99,'Data Vlaue (Cr)'!$C:$FB,77)</f>
        <v>-59</v>
      </c>
      <c r="G99" s="92">
        <f>VLOOKUP(A99,'Data Vlaue (Cr)'!C94:CB306,78,0)</f>
        <v>-1.7899999999999999E-2</v>
      </c>
      <c r="H99" s="91">
        <f>VLOOKUP($A99,'Data Vlaue (Cr)'!$C:$FB,91)</f>
        <v>848</v>
      </c>
      <c r="I99" s="91">
        <f>VLOOKUP($A99,'Data Vlaue (Cr)'!$C:$FB,93)</f>
        <v>-15</v>
      </c>
      <c r="J99" s="92">
        <f>VLOOKUP($A99,'Data Vlaue (Cr)'!$C:$FB,94)</f>
        <v>-1.72E-2</v>
      </c>
      <c r="K99" s="91">
        <f>VLOOKUP($A99,'Data Vlaue (Cr)'!$C:$FB,95)</f>
        <v>610</v>
      </c>
      <c r="L99" s="91">
        <f>VLOOKUP($A99,'Data Vlaue (Cr)'!$C:$FB,97)</f>
        <v>-13</v>
      </c>
      <c r="M99" s="92">
        <f>VLOOKUP($A99,'Data Vlaue (Cr)'!$C:$FB,98)</f>
        <v>-2.0400000000000001E-2</v>
      </c>
      <c r="N99" s="91">
        <f>VLOOKUP($A99,'Data Vlaue (Cr)'!$C:$FB,79)</f>
        <v>3073</v>
      </c>
      <c r="O99" s="92">
        <f>VLOOKUP($A99,'Data Vlaue (Cr)'!$C:$FB,82)</f>
        <v>-1.9400000000000001E-2</v>
      </c>
    </row>
    <row r="100" spans="1:15" x14ac:dyDescent="0.25">
      <c r="A100" s="97" t="str">
        <f>'Data Vlaue (Cr)'!C95</f>
        <v>INDUSTOWER</v>
      </c>
      <c r="B100" s="142">
        <f>VLOOKUP(A100,'Data Vlaue (Cr)'!C95:CW307,99,0)</f>
        <v>5667</v>
      </c>
      <c r="C100" s="90">
        <f>VLOOKUP(A100,'Data Vlaue (Cr)'!C95:CY307,101,0)</f>
        <v>285</v>
      </c>
      <c r="D100" s="139">
        <f>VLOOKUP(A100,'Data Vlaue (Cr)'!C95:CZ307,102,0)</f>
        <v>5.2999999999999999E-2</v>
      </c>
      <c r="E100" s="91">
        <f>VLOOKUP($A100,'Data Vlaue (Cr)'!$C:$FB,75)</f>
        <v>3956</v>
      </c>
      <c r="F100" s="91">
        <f>VLOOKUP($A100,'Data Vlaue (Cr)'!$C:$FB,77)</f>
        <v>12</v>
      </c>
      <c r="G100" s="92">
        <f>VLOOKUP(A100,'Data Vlaue (Cr)'!C95:CB307,78,0)</f>
        <v>3.0000000000000001E-3</v>
      </c>
      <c r="H100" s="91">
        <f>VLOOKUP($A100,'Data Vlaue (Cr)'!$C:$FB,91)</f>
        <v>1012</v>
      </c>
      <c r="I100" s="91">
        <f>VLOOKUP($A100,'Data Vlaue (Cr)'!$C:$FB,93)</f>
        <v>111</v>
      </c>
      <c r="J100" s="92">
        <f>VLOOKUP($A100,'Data Vlaue (Cr)'!$C:$FB,94)</f>
        <v>0.12330000000000001</v>
      </c>
      <c r="K100" s="91">
        <f>VLOOKUP($A100,'Data Vlaue (Cr)'!$C:$FB,95)</f>
        <v>699</v>
      </c>
      <c r="L100" s="91">
        <f>VLOOKUP($A100,'Data Vlaue (Cr)'!$C:$FB,97)</f>
        <v>162</v>
      </c>
      <c r="M100" s="92">
        <f>VLOOKUP($A100,'Data Vlaue (Cr)'!$C:$FB,98)</f>
        <v>0.30220000000000002</v>
      </c>
      <c r="N100" s="91">
        <f>VLOOKUP($A100,'Data Vlaue (Cr)'!$C:$FB,79)</f>
        <v>3906</v>
      </c>
      <c r="O100" s="92">
        <f>VLOOKUP($A100,'Data Vlaue (Cr)'!$C:$FB,82)</f>
        <v>2.2000000000000001E-3</v>
      </c>
    </row>
    <row r="101" spans="1:15" x14ac:dyDescent="0.25">
      <c r="A101" s="97" t="str">
        <f>'Data Vlaue (Cr)'!C96</f>
        <v>INFY</v>
      </c>
      <c r="B101" s="142">
        <f>VLOOKUP(A101,'Data Vlaue (Cr)'!C96:CW308,99,0)</f>
        <v>21984</v>
      </c>
      <c r="C101" s="90">
        <f>VLOOKUP(A101,'Data Vlaue (Cr)'!C96:CY308,101,0)</f>
        <v>307</v>
      </c>
      <c r="D101" s="139">
        <f>VLOOKUP(A101,'Data Vlaue (Cr)'!C96:CZ308,102,0)</f>
        <v>1.4200000000000001E-2</v>
      </c>
      <c r="E101" s="91">
        <f>VLOOKUP($A101,'Data Vlaue (Cr)'!$C:$FB,75)</f>
        <v>11053</v>
      </c>
      <c r="F101" s="91">
        <f>VLOOKUP($A101,'Data Vlaue (Cr)'!$C:$FB,77)</f>
        <v>-63</v>
      </c>
      <c r="G101" s="92">
        <f>VLOOKUP(A101,'Data Vlaue (Cr)'!C96:CB308,78,0)</f>
        <v>-5.7000000000000002E-3</v>
      </c>
      <c r="H101" s="91">
        <f>VLOOKUP($A101,'Data Vlaue (Cr)'!$C:$FB,91)</f>
        <v>7599</v>
      </c>
      <c r="I101" s="91">
        <f>VLOOKUP($A101,'Data Vlaue (Cr)'!$C:$FB,93)</f>
        <v>324</v>
      </c>
      <c r="J101" s="92">
        <f>VLOOKUP($A101,'Data Vlaue (Cr)'!$C:$FB,94)</f>
        <v>4.4499999999999998E-2</v>
      </c>
      <c r="K101" s="91">
        <f>VLOOKUP($A101,'Data Vlaue (Cr)'!$C:$FB,95)</f>
        <v>3331</v>
      </c>
      <c r="L101" s="91">
        <f>VLOOKUP($A101,'Data Vlaue (Cr)'!$C:$FB,97)</f>
        <v>47</v>
      </c>
      <c r="M101" s="92">
        <f>VLOOKUP($A101,'Data Vlaue (Cr)'!$C:$FB,98)</f>
        <v>1.43E-2</v>
      </c>
      <c r="N101" s="91">
        <f>VLOOKUP($A101,'Data Vlaue (Cr)'!$C:$FB,79)</f>
        <v>10231</v>
      </c>
      <c r="O101" s="92">
        <f>VLOOKUP($A101,'Data Vlaue (Cr)'!$C:$FB,82)</f>
        <v>-1.37E-2</v>
      </c>
    </row>
    <row r="102" spans="1:15" x14ac:dyDescent="0.25">
      <c r="A102" s="97" t="str">
        <f>'Data Vlaue (Cr)'!C97</f>
        <v>INOXWIND</v>
      </c>
      <c r="B102" s="142">
        <f>VLOOKUP(A102,'Data Vlaue (Cr)'!C97:CW309,99,0)</f>
        <v>1621</v>
      </c>
      <c r="C102" s="90">
        <f>VLOOKUP(A102,'Data Vlaue (Cr)'!C97:CY309,101,0)</f>
        <v>45</v>
      </c>
      <c r="D102" s="139">
        <f>VLOOKUP(A102,'Data Vlaue (Cr)'!C97:CZ309,102,0)</f>
        <v>2.87E-2</v>
      </c>
      <c r="E102" s="91">
        <f>VLOOKUP($A102,'Data Vlaue (Cr)'!$C:$FB,75)</f>
        <v>1090</v>
      </c>
      <c r="F102" s="91">
        <f>VLOOKUP($A102,'Data Vlaue (Cr)'!$C:$FB,77)</f>
        <v>8</v>
      </c>
      <c r="G102" s="92">
        <f>VLOOKUP(A102,'Data Vlaue (Cr)'!C97:CB309,78,0)</f>
        <v>7.3000000000000001E-3</v>
      </c>
      <c r="H102" s="91">
        <f>VLOOKUP($A102,'Data Vlaue (Cr)'!$C:$FB,91)</f>
        <v>317</v>
      </c>
      <c r="I102" s="91">
        <f>VLOOKUP($A102,'Data Vlaue (Cr)'!$C:$FB,93)</f>
        <v>36</v>
      </c>
      <c r="J102" s="92">
        <f>VLOOKUP($A102,'Data Vlaue (Cr)'!$C:$FB,94)</f>
        <v>0.12740000000000001</v>
      </c>
      <c r="K102" s="91">
        <f>VLOOKUP($A102,'Data Vlaue (Cr)'!$C:$FB,95)</f>
        <v>214</v>
      </c>
      <c r="L102" s="91">
        <f>VLOOKUP($A102,'Data Vlaue (Cr)'!$C:$FB,97)</f>
        <v>1</v>
      </c>
      <c r="M102" s="92">
        <f>VLOOKUP($A102,'Data Vlaue (Cr)'!$C:$FB,98)</f>
        <v>6.8999999999999999E-3</v>
      </c>
      <c r="N102" s="91">
        <f>VLOOKUP($A102,'Data Vlaue (Cr)'!$C:$FB,79)</f>
        <v>1029</v>
      </c>
      <c r="O102" s="92">
        <f>VLOOKUP($A102,'Data Vlaue (Cr)'!$C:$FB,82)</f>
        <v>5.3E-3</v>
      </c>
    </row>
    <row r="103" spans="1:15" x14ac:dyDescent="0.25">
      <c r="A103" s="97" t="str">
        <f>'Data Vlaue (Cr)'!C98</f>
        <v>IOC</v>
      </c>
      <c r="B103" s="142">
        <f>VLOOKUP(A103,'Data Vlaue (Cr)'!C98:CW310,99,0)</f>
        <v>3658</v>
      </c>
      <c r="C103" s="90">
        <f>VLOOKUP(A103,'Data Vlaue (Cr)'!C98:CY310,101,0)</f>
        <v>-162</v>
      </c>
      <c r="D103" s="139">
        <f>VLOOKUP(A103,'Data Vlaue (Cr)'!C98:CZ310,102,0)</f>
        <v>-4.24E-2</v>
      </c>
      <c r="E103" s="91">
        <f>VLOOKUP($A103,'Data Vlaue (Cr)'!$C:$FB,75)</f>
        <v>1699</v>
      </c>
      <c r="F103" s="91">
        <f>VLOOKUP($A103,'Data Vlaue (Cr)'!$C:$FB,77)</f>
        <v>-111</v>
      </c>
      <c r="G103" s="92">
        <f>VLOOKUP(A103,'Data Vlaue (Cr)'!C98:CB310,78,0)</f>
        <v>-6.13E-2</v>
      </c>
      <c r="H103" s="91">
        <f>VLOOKUP($A103,'Data Vlaue (Cr)'!$C:$FB,91)</f>
        <v>1125</v>
      </c>
      <c r="I103" s="91">
        <f>VLOOKUP($A103,'Data Vlaue (Cr)'!$C:$FB,93)</f>
        <v>-86</v>
      </c>
      <c r="J103" s="92">
        <f>VLOOKUP($A103,'Data Vlaue (Cr)'!$C:$FB,94)</f>
        <v>-7.0699999999999999E-2</v>
      </c>
      <c r="K103" s="91">
        <f>VLOOKUP($A103,'Data Vlaue (Cr)'!$C:$FB,95)</f>
        <v>833</v>
      </c>
      <c r="L103" s="91">
        <f>VLOOKUP($A103,'Data Vlaue (Cr)'!$C:$FB,97)</f>
        <v>35</v>
      </c>
      <c r="M103" s="92">
        <f>VLOOKUP($A103,'Data Vlaue (Cr)'!$C:$FB,98)</f>
        <v>4.3299999999999998E-2</v>
      </c>
      <c r="N103" s="91">
        <f>VLOOKUP($A103,'Data Vlaue (Cr)'!$C:$FB,79)</f>
        <v>1634</v>
      </c>
      <c r="O103" s="92">
        <f>VLOOKUP($A103,'Data Vlaue (Cr)'!$C:$FB,82)</f>
        <v>-6.7799999999999999E-2</v>
      </c>
    </row>
    <row r="104" spans="1:15" x14ac:dyDescent="0.25">
      <c r="A104" s="97" t="str">
        <f>'Data Vlaue (Cr)'!C99</f>
        <v>IRCTC</v>
      </c>
      <c r="B104" s="142">
        <f>VLOOKUP(A104,'Data Vlaue (Cr)'!C99:CW311,99,0)</f>
        <v>2663</v>
      </c>
      <c r="C104" s="90">
        <f>VLOOKUP(A104,'Data Vlaue (Cr)'!C99:CY311,101,0)</f>
        <v>63</v>
      </c>
      <c r="D104" s="139">
        <f>VLOOKUP(A104,'Data Vlaue (Cr)'!C99:CZ311,102,0)</f>
        <v>2.4299999999999999E-2</v>
      </c>
      <c r="E104" s="91">
        <f>VLOOKUP($A104,'Data Vlaue (Cr)'!$C:$FB,75)</f>
        <v>1150</v>
      </c>
      <c r="F104" s="91">
        <f>VLOOKUP($A104,'Data Vlaue (Cr)'!$C:$FB,77)</f>
        <v>-2</v>
      </c>
      <c r="G104" s="92">
        <f>VLOOKUP(A104,'Data Vlaue (Cr)'!C99:CB311,78,0)</f>
        <v>-2.0999999999999999E-3</v>
      </c>
      <c r="H104" s="91">
        <f>VLOOKUP($A104,'Data Vlaue (Cr)'!$C:$FB,91)</f>
        <v>940</v>
      </c>
      <c r="I104" s="91">
        <f>VLOOKUP($A104,'Data Vlaue (Cr)'!$C:$FB,93)</f>
        <v>66</v>
      </c>
      <c r="J104" s="92">
        <f>VLOOKUP($A104,'Data Vlaue (Cr)'!$C:$FB,94)</f>
        <v>7.4999999999999997E-2</v>
      </c>
      <c r="K104" s="91">
        <f>VLOOKUP($A104,'Data Vlaue (Cr)'!$C:$FB,95)</f>
        <v>572</v>
      </c>
      <c r="L104" s="91">
        <f>VLOOKUP($A104,'Data Vlaue (Cr)'!$C:$FB,97)</f>
        <v>0</v>
      </c>
      <c r="M104" s="92">
        <f>VLOOKUP($A104,'Data Vlaue (Cr)'!$C:$FB,98)</f>
        <v>0</v>
      </c>
      <c r="N104" s="91">
        <f>VLOOKUP($A104,'Data Vlaue (Cr)'!$C:$FB,79)</f>
        <v>1150</v>
      </c>
      <c r="O104" s="92">
        <f>VLOOKUP($A104,'Data Vlaue (Cr)'!$C:$FB,82)</f>
        <v>-2.0999999999999999E-3</v>
      </c>
    </row>
    <row r="105" spans="1:15" x14ac:dyDescent="0.25">
      <c r="A105" s="97" t="str">
        <f>'Data Vlaue (Cr)'!C100</f>
        <v>IREDA</v>
      </c>
      <c r="B105" s="142">
        <f>VLOOKUP(A105,'Data Vlaue (Cr)'!C100:CW312,99,0)</f>
        <v>1858</v>
      </c>
      <c r="C105" s="90">
        <f>VLOOKUP(A105,'Data Vlaue (Cr)'!C100:CY312,101,0)</f>
        <v>168</v>
      </c>
      <c r="D105" s="139">
        <f>VLOOKUP(A105,'Data Vlaue (Cr)'!C100:CZ312,102,0)</f>
        <v>9.9400000000000002E-2</v>
      </c>
      <c r="E105" s="91">
        <f>VLOOKUP($A105,'Data Vlaue (Cr)'!$C:$FB,75)</f>
        <v>1052</v>
      </c>
      <c r="F105" s="91">
        <f>VLOOKUP($A105,'Data Vlaue (Cr)'!$C:$FB,77)</f>
        <v>107</v>
      </c>
      <c r="G105" s="92">
        <f>VLOOKUP(A105,'Data Vlaue (Cr)'!C100:CB312,78,0)</f>
        <v>0.1135</v>
      </c>
      <c r="H105" s="91">
        <f>VLOOKUP($A105,'Data Vlaue (Cr)'!$C:$FB,91)</f>
        <v>528</v>
      </c>
      <c r="I105" s="91">
        <f>VLOOKUP($A105,'Data Vlaue (Cr)'!$C:$FB,93)</f>
        <v>48</v>
      </c>
      <c r="J105" s="92">
        <f>VLOOKUP($A105,'Data Vlaue (Cr)'!$C:$FB,94)</f>
        <v>0.1009</v>
      </c>
      <c r="K105" s="91">
        <f>VLOOKUP($A105,'Data Vlaue (Cr)'!$C:$FB,95)</f>
        <v>278</v>
      </c>
      <c r="L105" s="91">
        <f>VLOOKUP($A105,'Data Vlaue (Cr)'!$C:$FB,97)</f>
        <v>12</v>
      </c>
      <c r="M105" s="92">
        <f>VLOOKUP($A105,'Data Vlaue (Cr)'!$C:$FB,98)</f>
        <v>4.6300000000000001E-2</v>
      </c>
      <c r="N105" s="91">
        <f>VLOOKUP($A105,'Data Vlaue (Cr)'!$C:$FB,79)</f>
        <v>823</v>
      </c>
      <c r="O105" s="92">
        <f>VLOOKUP($A105,'Data Vlaue (Cr)'!$C:$FB,82)</f>
        <v>7.8E-2</v>
      </c>
    </row>
    <row r="106" spans="1:15" x14ac:dyDescent="0.25">
      <c r="A106" s="97" t="str">
        <f>'Data Vlaue (Cr)'!C101</f>
        <v>IRFC</v>
      </c>
      <c r="B106" s="142">
        <f>VLOOKUP(A106,'Data Vlaue (Cr)'!C101:CW313,99,0)</f>
        <v>2547</v>
      </c>
      <c r="C106" s="90">
        <f>VLOOKUP(A106,'Data Vlaue (Cr)'!C101:CY313,101,0)</f>
        <v>39</v>
      </c>
      <c r="D106" s="139">
        <f>VLOOKUP(A106,'Data Vlaue (Cr)'!C101:CZ313,102,0)</f>
        <v>1.55E-2</v>
      </c>
      <c r="E106" s="91">
        <f>VLOOKUP($A106,'Data Vlaue (Cr)'!$C:$FB,75)</f>
        <v>893</v>
      </c>
      <c r="F106" s="91">
        <f>VLOOKUP($A106,'Data Vlaue (Cr)'!$C:$FB,77)</f>
        <v>-4</v>
      </c>
      <c r="G106" s="92">
        <f>VLOOKUP(A106,'Data Vlaue (Cr)'!C101:CB313,78,0)</f>
        <v>-5.0000000000000001E-3</v>
      </c>
      <c r="H106" s="91">
        <f>VLOOKUP($A106,'Data Vlaue (Cr)'!$C:$FB,91)</f>
        <v>1195</v>
      </c>
      <c r="I106" s="91">
        <f>VLOOKUP($A106,'Data Vlaue (Cr)'!$C:$FB,93)</f>
        <v>35</v>
      </c>
      <c r="J106" s="92">
        <f>VLOOKUP($A106,'Data Vlaue (Cr)'!$C:$FB,94)</f>
        <v>2.98E-2</v>
      </c>
      <c r="K106" s="91">
        <f>VLOOKUP($A106,'Data Vlaue (Cr)'!$C:$FB,95)</f>
        <v>459</v>
      </c>
      <c r="L106" s="91">
        <f>VLOOKUP($A106,'Data Vlaue (Cr)'!$C:$FB,97)</f>
        <v>9</v>
      </c>
      <c r="M106" s="92">
        <f>VLOOKUP($A106,'Data Vlaue (Cr)'!$C:$FB,98)</f>
        <v>1.9400000000000001E-2</v>
      </c>
      <c r="N106" s="91">
        <f>VLOOKUP($A106,'Data Vlaue (Cr)'!$C:$FB,79)</f>
        <v>734</v>
      </c>
      <c r="O106" s="92">
        <f>VLOOKUP($A106,'Data Vlaue (Cr)'!$C:$FB,82)</f>
        <v>-2.3599999999999999E-2</v>
      </c>
    </row>
    <row r="107" spans="1:15" x14ac:dyDescent="0.25">
      <c r="A107" s="97" t="str">
        <f>'Data Vlaue (Cr)'!C102</f>
        <v>ITC</v>
      </c>
      <c r="B107" s="142">
        <f>VLOOKUP(A107,'Data Vlaue (Cr)'!C102:CW314,99,0)</f>
        <v>15541</v>
      </c>
      <c r="C107" s="90">
        <f>VLOOKUP(A107,'Data Vlaue (Cr)'!C102:CY314,101,0)</f>
        <v>345</v>
      </c>
      <c r="D107" s="139">
        <f>VLOOKUP(A107,'Data Vlaue (Cr)'!C102:CZ314,102,0)</f>
        <v>2.2700000000000001E-2</v>
      </c>
      <c r="E107" s="91">
        <f>VLOOKUP($A107,'Data Vlaue (Cr)'!$C:$FB,75)</f>
        <v>6419</v>
      </c>
      <c r="F107" s="91">
        <f>VLOOKUP($A107,'Data Vlaue (Cr)'!$C:$FB,77)</f>
        <v>94</v>
      </c>
      <c r="G107" s="92">
        <f>VLOOKUP(A107,'Data Vlaue (Cr)'!C102:CB314,78,0)</f>
        <v>1.4800000000000001E-2</v>
      </c>
      <c r="H107" s="91">
        <f>VLOOKUP($A107,'Data Vlaue (Cr)'!$C:$FB,91)</f>
        <v>6231</v>
      </c>
      <c r="I107" s="91">
        <f>VLOOKUP($A107,'Data Vlaue (Cr)'!$C:$FB,93)</f>
        <v>258</v>
      </c>
      <c r="J107" s="92">
        <f>VLOOKUP($A107,'Data Vlaue (Cr)'!$C:$FB,94)</f>
        <v>4.3099999999999999E-2</v>
      </c>
      <c r="K107" s="91">
        <f>VLOOKUP($A107,'Data Vlaue (Cr)'!$C:$FB,95)</f>
        <v>2891</v>
      </c>
      <c r="L107" s="91">
        <f>VLOOKUP($A107,'Data Vlaue (Cr)'!$C:$FB,97)</f>
        <v>-6</v>
      </c>
      <c r="M107" s="92">
        <f>VLOOKUP($A107,'Data Vlaue (Cr)'!$C:$FB,98)</f>
        <v>-2.0999999999999999E-3</v>
      </c>
      <c r="N107" s="91">
        <f>VLOOKUP($A107,'Data Vlaue (Cr)'!$C:$FB,79)</f>
        <v>5692</v>
      </c>
      <c r="O107" s="92">
        <f>VLOOKUP($A107,'Data Vlaue (Cr)'!$C:$FB,82)</f>
        <v>5.3E-3</v>
      </c>
    </row>
    <row r="108" spans="1:15" x14ac:dyDescent="0.25">
      <c r="A108" s="97" t="str">
        <f>'Data Vlaue (Cr)'!C103</f>
        <v>JINDALSTEL</v>
      </c>
      <c r="B108" s="142">
        <f>VLOOKUP(A108,'Data Vlaue (Cr)'!C103:CW315,99,0)</f>
        <v>2416</v>
      </c>
      <c r="C108" s="90">
        <f>VLOOKUP(A108,'Data Vlaue (Cr)'!C103:CY315,101,0)</f>
        <v>-41</v>
      </c>
      <c r="D108" s="139">
        <f>VLOOKUP(A108,'Data Vlaue (Cr)'!C103:CZ315,102,0)</f>
        <v>-1.6899999999999998E-2</v>
      </c>
      <c r="E108" s="91">
        <f>VLOOKUP($A108,'Data Vlaue (Cr)'!$C:$FB,75)</f>
        <v>1357</v>
      </c>
      <c r="F108" s="91">
        <f>VLOOKUP($A108,'Data Vlaue (Cr)'!$C:$FB,77)</f>
        <v>-28</v>
      </c>
      <c r="G108" s="92">
        <f>VLOOKUP(A108,'Data Vlaue (Cr)'!C103:CB315,78,0)</f>
        <v>-2.0500000000000001E-2</v>
      </c>
      <c r="H108" s="91">
        <f>VLOOKUP($A108,'Data Vlaue (Cr)'!$C:$FB,91)</f>
        <v>553</v>
      </c>
      <c r="I108" s="91">
        <f>VLOOKUP($A108,'Data Vlaue (Cr)'!$C:$FB,93)</f>
        <v>-12</v>
      </c>
      <c r="J108" s="92">
        <f>VLOOKUP($A108,'Data Vlaue (Cr)'!$C:$FB,94)</f>
        <v>-2.1299999999999999E-2</v>
      </c>
      <c r="K108" s="91">
        <f>VLOOKUP($A108,'Data Vlaue (Cr)'!$C:$FB,95)</f>
        <v>507</v>
      </c>
      <c r="L108" s="91">
        <f>VLOOKUP($A108,'Data Vlaue (Cr)'!$C:$FB,97)</f>
        <v>-1</v>
      </c>
      <c r="M108" s="92">
        <f>VLOOKUP($A108,'Data Vlaue (Cr)'!$C:$FB,98)</f>
        <v>-2.0999999999999999E-3</v>
      </c>
      <c r="N108" s="91">
        <f>VLOOKUP($A108,'Data Vlaue (Cr)'!$C:$FB,79)</f>
        <v>1314</v>
      </c>
      <c r="O108" s="92">
        <f>VLOOKUP($A108,'Data Vlaue (Cr)'!$C:$FB,82)</f>
        <v>-2.1999999999999999E-2</v>
      </c>
    </row>
    <row r="109" spans="1:15" x14ac:dyDescent="0.25">
      <c r="A109" s="97" t="str">
        <f>'Data Vlaue (Cr)'!C104</f>
        <v>JIOFIN</v>
      </c>
      <c r="B109" s="142">
        <f>VLOOKUP(A109,'Data Vlaue (Cr)'!C104:CW316,99,0)</f>
        <v>8123</v>
      </c>
      <c r="C109" s="90">
        <f>VLOOKUP(A109,'Data Vlaue (Cr)'!C104:CY316,101,0)</f>
        <v>-124</v>
      </c>
      <c r="D109" s="139">
        <f>VLOOKUP(A109,'Data Vlaue (Cr)'!C104:CZ316,102,0)</f>
        <v>-1.4999999999999999E-2</v>
      </c>
      <c r="E109" s="91">
        <f>VLOOKUP($A109,'Data Vlaue (Cr)'!$C:$FB,75)</f>
        <v>4583</v>
      </c>
      <c r="F109" s="91">
        <f>VLOOKUP($A109,'Data Vlaue (Cr)'!$C:$FB,77)</f>
        <v>7</v>
      </c>
      <c r="G109" s="92">
        <f>VLOOKUP(A109,'Data Vlaue (Cr)'!C104:CB316,78,0)</f>
        <v>1.6000000000000001E-3</v>
      </c>
      <c r="H109" s="91">
        <f>VLOOKUP($A109,'Data Vlaue (Cr)'!$C:$FB,91)</f>
        <v>2084</v>
      </c>
      <c r="I109" s="91">
        <f>VLOOKUP($A109,'Data Vlaue (Cr)'!$C:$FB,93)</f>
        <v>-125</v>
      </c>
      <c r="J109" s="92">
        <f>VLOOKUP($A109,'Data Vlaue (Cr)'!$C:$FB,94)</f>
        <v>-5.67E-2</v>
      </c>
      <c r="K109" s="91">
        <f>VLOOKUP($A109,'Data Vlaue (Cr)'!$C:$FB,95)</f>
        <v>1456</v>
      </c>
      <c r="L109" s="91">
        <f>VLOOKUP($A109,'Data Vlaue (Cr)'!$C:$FB,97)</f>
        <v>-6</v>
      </c>
      <c r="M109" s="92">
        <f>VLOOKUP($A109,'Data Vlaue (Cr)'!$C:$FB,98)</f>
        <v>-4.0000000000000001E-3</v>
      </c>
      <c r="N109" s="91">
        <f>VLOOKUP($A109,'Data Vlaue (Cr)'!$C:$FB,79)</f>
        <v>4171</v>
      </c>
      <c r="O109" s="92">
        <f>VLOOKUP($A109,'Data Vlaue (Cr)'!$C:$FB,82)</f>
        <v>-3.8E-3</v>
      </c>
    </row>
    <row r="110" spans="1:15" x14ac:dyDescent="0.25">
      <c r="A110" s="97" t="str">
        <f>'Data Vlaue (Cr)'!C105</f>
        <v>JSWENERGY</v>
      </c>
      <c r="B110" s="142">
        <f>VLOOKUP(A110,'Data Vlaue (Cr)'!C105:CW317,99,0)</f>
        <v>2346</v>
      </c>
      <c r="C110" s="90">
        <f>VLOOKUP(A110,'Data Vlaue (Cr)'!C105:CY317,101,0)</f>
        <v>40</v>
      </c>
      <c r="D110" s="139">
        <f>VLOOKUP(A110,'Data Vlaue (Cr)'!C105:CZ317,102,0)</f>
        <v>1.7500000000000002E-2</v>
      </c>
      <c r="E110" s="91">
        <f>VLOOKUP($A110,'Data Vlaue (Cr)'!$C:$FB,75)</f>
        <v>1626</v>
      </c>
      <c r="F110" s="91">
        <f>VLOOKUP($A110,'Data Vlaue (Cr)'!$C:$FB,77)</f>
        <v>8</v>
      </c>
      <c r="G110" s="92">
        <f>VLOOKUP(A110,'Data Vlaue (Cr)'!C105:CB317,78,0)</f>
        <v>5.1999999999999998E-3</v>
      </c>
      <c r="H110" s="91">
        <f>VLOOKUP($A110,'Data Vlaue (Cr)'!$C:$FB,91)</f>
        <v>375</v>
      </c>
      <c r="I110" s="91">
        <f>VLOOKUP($A110,'Data Vlaue (Cr)'!$C:$FB,93)</f>
        <v>26</v>
      </c>
      <c r="J110" s="92">
        <f>VLOOKUP($A110,'Data Vlaue (Cr)'!$C:$FB,94)</f>
        <v>7.4899999999999994E-2</v>
      </c>
      <c r="K110" s="91">
        <f>VLOOKUP($A110,'Data Vlaue (Cr)'!$C:$FB,95)</f>
        <v>346</v>
      </c>
      <c r="L110" s="91">
        <f>VLOOKUP($A110,'Data Vlaue (Cr)'!$C:$FB,97)</f>
        <v>6</v>
      </c>
      <c r="M110" s="92">
        <f>VLOOKUP($A110,'Data Vlaue (Cr)'!$C:$FB,98)</f>
        <v>1.6899999999999998E-2</v>
      </c>
      <c r="N110" s="91">
        <f>VLOOKUP($A110,'Data Vlaue (Cr)'!$C:$FB,79)</f>
        <v>1606</v>
      </c>
      <c r="O110" s="92">
        <f>VLOOKUP($A110,'Data Vlaue (Cr)'!$C:$FB,82)</f>
        <v>3.7000000000000002E-3</v>
      </c>
    </row>
    <row r="111" spans="1:15" x14ac:dyDescent="0.25">
      <c r="A111" s="97" t="str">
        <f>'Data Vlaue (Cr)'!C106</f>
        <v>JSWSTEEL</v>
      </c>
      <c r="B111" s="142">
        <f>VLOOKUP(A111,'Data Vlaue (Cr)'!C106:CW318,99,0)</f>
        <v>8205</v>
      </c>
      <c r="C111" s="90">
        <f>VLOOKUP(A111,'Data Vlaue (Cr)'!C106:CY318,101,0)</f>
        <v>-41</v>
      </c>
      <c r="D111" s="139">
        <f>VLOOKUP(A111,'Data Vlaue (Cr)'!C106:CZ318,102,0)</f>
        <v>-5.0000000000000001E-3</v>
      </c>
      <c r="E111" s="91">
        <f>VLOOKUP($A111,'Data Vlaue (Cr)'!$C:$FB,75)</f>
        <v>6779</v>
      </c>
      <c r="F111" s="91">
        <f>VLOOKUP($A111,'Data Vlaue (Cr)'!$C:$FB,77)</f>
        <v>-7</v>
      </c>
      <c r="G111" s="92">
        <f>VLOOKUP(A111,'Data Vlaue (Cr)'!C106:CB318,78,0)</f>
        <v>-1.1000000000000001E-3</v>
      </c>
      <c r="H111" s="91">
        <f>VLOOKUP($A111,'Data Vlaue (Cr)'!$C:$FB,91)</f>
        <v>830</v>
      </c>
      <c r="I111" s="91">
        <f>VLOOKUP($A111,'Data Vlaue (Cr)'!$C:$FB,93)</f>
        <v>-23</v>
      </c>
      <c r="J111" s="92">
        <f>VLOOKUP($A111,'Data Vlaue (Cr)'!$C:$FB,94)</f>
        <v>-2.7E-2</v>
      </c>
      <c r="K111" s="91">
        <f>VLOOKUP($A111,'Data Vlaue (Cr)'!$C:$FB,95)</f>
        <v>596</v>
      </c>
      <c r="L111" s="91">
        <f>VLOOKUP($A111,'Data Vlaue (Cr)'!$C:$FB,97)</f>
        <v>-11</v>
      </c>
      <c r="M111" s="92">
        <f>VLOOKUP($A111,'Data Vlaue (Cr)'!$C:$FB,98)</f>
        <v>-1.8200000000000001E-2</v>
      </c>
      <c r="N111" s="91">
        <f>VLOOKUP($A111,'Data Vlaue (Cr)'!$C:$FB,79)</f>
        <v>6679</v>
      </c>
      <c r="O111" s="92">
        <f>VLOOKUP($A111,'Data Vlaue (Cr)'!$C:$FB,82)</f>
        <v>-1.1999999999999999E-3</v>
      </c>
    </row>
    <row r="112" spans="1:15" x14ac:dyDescent="0.25">
      <c r="A112" s="97" t="str">
        <f>'Data Vlaue (Cr)'!C107</f>
        <v>JUBLFOOD</v>
      </c>
      <c r="B112" s="142">
        <f>VLOOKUP(A112,'Data Vlaue (Cr)'!C107:CW319,99,0)</f>
        <v>2881</v>
      </c>
      <c r="C112" s="90">
        <f>VLOOKUP(A112,'Data Vlaue (Cr)'!C107:CY319,101,0)</f>
        <v>790</v>
      </c>
      <c r="D112" s="139">
        <f>VLOOKUP(A112,'Data Vlaue (Cr)'!C107:CZ319,102,0)</f>
        <v>0.37780000000000002</v>
      </c>
      <c r="E112" s="91">
        <f>VLOOKUP($A112,'Data Vlaue (Cr)'!$C:$FB,75)</f>
        <v>1427</v>
      </c>
      <c r="F112" s="91">
        <f>VLOOKUP($A112,'Data Vlaue (Cr)'!$C:$FB,77)</f>
        <v>150</v>
      </c>
      <c r="G112" s="92">
        <f>VLOOKUP(A112,'Data Vlaue (Cr)'!C107:CB319,78,0)</f>
        <v>0.1172</v>
      </c>
      <c r="H112" s="91">
        <f>VLOOKUP($A112,'Data Vlaue (Cr)'!$C:$FB,91)</f>
        <v>974</v>
      </c>
      <c r="I112" s="91">
        <f>VLOOKUP($A112,'Data Vlaue (Cr)'!$C:$FB,93)</f>
        <v>514</v>
      </c>
      <c r="J112" s="92">
        <f>VLOOKUP($A112,'Data Vlaue (Cr)'!$C:$FB,94)</f>
        <v>1.1154999999999999</v>
      </c>
      <c r="K112" s="91">
        <f>VLOOKUP($A112,'Data Vlaue (Cr)'!$C:$FB,95)</f>
        <v>480</v>
      </c>
      <c r="L112" s="91">
        <f>VLOOKUP($A112,'Data Vlaue (Cr)'!$C:$FB,97)</f>
        <v>126</v>
      </c>
      <c r="M112" s="92">
        <f>VLOOKUP($A112,'Data Vlaue (Cr)'!$C:$FB,98)</f>
        <v>0.35799999999999998</v>
      </c>
      <c r="N112" s="91">
        <f>VLOOKUP($A112,'Data Vlaue (Cr)'!$C:$FB,79)</f>
        <v>1269</v>
      </c>
      <c r="O112" s="92">
        <f>VLOOKUP($A112,'Data Vlaue (Cr)'!$C:$FB,82)</f>
        <v>8.4599999999999995E-2</v>
      </c>
    </row>
    <row r="113" spans="1:15" x14ac:dyDescent="0.25">
      <c r="A113" s="97" t="str">
        <f>'Data Vlaue (Cr)'!C108</f>
        <v>KALYANKJIL</v>
      </c>
      <c r="B113" s="142">
        <f>VLOOKUP(A113,'Data Vlaue (Cr)'!C108:CW320,99,0)</f>
        <v>3159</v>
      </c>
      <c r="C113" s="90">
        <f>VLOOKUP(A113,'Data Vlaue (Cr)'!C108:CY320,101,0)</f>
        <v>-137</v>
      </c>
      <c r="D113" s="139">
        <f>VLOOKUP(A113,'Data Vlaue (Cr)'!C108:CZ320,102,0)</f>
        <v>-4.1399999999999999E-2</v>
      </c>
      <c r="E113" s="91">
        <f>VLOOKUP($A113,'Data Vlaue (Cr)'!$C:$FB,75)</f>
        <v>1407</v>
      </c>
      <c r="F113" s="91">
        <f>VLOOKUP($A113,'Data Vlaue (Cr)'!$C:$FB,77)</f>
        <v>-25</v>
      </c>
      <c r="G113" s="92">
        <f>VLOOKUP(A113,'Data Vlaue (Cr)'!C108:CB320,78,0)</f>
        <v>-1.7399999999999999E-2</v>
      </c>
      <c r="H113" s="91">
        <f>VLOOKUP($A113,'Data Vlaue (Cr)'!$C:$FB,91)</f>
        <v>975</v>
      </c>
      <c r="I113" s="91">
        <f>VLOOKUP($A113,'Data Vlaue (Cr)'!$C:$FB,93)</f>
        <v>-70</v>
      </c>
      <c r="J113" s="92">
        <f>VLOOKUP($A113,'Data Vlaue (Cr)'!$C:$FB,94)</f>
        <v>-6.6699999999999995E-2</v>
      </c>
      <c r="K113" s="91">
        <f>VLOOKUP($A113,'Data Vlaue (Cr)'!$C:$FB,95)</f>
        <v>777</v>
      </c>
      <c r="L113" s="91">
        <f>VLOOKUP($A113,'Data Vlaue (Cr)'!$C:$FB,97)</f>
        <v>-42</v>
      </c>
      <c r="M113" s="92">
        <f>VLOOKUP($A113,'Data Vlaue (Cr)'!$C:$FB,98)</f>
        <v>-5.11E-2</v>
      </c>
      <c r="N113" s="91">
        <f>VLOOKUP($A113,'Data Vlaue (Cr)'!$C:$FB,79)</f>
        <v>1310</v>
      </c>
      <c r="O113" s="92">
        <f>VLOOKUP($A113,'Data Vlaue (Cr)'!$C:$FB,82)</f>
        <v>-2.0199999999999999E-2</v>
      </c>
    </row>
    <row r="114" spans="1:15" x14ac:dyDescent="0.25">
      <c r="A114" s="97" t="str">
        <f>'Data Vlaue (Cr)'!C109</f>
        <v>KAYNES</v>
      </c>
      <c r="B114" s="142">
        <f>VLOOKUP(A114,'Data Vlaue (Cr)'!C109:CW321,99,0)</f>
        <v>3634</v>
      </c>
      <c r="C114" s="90">
        <f>VLOOKUP(A114,'Data Vlaue (Cr)'!C109:CY321,101,0)</f>
        <v>248</v>
      </c>
      <c r="D114" s="139">
        <f>VLOOKUP(A114,'Data Vlaue (Cr)'!C109:CZ321,102,0)</f>
        <v>7.3200000000000001E-2</v>
      </c>
      <c r="E114" s="91">
        <f>VLOOKUP($A114,'Data Vlaue (Cr)'!$C:$FB,75)</f>
        <v>1723</v>
      </c>
      <c r="F114" s="91">
        <f>VLOOKUP($A114,'Data Vlaue (Cr)'!$C:$FB,77)</f>
        <v>-11</v>
      </c>
      <c r="G114" s="92">
        <f>VLOOKUP(A114,'Data Vlaue (Cr)'!C109:CB321,78,0)</f>
        <v>-6.4999999999999997E-3</v>
      </c>
      <c r="H114" s="91">
        <f>VLOOKUP($A114,'Data Vlaue (Cr)'!$C:$FB,91)</f>
        <v>1014</v>
      </c>
      <c r="I114" s="91">
        <f>VLOOKUP($A114,'Data Vlaue (Cr)'!$C:$FB,93)</f>
        <v>174</v>
      </c>
      <c r="J114" s="92">
        <f>VLOOKUP($A114,'Data Vlaue (Cr)'!$C:$FB,94)</f>
        <v>0.20780000000000001</v>
      </c>
      <c r="K114" s="91">
        <f>VLOOKUP($A114,'Data Vlaue (Cr)'!$C:$FB,95)</f>
        <v>898</v>
      </c>
      <c r="L114" s="91">
        <f>VLOOKUP($A114,'Data Vlaue (Cr)'!$C:$FB,97)</f>
        <v>85</v>
      </c>
      <c r="M114" s="92">
        <f>VLOOKUP($A114,'Data Vlaue (Cr)'!$C:$FB,98)</f>
        <v>0.1043</v>
      </c>
      <c r="N114" s="91">
        <f>VLOOKUP($A114,'Data Vlaue (Cr)'!$C:$FB,79)</f>
        <v>1575</v>
      </c>
      <c r="O114" s="92">
        <f>VLOOKUP($A114,'Data Vlaue (Cr)'!$C:$FB,82)</f>
        <v>-1.6799999999999999E-2</v>
      </c>
    </row>
    <row r="115" spans="1:15" x14ac:dyDescent="0.25">
      <c r="A115" s="97" t="str">
        <f>'Data Vlaue (Cr)'!C110</f>
        <v>KEI</v>
      </c>
      <c r="B115" s="142">
        <f>VLOOKUP(A115,'Data Vlaue (Cr)'!C110:CW322,99,0)</f>
        <v>1385</v>
      </c>
      <c r="C115" s="90">
        <f>VLOOKUP(A115,'Data Vlaue (Cr)'!C110:CY322,101,0)</f>
        <v>12</v>
      </c>
      <c r="D115" s="139">
        <f>VLOOKUP(A115,'Data Vlaue (Cr)'!C110:CZ322,102,0)</f>
        <v>8.5000000000000006E-3</v>
      </c>
      <c r="E115" s="91">
        <f>VLOOKUP($A115,'Data Vlaue (Cr)'!$C:$FB,75)</f>
        <v>863</v>
      </c>
      <c r="F115" s="91">
        <f>VLOOKUP($A115,'Data Vlaue (Cr)'!$C:$FB,77)</f>
        <v>20</v>
      </c>
      <c r="G115" s="92">
        <f>VLOOKUP(A115,'Data Vlaue (Cr)'!C110:CB322,78,0)</f>
        <v>2.3699999999999999E-2</v>
      </c>
      <c r="H115" s="91">
        <f>VLOOKUP($A115,'Data Vlaue (Cr)'!$C:$FB,91)</f>
        <v>268</v>
      </c>
      <c r="I115" s="91">
        <f>VLOOKUP($A115,'Data Vlaue (Cr)'!$C:$FB,93)</f>
        <v>-12</v>
      </c>
      <c r="J115" s="92">
        <f>VLOOKUP($A115,'Data Vlaue (Cr)'!$C:$FB,94)</f>
        <v>-4.19E-2</v>
      </c>
      <c r="K115" s="91">
        <f>VLOOKUP($A115,'Data Vlaue (Cr)'!$C:$FB,95)</f>
        <v>253</v>
      </c>
      <c r="L115" s="91">
        <f>VLOOKUP($A115,'Data Vlaue (Cr)'!$C:$FB,97)</f>
        <v>3</v>
      </c>
      <c r="M115" s="92">
        <f>VLOOKUP($A115,'Data Vlaue (Cr)'!$C:$FB,98)</f>
        <v>1.3899999999999999E-2</v>
      </c>
      <c r="N115" s="91">
        <f>VLOOKUP($A115,'Data Vlaue (Cr)'!$C:$FB,79)</f>
        <v>753</v>
      </c>
      <c r="O115" s="92">
        <f>VLOOKUP($A115,'Data Vlaue (Cr)'!$C:$FB,82)</f>
        <v>1.8599999999999998E-2</v>
      </c>
    </row>
    <row r="116" spans="1:15" x14ac:dyDescent="0.25">
      <c r="A116" s="97" t="str">
        <f>'Data Vlaue (Cr)'!C111</f>
        <v>KFINTECH</v>
      </c>
      <c r="B116" s="142">
        <f>VLOOKUP(A116,'Data Vlaue (Cr)'!C111:CW323,99,0)</f>
        <v>910</v>
      </c>
      <c r="C116" s="90">
        <f>VLOOKUP(A116,'Data Vlaue (Cr)'!C111:CY323,101,0)</f>
        <v>54</v>
      </c>
      <c r="D116" s="139">
        <f>VLOOKUP(A116,'Data Vlaue (Cr)'!C111:CZ323,102,0)</f>
        <v>6.2600000000000003E-2</v>
      </c>
      <c r="E116" s="91">
        <f>VLOOKUP($A116,'Data Vlaue (Cr)'!$C:$FB,75)</f>
        <v>650</v>
      </c>
      <c r="F116" s="91">
        <f>VLOOKUP($A116,'Data Vlaue (Cr)'!$C:$FB,77)</f>
        <v>29</v>
      </c>
      <c r="G116" s="92">
        <f>VLOOKUP(A116,'Data Vlaue (Cr)'!C111:CB323,78,0)</f>
        <v>4.6300000000000001E-2</v>
      </c>
      <c r="H116" s="91">
        <f>VLOOKUP($A116,'Data Vlaue (Cr)'!$C:$FB,91)</f>
        <v>148</v>
      </c>
      <c r="I116" s="91">
        <f>VLOOKUP($A116,'Data Vlaue (Cr)'!$C:$FB,93)</f>
        <v>14</v>
      </c>
      <c r="J116" s="92">
        <f>VLOOKUP($A116,'Data Vlaue (Cr)'!$C:$FB,94)</f>
        <v>0.1053</v>
      </c>
      <c r="K116" s="91">
        <f>VLOOKUP($A116,'Data Vlaue (Cr)'!$C:$FB,95)</f>
        <v>112</v>
      </c>
      <c r="L116" s="91">
        <f>VLOOKUP($A116,'Data Vlaue (Cr)'!$C:$FB,97)</f>
        <v>11</v>
      </c>
      <c r="M116" s="92">
        <f>VLOOKUP($A116,'Data Vlaue (Cr)'!$C:$FB,98)</f>
        <v>0.1062</v>
      </c>
      <c r="N116" s="91">
        <f>VLOOKUP($A116,'Data Vlaue (Cr)'!$C:$FB,79)</f>
        <v>496</v>
      </c>
      <c r="O116" s="92">
        <f>VLOOKUP($A116,'Data Vlaue (Cr)'!$C:$FB,82)</f>
        <v>3.2899999999999999E-2</v>
      </c>
    </row>
    <row r="117" spans="1:15" x14ac:dyDescent="0.25">
      <c r="A117" s="97" t="str">
        <f>'Data Vlaue (Cr)'!C112</f>
        <v>KOTAKBANK</v>
      </c>
      <c r="B117" s="142">
        <f>VLOOKUP(A117,'Data Vlaue (Cr)'!C112:CW324,99,0)</f>
        <v>11816</v>
      </c>
      <c r="C117" s="90">
        <f>VLOOKUP(A117,'Data Vlaue (Cr)'!C112:CY324,101,0)</f>
        <v>-180</v>
      </c>
      <c r="D117" s="139">
        <f>VLOOKUP(A117,'Data Vlaue (Cr)'!C112:CZ324,102,0)</f>
        <v>-1.4999999999999999E-2</v>
      </c>
      <c r="E117" s="91">
        <f>VLOOKUP($A117,'Data Vlaue (Cr)'!$C:$FB,75)</f>
        <v>8679</v>
      </c>
      <c r="F117" s="91">
        <f>VLOOKUP($A117,'Data Vlaue (Cr)'!$C:$FB,77)</f>
        <v>-131</v>
      </c>
      <c r="G117" s="92">
        <f>VLOOKUP(A117,'Data Vlaue (Cr)'!C112:CB324,78,0)</f>
        <v>-1.49E-2</v>
      </c>
      <c r="H117" s="91">
        <f>VLOOKUP($A117,'Data Vlaue (Cr)'!$C:$FB,91)</f>
        <v>1594</v>
      </c>
      <c r="I117" s="91">
        <f>VLOOKUP($A117,'Data Vlaue (Cr)'!$C:$FB,93)</f>
        <v>-11</v>
      </c>
      <c r="J117" s="92">
        <f>VLOOKUP($A117,'Data Vlaue (Cr)'!$C:$FB,94)</f>
        <v>-7.1000000000000004E-3</v>
      </c>
      <c r="K117" s="91">
        <f>VLOOKUP($A117,'Data Vlaue (Cr)'!$C:$FB,95)</f>
        <v>1544</v>
      </c>
      <c r="L117" s="91">
        <f>VLOOKUP($A117,'Data Vlaue (Cr)'!$C:$FB,97)</f>
        <v>-37</v>
      </c>
      <c r="M117" s="92">
        <f>VLOOKUP($A117,'Data Vlaue (Cr)'!$C:$FB,98)</f>
        <v>-2.3599999999999999E-2</v>
      </c>
      <c r="N117" s="91">
        <f>VLOOKUP($A117,'Data Vlaue (Cr)'!$C:$FB,79)</f>
        <v>8004</v>
      </c>
      <c r="O117" s="92">
        <f>VLOOKUP($A117,'Data Vlaue (Cr)'!$C:$FB,82)</f>
        <v>-1.66E-2</v>
      </c>
    </row>
    <row r="118" spans="1:15" x14ac:dyDescent="0.25">
      <c r="A118" s="97" t="str">
        <f>'Data Vlaue (Cr)'!C113</f>
        <v>KPITTECH</v>
      </c>
      <c r="B118" s="142">
        <f>VLOOKUP(A118,'Data Vlaue (Cr)'!C113:CW325,99,0)</f>
        <v>1247</v>
      </c>
      <c r="C118" s="90">
        <f>VLOOKUP(A118,'Data Vlaue (Cr)'!C113:CY325,101,0)</f>
        <v>36</v>
      </c>
      <c r="D118" s="139">
        <f>VLOOKUP(A118,'Data Vlaue (Cr)'!C113:CZ325,102,0)</f>
        <v>2.9600000000000001E-2</v>
      </c>
      <c r="E118" s="91">
        <f>VLOOKUP($A118,'Data Vlaue (Cr)'!$C:$FB,75)</f>
        <v>454</v>
      </c>
      <c r="F118" s="91">
        <f>VLOOKUP($A118,'Data Vlaue (Cr)'!$C:$FB,77)</f>
        <v>13</v>
      </c>
      <c r="G118" s="92">
        <f>VLOOKUP(A118,'Data Vlaue (Cr)'!C113:CB325,78,0)</f>
        <v>3.0300000000000001E-2</v>
      </c>
      <c r="H118" s="91">
        <f>VLOOKUP($A118,'Data Vlaue (Cr)'!$C:$FB,91)</f>
        <v>562</v>
      </c>
      <c r="I118" s="91">
        <f>VLOOKUP($A118,'Data Vlaue (Cr)'!$C:$FB,93)</f>
        <v>9</v>
      </c>
      <c r="J118" s="92">
        <f>VLOOKUP($A118,'Data Vlaue (Cr)'!$C:$FB,94)</f>
        <v>1.6899999999999998E-2</v>
      </c>
      <c r="K118" s="91">
        <f>VLOOKUP($A118,'Data Vlaue (Cr)'!$C:$FB,95)</f>
        <v>230</v>
      </c>
      <c r="L118" s="91">
        <f>VLOOKUP($A118,'Data Vlaue (Cr)'!$C:$FB,97)</f>
        <v>13</v>
      </c>
      <c r="M118" s="92">
        <f>VLOOKUP($A118,'Data Vlaue (Cr)'!$C:$FB,98)</f>
        <v>6.0600000000000001E-2</v>
      </c>
      <c r="N118" s="91">
        <f>VLOOKUP($A118,'Data Vlaue (Cr)'!$C:$FB,79)</f>
        <v>389</v>
      </c>
      <c r="O118" s="92">
        <f>VLOOKUP($A118,'Data Vlaue (Cr)'!$C:$FB,82)</f>
        <v>2.3E-2</v>
      </c>
    </row>
    <row r="119" spans="1:15" x14ac:dyDescent="0.25">
      <c r="A119" s="97" t="str">
        <f>'Data Vlaue (Cr)'!C114</f>
        <v>LAURUSLABS</v>
      </c>
      <c r="B119" s="142">
        <f>VLOOKUP(A119,'Data Vlaue (Cr)'!C114:CW326,99,0)</f>
        <v>3905</v>
      </c>
      <c r="C119" s="90">
        <f>VLOOKUP(A119,'Data Vlaue (Cr)'!C114:CY326,101,0)</f>
        <v>87</v>
      </c>
      <c r="D119" s="139">
        <f>VLOOKUP(A119,'Data Vlaue (Cr)'!C114:CZ326,102,0)</f>
        <v>2.2800000000000001E-2</v>
      </c>
      <c r="E119" s="91">
        <f>VLOOKUP($A119,'Data Vlaue (Cr)'!$C:$FB,75)</f>
        <v>2068</v>
      </c>
      <c r="F119" s="91">
        <f>VLOOKUP($A119,'Data Vlaue (Cr)'!$C:$FB,77)</f>
        <v>39</v>
      </c>
      <c r="G119" s="92">
        <f>VLOOKUP(A119,'Data Vlaue (Cr)'!C114:CB326,78,0)</f>
        <v>1.9099999999999999E-2</v>
      </c>
      <c r="H119" s="91">
        <f>VLOOKUP($A119,'Data Vlaue (Cr)'!$C:$FB,91)</f>
        <v>1219</v>
      </c>
      <c r="I119" s="91">
        <f>VLOOKUP($A119,'Data Vlaue (Cr)'!$C:$FB,93)</f>
        <v>15</v>
      </c>
      <c r="J119" s="92">
        <f>VLOOKUP($A119,'Data Vlaue (Cr)'!$C:$FB,94)</f>
        <v>1.24E-2</v>
      </c>
      <c r="K119" s="91">
        <f>VLOOKUP($A119,'Data Vlaue (Cr)'!$C:$FB,95)</f>
        <v>618</v>
      </c>
      <c r="L119" s="91">
        <f>VLOOKUP($A119,'Data Vlaue (Cr)'!$C:$FB,97)</f>
        <v>33</v>
      </c>
      <c r="M119" s="92">
        <f>VLOOKUP($A119,'Data Vlaue (Cr)'!$C:$FB,98)</f>
        <v>5.6899999999999999E-2</v>
      </c>
      <c r="N119" s="91">
        <f>VLOOKUP($A119,'Data Vlaue (Cr)'!$C:$FB,79)</f>
        <v>1972</v>
      </c>
      <c r="O119" s="92">
        <f>VLOOKUP($A119,'Data Vlaue (Cr)'!$C:$FB,82)</f>
        <v>9.5999999999999992E-3</v>
      </c>
    </row>
    <row r="120" spans="1:15" x14ac:dyDescent="0.25">
      <c r="A120" s="97" t="str">
        <f>'Data Vlaue (Cr)'!C115</f>
        <v>LICHSGFIN</v>
      </c>
      <c r="B120" s="142">
        <f>VLOOKUP(A120,'Data Vlaue (Cr)'!C115:CW327,99,0)</f>
        <v>2777</v>
      </c>
      <c r="C120" s="90">
        <f>VLOOKUP(A120,'Data Vlaue (Cr)'!C115:CY327,101,0)</f>
        <v>22</v>
      </c>
      <c r="D120" s="139">
        <f>VLOOKUP(A120,'Data Vlaue (Cr)'!C115:CZ327,102,0)</f>
        <v>8.2000000000000007E-3</v>
      </c>
      <c r="E120" s="91">
        <f>VLOOKUP($A120,'Data Vlaue (Cr)'!$C:$FB,75)</f>
        <v>1780</v>
      </c>
      <c r="F120" s="91">
        <f>VLOOKUP($A120,'Data Vlaue (Cr)'!$C:$FB,77)</f>
        <v>-7</v>
      </c>
      <c r="G120" s="92">
        <f>VLOOKUP(A120,'Data Vlaue (Cr)'!C115:CB327,78,0)</f>
        <v>-3.7000000000000002E-3</v>
      </c>
      <c r="H120" s="91">
        <f>VLOOKUP($A120,'Data Vlaue (Cr)'!$C:$FB,91)</f>
        <v>561</v>
      </c>
      <c r="I120" s="91">
        <f>VLOOKUP($A120,'Data Vlaue (Cr)'!$C:$FB,93)</f>
        <v>21</v>
      </c>
      <c r="J120" s="92">
        <f>VLOOKUP($A120,'Data Vlaue (Cr)'!$C:$FB,94)</f>
        <v>3.9E-2</v>
      </c>
      <c r="K120" s="91">
        <f>VLOOKUP($A120,'Data Vlaue (Cr)'!$C:$FB,95)</f>
        <v>437</v>
      </c>
      <c r="L120" s="91">
        <f>VLOOKUP($A120,'Data Vlaue (Cr)'!$C:$FB,97)</f>
        <v>8</v>
      </c>
      <c r="M120" s="92">
        <f>VLOOKUP($A120,'Data Vlaue (Cr)'!$C:$FB,98)</f>
        <v>1.89E-2</v>
      </c>
      <c r="N120" s="91">
        <f>VLOOKUP($A120,'Data Vlaue (Cr)'!$C:$FB,79)</f>
        <v>1679</v>
      </c>
      <c r="O120" s="92">
        <f>VLOOKUP($A120,'Data Vlaue (Cr)'!$C:$FB,82)</f>
        <v>-1.34E-2</v>
      </c>
    </row>
    <row r="121" spans="1:15" x14ac:dyDescent="0.25">
      <c r="A121" s="97" t="str">
        <f>'Data Vlaue (Cr)'!C116</f>
        <v>LICI</v>
      </c>
      <c r="B121" s="142">
        <f>VLOOKUP(A121,'Data Vlaue (Cr)'!C116:CW328,99,0)</f>
        <v>2646</v>
      </c>
      <c r="C121" s="90">
        <f>VLOOKUP(A121,'Data Vlaue (Cr)'!C116:CY328,101,0)</f>
        <v>53</v>
      </c>
      <c r="D121" s="139">
        <f>VLOOKUP(A121,'Data Vlaue (Cr)'!C116:CZ328,102,0)</f>
        <v>2.0500000000000001E-2</v>
      </c>
      <c r="E121" s="91">
        <f>VLOOKUP($A121,'Data Vlaue (Cr)'!$C:$FB,75)</f>
        <v>1090</v>
      </c>
      <c r="F121" s="91">
        <f>VLOOKUP($A121,'Data Vlaue (Cr)'!$C:$FB,77)</f>
        <v>56</v>
      </c>
      <c r="G121" s="92">
        <f>VLOOKUP(A121,'Data Vlaue (Cr)'!C116:CB328,78,0)</f>
        <v>5.4399999999999997E-2</v>
      </c>
      <c r="H121" s="91">
        <f>VLOOKUP($A121,'Data Vlaue (Cr)'!$C:$FB,91)</f>
        <v>1055</v>
      </c>
      <c r="I121" s="91">
        <f>VLOOKUP($A121,'Data Vlaue (Cr)'!$C:$FB,93)</f>
        <v>44</v>
      </c>
      <c r="J121" s="92">
        <f>VLOOKUP($A121,'Data Vlaue (Cr)'!$C:$FB,94)</f>
        <v>4.3200000000000002E-2</v>
      </c>
      <c r="K121" s="91">
        <f>VLOOKUP($A121,'Data Vlaue (Cr)'!$C:$FB,95)</f>
        <v>500</v>
      </c>
      <c r="L121" s="91">
        <f>VLOOKUP($A121,'Data Vlaue (Cr)'!$C:$FB,97)</f>
        <v>-47</v>
      </c>
      <c r="M121" s="92">
        <f>VLOOKUP($A121,'Data Vlaue (Cr)'!$C:$FB,98)</f>
        <v>-8.5400000000000004E-2</v>
      </c>
      <c r="N121" s="91">
        <f>VLOOKUP($A121,'Data Vlaue (Cr)'!$C:$FB,79)</f>
        <v>1009</v>
      </c>
      <c r="O121" s="92">
        <f>VLOOKUP($A121,'Data Vlaue (Cr)'!$C:$FB,82)</f>
        <v>4.3200000000000002E-2</v>
      </c>
    </row>
    <row r="122" spans="1:15" x14ac:dyDescent="0.25">
      <c r="A122" s="97" t="str">
        <f>'Data Vlaue (Cr)'!C117</f>
        <v>LODHA</v>
      </c>
      <c r="B122" s="142">
        <f>VLOOKUP(A122,'Data Vlaue (Cr)'!C117:CW329,99,0)</f>
        <v>1635</v>
      </c>
      <c r="C122" s="90">
        <f>VLOOKUP(A122,'Data Vlaue (Cr)'!C117:CY329,101,0)</f>
        <v>-3</v>
      </c>
      <c r="D122" s="139">
        <f>VLOOKUP(A122,'Data Vlaue (Cr)'!C117:CZ329,102,0)</f>
        <v>-2.0999999999999999E-3</v>
      </c>
      <c r="E122" s="91">
        <f>VLOOKUP($A122,'Data Vlaue (Cr)'!$C:$FB,75)</f>
        <v>974</v>
      </c>
      <c r="F122" s="91">
        <f>VLOOKUP($A122,'Data Vlaue (Cr)'!$C:$FB,77)</f>
        <v>-5</v>
      </c>
      <c r="G122" s="92">
        <f>VLOOKUP(A122,'Data Vlaue (Cr)'!C117:CB329,78,0)</f>
        <v>-5.5999999999999999E-3</v>
      </c>
      <c r="H122" s="91">
        <f>VLOOKUP($A122,'Data Vlaue (Cr)'!$C:$FB,91)</f>
        <v>325</v>
      </c>
      <c r="I122" s="91">
        <f>VLOOKUP($A122,'Data Vlaue (Cr)'!$C:$FB,93)</f>
        <v>10</v>
      </c>
      <c r="J122" s="92">
        <f>VLOOKUP($A122,'Data Vlaue (Cr)'!$C:$FB,94)</f>
        <v>3.0700000000000002E-2</v>
      </c>
      <c r="K122" s="91">
        <f>VLOOKUP($A122,'Data Vlaue (Cr)'!$C:$FB,95)</f>
        <v>336</v>
      </c>
      <c r="L122" s="91">
        <f>VLOOKUP($A122,'Data Vlaue (Cr)'!$C:$FB,97)</f>
        <v>-8</v>
      </c>
      <c r="M122" s="92">
        <f>VLOOKUP($A122,'Data Vlaue (Cr)'!$C:$FB,98)</f>
        <v>-2.2100000000000002E-2</v>
      </c>
      <c r="N122" s="91">
        <f>VLOOKUP($A122,'Data Vlaue (Cr)'!$C:$FB,79)</f>
        <v>938</v>
      </c>
      <c r="O122" s="92">
        <f>VLOOKUP($A122,'Data Vlaue (Cr)'!$C:$FB,82)</f>
        <v>-7.9000000000000008E-3</v>
      </c>
    </row>
    <row r="123" spans="1:15" x14ac:dyDescent="0.25">
      <c r="A123" s="97" t="str">
        <f>'Data Vlaue (Cr)'!C118</f>
        <v>LT</v>
      </c>
      <c r="B123" s="142">
        <f>VLOOKUP(A123,'Data Vlaue (Cr)'!C118:CW330,99,0)</f>
        <v>12696</v>
      </c>
      <c r="C123" s="90">
        <f>VLOOKUP(A123,'Data Vlaue (Cr)'!C118:CY330,101,0)</f>
        <v>194</v>
      </c>
      <c r="D123" s="139">
        <f>VLOOKUP(A123,'Data Vlaue (Cr)'!C118:CZ330,102,0)</f>
        <v>1.5599999999999999E-2</v>
      </c>
      <c r="E123" s="91">
        <f>VLOOKUP($A123,'Data Vlaue (Cr)'!$C:$FB,75)</f>
        <v>6310</v>
      </c>
      <c r="F123" s="91">
        <f>VLOOKUP($A123,'Data Vlaue (Cr)'!$C:$FB,77)</f>
        <v>41</v>
      </c>
      <c r="G123" s="92">
        <f>VLOOKUP(A123,'Data Vlaue (Cr)'!C118:CB330,78,0)</f>
        <v>6.4999999999999997E-3</v>
      </c>
      <c r="H123" s="91">
        <f>VLOOKUP($A123,'Data Vlaue (Cr)'!$C:$FB,91)</f>
        <v>3495</v>
      </c>
      <c r="I123" s="91">
        <f>VLOOKUP($A123,'Data Vlaue (Cr)'!$C:$FB,93)</f>
        <v>124</v>
      </c>
      <c r="J123" s="92">
        <f>VLOOKUP($A123,'Data Vlaue (Cr)'!$C:$FB,94)</f>
        <v>3.6900000000000002E-2</v>
      </c>
      <c r="K123" s="91">
        <f>VLOOKUP($A123,'Data Vlaue (Cr)'!$C:$FB,95)</f>
        <v>2891</v>
      </c>
      <c r="L123" s="91">
        <f>VLOOKUP($A123,'Data Vlaue (Cr)'!$C:$FB,97)</f>
        <v>29</v>
      </c>
      <c r="M123" s="92">
        <f>VLOOKUP($A123,'Data Vlaue (Cr)'!$C:$FB,98)</f>
        <v>1.03E-2</v>
      </c>
      <c r="N123" s="91">
        <f>VLOOKUP($A123,'Data Vlaue (Cr)'!$C:$FB,79)</f>
        <v>5723</v>
      </c>
      <c r="O123" s="92">
        <f>VLOOKUP($A123,'Data Vlaue (Cr)'!$C:$FB,82)</f>
        <v>5.7000000000000002E-3</v>
      </c>
    </row>
    <row r="124" spans="1:15" x14ac:dyDescent="0.25">
      <c r="A124" s="97" t="str">
        <f>'Data Vlaue (Cr)'!C119</f>
        <v>LTF</v>
      </c>
      <c r="B124" s="142">
        <f>VLOOKUP(A124,'Data Vlaue (Cr)'!C119:CW331,99,0)</f>
        <v>3232</v>
      </c>
      <c r="C124" s="90">
        <f>VLOOKUP(A124,'Data Vlaue (Cr)'!C119:CY331,101,0)</f>
        <v>374</v>
      </c>
      <c r="D124" s="139">
        <f>VLOOKUP(A124,'Data Vlaue (Cr)'!C119:CZ331,102,0)</f>
        <v>0.13089999999999999</v>
      </c>
      <c r="E124" s="91">
        <f>VLOOKUP($A124,'Data Vlaue (Cr)'!$C:$FB,75)</f>
        <v>1627</v>
      </c>
      <c r="F124" s="91">
        <f>VLOOKUP($A124,'Data Vlaue (Cr)'!$C:$FB,77)</f>
        <v>128</v>
      </c>
      <c r="G124" s="92">
        <f>VLOOKUP(A124,'Data Vlaue (Cr)'!C119:CB331,78,0)</f>
        <v>8.5500000000000007E-2</v>
      </c>
      <c r="H124" s="91">
        <f>VLOOKUP($A124,'Data Vlaue (Cr)'!$C:$FB,91)</f>
        <v>1005</v>
      </c>
      <c r="I124" s="91">
        <f>VLOOKUP($A124,'Data Vlaue (Cr)'!$C:$FB,93)</f>
        <v>194</v>
      </c>
      <c r="J124" s="92">
        <f>VLOOKUP($A124,'Data Vlaue (Cr)'!$C:$FB,94)</f>
        <v>0.2384</v>
      </c>
      <c r="K124" s="91">
        <f>VLOOKUP($A124,'Data Vlaue (Cr)'!$C:$FB,95)</f>
        <v>600</v>
      </c>
      <c r="L124" s="91">
        <f>VLOOKUP($A124,'Data Vlaue (Cr)'!$C:$FB,97)</f>
        <v>52</v>
      </c>
      <c r="M124" s="92">
        <f>VLOOKUP($A124,'Data Vlaue (Cr)'!$C:$FB,98)</f>
        <v>9.5600000000000004E-2</v>
      </c>
      <c r="N124" s="91">
        <f>VLOOKUP($A124,'Data Vlaue (Cr)'!$C:$FB,79)</f>
        <v>1536</v>
      </c>
      <c r="O124" s="92">
        <f>VLOOKUP($A124,'Data Vlaue (Cr)'!$C:$FB,82)</f>
        <v>8.1600000000000006E-2</v>
      </c>
    </row>
    <row r="125" spans="1:15" x14ac:dyDescent="0.25">
      <c r="A125" s="97" t="str">
        <f>'Data Vlaue (Cr)'!C120</f>
        <v>LTIM</v>
      </c>
      <c r="B125" s="142">
        <f>VLOOKUP(A125,'Data Vlaue (Cr)'!C120:CW332,99,0)</f>
        <v>2540</v>
      </c>
      <c r="C125" s="90">
        <f>VLOOKUP(A125,'Data Vlaue (Cr)'!C120:CY332,101,0)</f>
        <v>214</v>
      </c>
      <c r="D125" s="139">
        <f>VLOOKUP(A125,'Data Vlaue (Cr)'!C120:CZ332,102,0)</f>
        <v>9.2200000000000004E-2</v>
      </c>
      <c r="E125" s="91">
        <f>VLOOKUP($A125,'Data Vlaue (Cr)'!$C:$FB,75)</f>
        <v>1188</v>
      </c>
      <c r="F125" s="91">
        <f>VLOOKUP($A125,'Data Vlaue (Cr)'!$C:$FB,77)</f>
        <v>58</v>
      </c>
      <c r="G125" s="92">
        <f>VLOOKUP(A125,'Data Vlaue (Cr)'!C120:CB332,78,0)</f>
        <v>5.0900000000000001E-2</v>
      </c>
      <c r="H125" s="91">
        <f>VLOOKUP($A125,'Data Vlaue (Cr)'!$C:$FB,91)</f>
        <v>796</v>
      </c>
      <c r="I125" s="91">
        <f>VLOOKUP($A125,'Data Vlaue (Cr)'!$C:$FB,93)</f>
        <v>104</v>
      </c>
      <c r="J125" s="92">
        <f>VLOOKUP($A125,'Data Vlaue (Cr)'!$C:$FB,94)</f>
        <v>0.14960000000000001</v>
      </c>
      <c r="K125" s="91">
        <f>VLOOKUP($A125,'Data Vlaue (Cr)'!$C:$FB,95)</f>
        <v>556</v>
      </c>
      <c r="L125" s="91">
        <f>VLOOKUP($A125,'Data Vlaue (Cr)'!$C:$FB,97)</f>
        <v>53</v>
      </c>
      <c r="M125" s="92">
        <f>VLOOKUP($A125,'Data Vlaue (Cr)'!$C:$FB,98)</f>
        <v>0.106</v>
      </c>
      <c r="N125" s="91">
        <f>VLOOKUP($A125,'Data Vlaue (Cr)'!$C:$FB,79)</f>
        <v>1136</v>
      </c>
      <c r="O125" s="92">
        <f>VLOOKUP($A125,'Data Vlaue (Cr)'!$C:$FB,82)</f>
        <v>3.5000000000000003E-2</v>
      </c>
    </row>
    <row r="126" spans="1:15" x14ac:dyDescent="0.25">
      <c r="A126" s="97" t="str">
        <f>'Data Vlaue (Cr)'!C121</f>
        <v>LUPIN</v>
      </c>
      <c r="B126" s="142">
        <f>VLOOKUP(A126,'Data Vlaue (Cr)'!C121:CW333,99,0)</f>
        <v>3254</v>
      </c>
      <c r="C126" s="90">
        <f>VLOOKUP(A126,'Data Vlaue (Cr)'!C121:CY333,101,0)</f>
        <v>288</v>
      </c>
      <c r="D126" s="139">
        <f>VLOOKUP(A126,'Data Vlaue (Cr)'!C121:CZ333,102,0)</f>
        <v>9.7199999999999995E-2</v>
      </c>
      <c r="E126" s="91">
        <f>VLOOKUP($A126,'Data Vlaue (Cr)'!$C:$FB,75)</f>
        <v>1833</v>
      </c>
      <c r="F126" s="91">
        <f>VLOOKUP($A126,'Data Vlaue (Cr)'!$C:$FB,77)</f>
        <v>111</v>
      </c>
      <c r="G126" s="92">
        <f>VLOOKUP(A126,'Data Vlaue (Cr)'!C121:CB333,78,0)</f>
        <v>6.4399999999999999E-2</v>
      </c>
      <c r="H126" s="91">
        <f>VLOOKUP($A126,'Data Vlaue (Cr)'!$C:$FB,91)</f>
        <v>921</v>
      </c>
      <c r="I126" s="91">
        <f>VLOOKUP($A126,'Data Vlaue (Cr)'!$C:$FB,93)</f>
        <v>120</v>
      </c>
      <c r="J126" s="92">
        <f>VLOOKUP($A126,'Data Vlaue (Cr)'!$C:$FB,94)</f>
        <v>0.14990000000000001</v>
      </c>
      <c r="K126" s="91">
        <f>VLOOKUP($A126,'Data Vlaue (Cr)'!$C:$FB,95)</f>
        <v>499</v>
      </c>
      <c r="L126" s="91">
        <f>VLOOKUP($A126,'Data Vlaue (Cr)'!$C:$FB,97)</f>
        <v>57</v>
      </c>
      <c r="M126" s="92">
        <f>VLOOKUP($A126,'Data Vlaue (Cr)'!$C:$FB,98)</f>
        <v>0.12970000000000001</v>
      </c>
      <c r="N126" s="91">
        <f>VLOOKUP($A126,'Data Vlaue (Cr)'!$C:$FB,79)</f>
        <v>1790</v>
      </c>
      <c r="O126" s="92">
        <f>VLOOKUP($A126,'Data Vlaue (Cr)'!$C:$FB,82)</f>
        <v>6.4000000000000001E-2</v>
      </c>
    </row>
    <row r="127" spans="1:15" x14ac:dyDescent="0.25">
      <c r="A127" s="97" t="str">
        <f>'Data Vlaue (Cr)'!C122</f>
        <v>M&amp;M</v>
      </c>
      <c r="B127" s="142">
        <f>VLOOKUP(A127,'Data Vlaue (Cr)'!C122:CW334,99,0)</f>
        <v>12308</v>
      </c>
      <c r="C127" s="90">
        <f>VLOOKUP(A127,'Data Vlaue (Cr)'!C122:CY334,101,0)</f>
        <v>1936</v>
      </c>
      <c r="D127" s="139">
        <f>VLOOKUP(A127,'Data Vlaue (Cr)'!C122:CZ334,102,0)</f>
        <v>0.18659999999999999</v>
      </c>
      <c r="E127" s="91">
        <f>VLOOKUP($A127,'Data Vlaue (Cr)'!$C:$FB,75)</f>
        <v>7128</v>
      </c>
      <c r="F127" s="91">
        <f>VLOOKUP($A127,'Data Vlaue (Cr)'!$C:$FB,77)</f>
        <v>-71</v>
      </c>
      <c r="G127" s="92">
        <f>VLOOKUP(A127,'Data Vlaue (Cr)'!C122:CB334,78,0)</f>
        <v>-9.7999999999999997E-3</v>
      </c>
      <c r="H127" s="91">
        <f>VLOOKUP($A127,'Data Vlaue (Cr)'!$C:$FB,91)</f>
        <v>3526</v>
      </c>
      <c r="I127" s="91">
        <f>VLOOKUP($A127,'Data Vlaue (Cr)'!$C:$FB,93)</f>
        <v>1618</v>
      </c>
      <c r="J127" s="92">
        <f>VLOOKUP($A127,'Data Vlaue (Cr)'!$C:$FB,94)</f>
        <v>0.84789999999999999</v>
      </c>
      <c r="K127" s="91">
        <f>VLOOKUP($A127,'Data Vlaue (Cr)'!$C:$FB,95)</f>
        <v>1654</v>
      </c>
      <c r="L127" s="91">
        <f>VLOOKUP($A127,'Data Vlaue (Cr)'!$C:$FB,97)</f>
        <v>389</v>
      </c>
      <c r="M127" s="92">
        <f>VLOOKUP($A127,'Data Vlaue (Cr)'!$C:$FB,98)</f>
        <v>0.307</v>
      </c>
      <c r="N127" s="91">
        <f>VLOOKUP($A127,'Data Vlaue (Cr)'!$C:$FB,79)</f>
        <v>6422</v>
      </c>
      <c r="O127" s="92">
        <f>VLOOKUP($A127,'Data Vlaue (Cr)'!$C:$FB,82)</f>
        <v>-1.66E-2</v>
      </c>
    </row>
    <row r="128" spans="1:15" x14ac:dyDescent="0.25">
      <c r="A128" s="97" t="str">
        <f>'Data Vlaue (Cr)'!C123</f>
        <v>MANAPPURAM</v>
      </c>
      <c r="B128" s="142">
        <f>VLOOKUP(A128,'Data Vlaue (Cr)'!C123:CW335,99,0)</f>
        <v>2808</v>
      </c>
      <c r="C128" s="90">
        <f>VLOOKUP(A128,'Data Vlaue (Cr)'!C123:CY335,101,0)</f>
        <v>69</v>
      </c>
      <c r="D128" s="139">
        <f>VLOOKUP(A128,'Data Vlaue (Cr)'!C123:CZ335,102,0)</f>
        <v>2.52E-2</v>
      </c>
      <c r="E128" s="91">
        <f>VLOOKUP($A128,'Data Vlaue (Cr)'!$C:$FB,75)</f>
        <v>1487</v>
      </c>
      <c r="F128" s="91">
        <f>VLOOKUP($A128,'Data Vlaue (Cr)'!$C:$FB,77)</f>
        <v>-12</v>
      </c>
      <c r="G128" s="92">
        <f>VLOOKUP(A128,'Data Vlaue (Cr)'!C123:CB335,78,0)</f>
        <v>-8.0000000000000002E-3</v>
      </c>
      <c r="H128" s="91">
        <f>VLOOKUP($A128,'Data Vlaue (Cr)'!$C:$FB,91)</f>
        <v>674</v>
      </c>
      <c r="I128" s="91">
        <f>VLOOKUP($A128,'Data Vlaue (Cr)'!$C:$FB,93)</f>
        <v>-18</v>
      </c>
      <c r="J128" s="92">
        <f>VLOOKUP($A128,'Data Vlaue (Cr)'!$C:$FB,94)</f>
        <v>-2.5600000000000001E-2</v>
      </c>
      <c r="K128" s="91">
        <f>VLOOKUP($A128,'Data Vlaue (Cr)'!$C:$FB,95)</f>
        <v>647</v>
      </c>
      <c r="L128" s="91">
        <f>VLOOKUP($A128,'Data Vlaue (Cr)'!$C:$FB,97)</f>
        <v>99</v>
      </c>
      <c r="M128" s="92">
        <f>VLOOKUP($A128,'Data Vlaue (Cr)'!$C:$FB,98)</f>
        <v>0.18</v>
      </c>
      <c r="N128" s="91">
        <f>VLOOKUP($A128,'Data Vlaue (Cr)'!$C:$FB,79)</f>
        <v>1454</v>
      </c>
      <c r="O128" s="92">
        <f>VLOOKUP($A128,'Data Vlaue (Cr)'!$C:$FB,82)</f>
        <v>-9.2999999999999992E-3</v>
      </c>
    </row>
    <row r="129" spans="1:15" x14ac:dyDescent="0.25">
      <c r="A129" s="97" t="str">
        <f>'Data Vlaue (Cr)'!C124</f>
        <v>MANKIND</v>
      </c>
      <c r="B129" s="142">
        <f>VLOOKUP(A129,'Data Vlaue (Cr)'!C124:CW336,99,0)</f>
        <v>1071</v>
      </c>
      <c r="C129" s="90">
        <f>VLOOKUP(A129,'Data Vlaue (Cr)'!C124:CY336,101,0)</f>
        <v>-4</v>
      </c>
      <c r="D129" s="139">
        <f>VLOOKUP(A129,'Data Vlaue (Cr)'!C124:CZ336,102,0)</f>
        <v>-3.8E-3</v>
      </c>
      <c r="E129" s="91">
        <f>VLOOKUP($A129,'Data Vlaue (Cr)'!$C:$FB,75)</f>
        <v>572</v>
      </c>
      <c r="F129" s="91">
        <f>VLOOKUP($A129,'Data Vlaue (Cr)'!$C:$FB,77)</f>
        <v>4</v>
      </c>
      <c r="G129" s="92">
        <f>VLOOKUP(A129,'Data Vlaue (Cr)'!C124:CB336,78,0)</f>
        <v>6.8999999999999999E-3</v>
      </c>
      <c r="H129" s="91">
        <f>VLOOKUP($A129,'Data Vlaue (Cr)'!$C:$FB,91)</f>
        <v>361</v>
      </c>
      <c r="I129" s="91">
        <f>VLOOKUP($A129,'Data Vlaue (Cr)'!$C:$FB,93)</f>
        <v>-7</v>
      </c>
      <c r="J129" s="92">
        <f>VLOOKUP($A129,'Data Vlaue (Cr)'!$C:$FB,94)</f>
        <v>-1.9599999999999999E-2</v>
      </c>
      <c r="K129" s="91">
        <f>VLOOKUP($A129,'Data Vlaue (Cr)'!$C:$FB,95)</f>
        <v>137</v>
      </c>
      <c r="L129" s="91">
        <f>VLOOKUP($A129,'Data Vlaue (Cr)'!$C:$FB,97)</f>
        <v>-1</v>
      </c>
      <c r="M129" s="92">
        <f>VLOOKUP($A129,'Data Vlaue (Cr)'!$C:$FB,98)</f>
        <v>-5.4000000000000003E-3</v>
      </c>
      <c r="N129" s="91">
        <f>VLOOKUP($A129,'Data Vlaue (Cr)'!$C:$FB,79)</f>
        <v>528</v>
      </c>
      <c r="O129" s="92">
        <f>VLOOKUP($A129,'Data Vlaue (Cr)'!$C:$FB,82)</f>
        <v>4.0000000000000001E-3</v>
      </c>
    </row>
    <row r="130" spans="1:15" x14ac:dyDescent="0.25">
      <c r="A130" s="97" t="str">
        <f>'Data Vlaue (Cr)'!C125</f>
        <v>MARICO</v>
      </c>
      <c r="B130" s="142">
        <f>VLOOKUP(A130,'Data Vlaue (Cr)'!C125:CW337,99,0)</f>
        <v>2931</v>
      </c>
      <c r="C130" s="90">
        <f>VLOOKUP(A130,'Data Vlaue (Cr)'!C125:CY337,101,0)</f>
        <v>11</v>
      </c>
      <c r="D130" s="139">
        <f>VLOOKUP(A130,'Data Vlaue (Cr)'!C125:CZ337,102,0)</f>
        <v>3.8E-3</v>
      </c>
      <c r="E130" s="91">
        <f>VLOOKUP($A130,'Data Vlaue (Cr)'!$C:$FB,75)</f>
        <v>2201</v>
      </c>
      <c r="F130" s="91">
        <f>VLOOKUP($A130,'Data Vlaue (Cr)'!$C:$FB,77)</f>
        <v>-5</v>
      </c>
      <c r="G130" s="92">
        <f>VLOOKUP(A130,'Data Vlaue (Cr)'!C125:CB337,78,0)</f>
        <v>-2.2000000000000001E-3</v>
      </c>
      <c r="H130" s="91">
        <f>VLOOKUP($A130,'Data Vlaue (Cr)'!$C:$FB,91)</f>
        <v>398</v>
      </c>
      <c r="I130" s="91">
        <f>VLOOKUP($A130,'Data Vlaue (Cr)'!$C:$FB,93)</f>
        <v>-7</v>
      </c>
      <c r="J130" s="92">
        <f>VLOOKUP($A130,'Data Vlaue (Cr)'!$C:$FB,94)</f>
        <v>-1.6500000000000001E-2</v>
      </c>
      <c r="K130" s="91">
        <f>VLOOKUP($A130,'Data Vlaue (Cr)'!$C:$FB,95)</f>
        <v>333</v>
      </c>
      <c r="L130" s="91">
        <f>VLOOKUP($A130,'Data Vlaue (Cr)'!$C:$FB,97)</f>
        <v>23</v>
      </c>
      <c r="M130" s="92">
        <f>VLOOKUP($A130,'Data Vlaue (Cr)'!$C:$FB,98)</f>
        <v>7.3099999999999998E-2</v>
      </c>
      <c r="N130" s="91">
        <f>VLOOKUP($A130,'Data Vlaue (Cr)'!$C:$FB,79)</f>
        <v>2187</v>
      </c>
      <c r="O130" s="92">
        <f>VLOOKUP($A130,'Data Vlaue (Cr)'!$C:$FB,82)</f>
        <v>-2.5999999999999999E-3</v>
      </c>
    </row>
    <row r="131" spans="1:15" x14ac:dyDescent="0.25">
      <c r="A131" s="97" t="str">
        <f>'Data Vlaue (Cr)'!C126</f>
        <v>MARUTI</v>
      </c>
      <c r="B131" s="142">
        <f>VLOOKUP(A131,'Data Vlaue (Cr)'!C126:CW338,99,0)</f>
        <v>11887</v>
      </c>
      <c r="C131" s="90">
        <f>VLOOKUP(A131,'Data Vlaue (Cr)'!C126:CY338,101,0)</f>
        <v>75</v>
      </c>
      <c r="D131" s="139">
        <f>VLOOKUP(A131,'Data Vlaue (Cr)'!C126:CZ338,102,0)</f>
        <v>6.4000000000000003E-3</v>
      </c>
      <c r="E131" s="91">
        <f>VLOOKUP($A131,'Data Vlaue (Cr)'!$C:$FB,75)</f>
        <v>4957</v>
      </c>
      <c r="F131" s="91">
        <f>VLOOKUP($A131,'Data Vlaue (Cr)'!$C:$FB,77)</f>
        <v>40</v>
      </c>
      <c r="G131" s="92">
        <f>VLOOKUP(A131,'Data Vlaue (Cr)'!C126:CB338,78,0)</f>
        <v>8.0999999999999996E-3</v>
      </c>
      <c r="H131" s="91">
        <f>VLOOKUP($A131,'Data Vlaue (Cr)'!$C:$FB,91)</f>
        <v>4377</v>
      </c>
      <c r="I131" s="91">
        <f>VLOOKUP($A131,'Data Vlaue (Cr)'!$C:$FB,93)</f>
        <v>-253</v>
      </c>
      <c r="J131" s="92">
        <f>VLOOKUP($A131,'Data Vlaue (Cr)'!$C:$FB,94)</f>
        <v>-5.4699999999999999E-2</v>
      </c>
      <c r="K131" s="91">
        <f>VLOOKUP($A131,'Data Vlaue (Cr)'!$C:$FB,95)</f>
        <v>2553</v>
      </c>
      <c r="L131" s="91">
        <f>VLOOKUP($A131,'Data Vlaue (Cr)'!$C:$FB,97)</f>
        <v>289</v>
      </c>
      <c r="M131" s="92">
        <f>VLOOKUP($A131,'Data Vlaue (Cr)'!$C:$FB,98)</f>
        <v>0.1275</v>
      </c>
      <c r="N131" s="91">
        <f>VLOOKUP($A131,'Data Vlaue (Cr)'!$C:$FB,79)</f>
        <v>4602</v>
      </c>
      <c r="O131" s="92">
        <f>VLOOKUP($A131,'Data Vlaue (Cr)'!$C:$FB,82)</f>
        <v>5.4999999999999997E-3</v>
      </c>
    </row>
    <row r="132" spans="1:15" x14ac:dyDescent="0.25">
      <c r="A132" s="97" t="str">
        <f>'Data Vlaue (Cr)'!C127</f>
        <v>MAXHEALTH</v>
      </c>
      <c r="B132" s="142">
        <f>VLOOKUP(A132,'Data Vlaue (Cr)'!C127:CW339,99,0)</f>
        <v>2474</v>
      </c>
      <c r="C132" s="90">
        <f>VLOOKUP(A132,'Data Vlaue (Cr)'!C127:CY339,101,0)</f>
        <v>141</v>
      </c>
      <c r="D132" s="139">
        <f>VLOOKUP(A132,'Data Vlaue (Cr)'!C127:CZ339,102,0)</f>
        <v>6.0600000000000001E-2</v>
      </c>
      <c r="E132" s="91">
        <f>VLOOKUP($A132,'Data Vlaue (Cr)'!$C:$FB,75)</f>
        <v>1664</v>
      </c>
      <c r="F132" s="91">
        <f>VLOOKUP($A132,'Data Vlaue (Cr)'!$C:$FB,77)</f>
        <v>-14</v>
      </c>
      <c r="G132" s="92">
        <f>VLOOKUP(A132,'Data Vlaue (Cr)'!C127:CB339,78,0)</f>
        <v>-8.2000000000000007E-3</v>
      </c>
      <c r="H132" s="91">
        <f>VLOOKUP($A132,'Data Vlaue (Cr)'!$C:$FB,91)</f>
        <v>452</v>
      </c>
      <c r="I132" s="91">
        <f>VLOOKUP($A132,'Data Vlaue (Cr)'!$C:$FB,93)</f>
        <v>116</v>
      </c>
      <c r="J132" s="92">
        <f>VLOOKUP($A132,'Data Vlaue (Cr)'!$C:$FB,94)</f>
        <v>0.3463</v>
      </c>
      <c r="K132" s="91">
        <f>VLOOKUP($A132,'Data Vlaue (Cr)'!$C:$FB,95)</f>
        <v>359</v>
      </c>
      <c r="L132" s="91">
        <f>VLOOKUP($A132,'Data Vlaue (Cr)'!$C:$FB,97)</f>
        <v>39</v>
      </c>
      <c r="M132" s="92">
        <f>VLOOKUP($A132,'Data Vlaue (Cr)'!$C:$FB,98)</f>
        <v>0.1212</v>
      </c>
      <c r="N132" s="91">
        <f>VLOOKUP($A132,'Data Vlaue (Cr)'!$C:$FB,79)</f>
        <v>1580</v>
      </c>
      <c r="O132" s="92">
        <f>VLOOKUP($A132,'Data Vlaue (Cr)'!$C:$FB,82)</f>
        <v>-7.4999999999999997E-3</v>
      </c>
    </row>
    <row r="133" spans="1:15" x14ac:dyDescent="0.25">
      <c r="A133" s="97" t="str">
        <f>'Data Vlaue (Cr)'!C128</f>
        <v>MAZDOCK</v>
      </c>
      <c r="B133" s="142">
        <f>VLOOKUP(A133,'Data Vlaue (Cr)'!C128:CW340,99,0)</f>
        <v>2675</v>
      </c>
      <c r="C133" s="90">
        <f>VLOOKUP(A133,'Data Vlaue (Cr)'!C128:CY340,101,0)</f>
        <v>20</v>
      </c>
      <c r="D133" s="139">
        <f>VLOOKUP(A133,'Data Vlaue (Cr)'!C128:CZ340,102,0)</f>
        <v>7.4999999999999997E-3</v>
      </c>
      <c r="E133" s="91">
        <f>VLOOKUP($A133,'Data Vlaue (Cr)'!$C:$FB,75)</f>
        <v>1178</v>
      </c>
      <c r="F133" s="91">
        <f>VLOOKUP($A133,'Data Vlaue (Cr)'!$C:$FB,77)</f>
        <v>15</v>
      </c>
      <c r="G133" s="92">
        <f>VLOOKUP(A133,'Data Vlaue (Cr)'!C128:CB340,78,0)</f>
        <v>1.29E-2</v>
      </c>
      <c r="H133" s="91">
        <f>VLOOKUP($A133,'Data Vlaue (Cr)'!$C:$FB,91)</f>
        <v>1057</v>
      </c>
      <c r="I133" s="91">
        <f>VLOOKUP($A133,'Data Vlaue (Cr)'!$C:$FB,93)</f>
        <v>5</v>
      </c>
      <c r="J133" s="92">
        <f>VLOOKUP($A133,'Data Vlaue (Cr)'!$C:$FB,94)</f>
        <v>5.0000000000000001E-3</v>
      </c>
      <c r="K133" s="91">
        <f>VLOOKUP($A133,'Data Vlaue (Cr)'!$C:$FB,95)</f>
        <v>441</v>
      </c>
      <c r="L133" s="91">
        <f>VLOOKUP($A133,'Data Vlaue (Cr)'!$C:$FB,97)</f>
        <v>0</v>
      </c>
      <c r="M133" s="92">
        <f>VLOOKUP($A133,'Data Vlaue (Cr)'!$C:$FB,98)</f>
        <v>-6.9999999999999999E-4</v>
      </c>
      <c r="N133" s="91">
        <f>VLOOKUP($A133,'Data Vlaue (Cr)'!$C:$FB,79)</f>
        <v>1070</v>
      </c>
      <c r="O133" s="92">
        <f>VLOOKUP($A133,'Data Vlaue (Cr)'!$C:$FB,82)</f>
        <v>9.1000000000000004E-3</v>
      </c>
    </row>
    <row r="134" spans="1:15" x14ac:dyDescent="0.25">
      <c r="A134" s="97" t="str">
        <f>'Data Vlaue (Cr)'!C129</f>
        <v>MCX</v>
      </c>
      <c r="B134" s="142">
        <f>VLOOKUP(A134,'Data Vlaue (Cr)'!C129:CW341,99,0)</f>
        <v>10297</v>
      </c>
      <c r="C134" s="90">
        <f>VLOOKUP(A134,'Data Vlaue (Cr)'!C129:CY341,101,0)</f>
        <v>699</v>
      </c>
      <c r="D134" s="139">
        <f>VLOOKUP(A134,'Data Vlaue (Cr)'!C129:CZ341,102,0)</f>
        <v>7.2800000000000004E-2</v>
      </c>
      <c r="E134" s="91">
        <f>VLOOKUP($A134,'Data Vlaue (Cr)'!$C:$FB,75)</f>
        <v>3490</v>
      </c>
      <c r="F134" s="91">
        <f>VLOOKUP($A134,'Data Vlaue (Cr)'!$C:$FB,77)</f>
        <v>3</v>
      </c>
      <c r="G134" s="92">
        <f>VLOOKUP(A134,'Data Vlaue (Cr)'!C129:CB341,78,0)</f>
        <v>8.0000000000000004E-4</v>
      </c>
      <c r="H134" s="91">
        <f>VLOOKUP($A134,'Data Vlaue (Cr)'!$C:$FB,91)</f>
        <v>4083</v>
      </c>
      <c r="I134" s="91">
        <f>VLOOKUP($A134,'Data Vlaue (Cr)'!$C:$FB,93)</f>
        <v>570</v>
      </c>
      <c r="J134" s="92">
        <f>VLOOKUP($A134,'Data Vlaue (Cr)'!$C:$FB,94)</f>
        <v>0.16239999999999999</v>
      </c>
      <c r="K134" s="91">
        <f>VLOOKUP($A134,'Data Vlaue (Cr)'!$C:$FB,95)</f>
        <v>2724</v>
      </c>
      <c r="L134" s="91">
        <f>VLOOKUP($A134,'Data Vlaue (Cr)'!$C:$FB,97)</f>
        <v>126</v>
      </c>
      <c r="M134" s="92">
        <f>VLOOKUP($A134,'Data Vlaue (Cr)'!$C:$FB,98)</f>
        <v>4.8399999999999999E-2</v>
      </c>
      <c r="N134" s="91">
        <f>VLOOKUP($A134,'Data Vlaue (Cr)'!$C:$FB,79)</f>
        <v>3255</v>
      </c>
      <c r="O134" s="92">
        <f>VLOOKUP($A134,'Data Vlaue (Cr)'!$C:$FB,82)</f>
        <v>-1.9300000000000001E-2</v>
      </c>
    </row>
    <row r="135" spans="1:15" x14ac:dyDescent="0.25">
      <c r="A135" s="97" t="str">
        <f>'Data Vlaue (Cr)'!C130</f>
        <v>MFSL</v>
      </c>
      <c r="B135" s="142">
        <f>VLOOKUP(A135,'Data Vlaue (Cr)'!C130:CW342,99,0)</f>
        <v>2374</v>
      </c>
      <c r="C135" s="90">
        <f>VLOOKUP(A135,'Data Vlaue (Cr)'!C130:CY342,101,0)</f>
        <v>199</v>
      </c>
      <c r="D135" s="139">
        <f>VLOOKUP(A135,'Data Vlaue (Cr)'!C130:CZ342,102,0)</f>
        <v>9.1200000000000003E-2</v>
      </c>
      <c r="E135" s="91">
        <f>VLOOKUP($A135,'Data Vlaue (Cr)'!$C:$FB,75)</f>
        <v>1617</v>
      </c>
      <c r="F135" s="91">
        <f>VLOOKUP($A135,'Data Vlaue (Cr)'!$C:$FB,77)</f>
        <v>-4</v>
      </c>
      <c r="G135" s="92">
        <f>VLOOKUP(A135,'Data Vlaue (Cr)'!C130:CB342,78,0)</f>
        <v>-2.2000000000000001E-3</v>
      </c>
      <c r="H135" s="91">
        <f>VLOOKUP($A135,'Data Vlaue (Cr)'!$C:$FB,91)</f>
        <v>479</v>
      </c>
      <c r="I135" s="91">
        <f>VLOOKUP($A135,'Data Vlaue (Cr)'!$C:$FB,93)</f>
        <v>136</v>
      </c>
      <c r="J135" s="92">
        <f>VLOOKUP($A135,'Data Vlaue (Cr)'!$C:$FB,94)</f>
        <v>0.39879999999999999</v>
      </c>
      <c r="K135" s="91">
        <f>VLOOKUP($A135,'Data Vlaue (Cr)'!$C:$FB,95)</f>
        <v>279</v>
      </c>
      <c r="L135" s="91">
        <f>VLOOKUP($A135,'Data Vlaue (Cr)'!$C:$FB,97)</f>
        <v>66</v>
      </c>
      <c r="M135" s="92">
        <f>VLOOKUP($A135,'Data Vlaue (Cr)'!$C:$FB,98)</f>
        <v>0.308</v>
      </c>
      <c r="N135" s="91">
        <f>VLOOKUP($A135,'Data Vlaue (Cr)'!$C:$FB,79)</f>
        <v>1606</v>
      </c>
      <c r="O135" s="92">
        <f>VLOOKUP($A135,'Data Vlaue (Cr)'!$C:$FB,82)</f>
        <v>-1.9E-3</v>
      </c>
    </row>
    <row r="136" spans="1:15" x14ac:dyDescent="0.25">
      <c r="A136" s="97" t="str">
        <f>'Data Vlaue (Cr)'!C131</f>
        <v>MIDCPNIFTY</v>
      </c>
      <c r="B136" s="142">
        <f>VLOOKUP(A136,'Data Vlaue (Cr)'!C131:CW343,99,0)</f>
        <v>23983</v>
      </c>
      <c r="C136" s="90">
        <f>VLOOKUP(A136,'Data Vlaue (Cr)'!C131:CY343,101,0)</f>
        <v>677</v>
      </c>
      <c r="D136" s="139">
        <f>VLOOKUP(A136,'Data Vlaue (Cr)'!C131:CZ343,102,0)</f>
        <v>2.9000000000000001E-2</v>
      </c>
      <c r="E136" s="91">
        <f>VLOOKUP($A136,'Data Vlaue (Cr)'!$C:$FB,75)</f>
        <v>2972</v>
      </c>
      <c r="F136" s="91">
        <f>VLOOKUP($A136,'Data Vlaue (Cr)'!$C:$FB,77)</f>
        <v>-22</v>
      </c>
      <c r="G136" s="92">
        <f>VLOOKUP(A136,'Data Vlaue (Cr)'!C131:CB343,78,0)</f>
        <v>-7.3000000000000001E-3</v>
      </c>
      <c r="H136" s="91">
        <f>VLOOKUP($A136,'Data Vlaue (Cr)'!$C:$FB,91)</f>
        <v>9624</v>
      </c>
      <c r="I136" s="91">
        <f>VLOOKUP($A136,'Data Vlaue (Cr)'!$C:$FB,93)</f>
        <v>455</v>
      </c>
      <c r="J136" s="92">
        <f>VLOOKUP($A136,'Data Vlaue (Cr)'!$C:$FB,94)</f>
        <v>4.9700000000000001E-2</v>
      </c>
      <c r="K136" s="91">
        <f>VLOOKUP($A136,'Data Vlaue (Cr)'!$C:$FB,95)</f>
        <v>11387</v>
      </c>
      <c r="L136" s="91">
        <f>VLOOKUP($A136,'Data Vlaue (Cr)'!$C:$FB,97)</f>
        <v>243</v>
      </c>
      <c r="M136" s="92">
        <f>VLOOKUP($A136,'Data Vlaue (Cr)'!$C:$FB,98)</f>
        <v>2.18E-2</v>
      </c>
      <c r="N136" s="91">
        <f>VLOOKUP($A136,'Data Vlaue (Cr)'!$C:$FB,79)</f>
        <v>2833</v>
      </c>
      <c r="O136" s="92">
        <f>VLOOKUP($A136,'Data Vlaue (Cr)'!$C:$FB,82)</f>
        <v>-1.15E-2</v>
      </c>
    </row>
    <row r="137" spans="1:15" x14ac:dyDescent="0.25">
      <c r="A137" s="97" t="str">
        <f>'Data Vlaue (Cr)'!C132</f>
        <v>MOTHERSON</v>
      </c>
      <c r="B137" s="142">
        <f>VLOOKUP(A137,'Data Vlaue (Cr)'!C132:CW344,99,0)</f>
        <v>3965</v>
      </c>
      <c r="C137" s="90">
        <f>VLOOKUP(A137,'Data Vlaue (Cr)'!C132:CY344,101,0)</f>
        <v>202</v>
      </c>
      <c r="D137" s="139">
        <f>VLOOKUP(A137,'Data Vlaue (Cr)'!C132:CZ344,102,0)</f>
        <v>5.3800000000000001E-2</v>
      </c>
      <c r="E137" s="91">
        <f>VLOOKUP($A137,'Data Vlaue (Cr)'!$C:$FB,75)</f>
        <v>2186</v>
      </c>
      <c r="F137" s="91">
        <f>VLOOKUP($A137,'Data Vlaue (Cr)'!$C:$FB,77)</f>
        <v>54</v>
      </c>
      <c r="G137" s="92">
        <f>VLOOKUP(A137,'Data Vlaue (Cr)'!C132:CB344,78,0)</f>
        <v>2.5100000000000001E-2</v>
      </c>
      <c r="H137" s="91">
        <f>VLOOKUP($A137,'Data Vlaue (Cr)'!$C:$FB,91)</f>
        <v>955</v>
      </c>
      <c r="I137" s="91">
        <f>VLOOKUP($A137,'Data Vlaue (Cr)'!$C:$FB,93)</f>
        <v>63</v>
      </c>
      <c r="J137" s="92">
        <f>VLOOKUP($A137,'Data Vlaue (Cr)'!$C:$FB,94)</f>
        <v>7.0599999999999996E-2</v>
      </c>
      <c r="K137" s="91">
        <f>VLOOKUP($A137,'Data Vlaue (Cr)'!$C:$FB,95)</f>
        <v>823</v>
      </c>
      <c r="L137" s="91">
        <f>VLOOKUP($A137,'Data Vlaue (Cr)'!$C:$FB,97)</f>
        <v>86</v>
      </c>
      <c r="M137" s="92">
        <f>VLOOKUP($A137,'Data Vlaue (Cr)'!$C:$FB,98)</f>
        <v>0.11609999999999999</v>
      </c>
      <c r="N137" s="91">
        <f>VLOOKUP($A137,'Data Vlaue (Cr)'!$C:$FB,79)</f>
        <v>2131</v>
      </c>
      <c r="O137" s="92">
        <f>VLOOKUP($A137,'Data Vlaue (Cr)'!$C:$FB,82)</f>
        <v>2.3599999999999999E-2</v>
      </c>
    </row>
    <row r="138" spans="1:15" x14ac:dyDescent="0.25">
      <c r="A138" s="97" t="str">
        <f>'Data Vlaue (Cr)'!C133</f>
        <v>MPHASIS</v>
      </c>
      <c r="B138" s="142">
        <f>VLOOKUP(A138,'Data Vlaue (Cr)'!C133:CW345,99,0)</f>
        <v>1968</v>
      </c>
      <c r="C138" s="90">
        <f>VLOOKUP(A138,'Data Vlaue (Cr)'!C133:CY345,101,0)</f>
        <v>67</v>
      </c>
      <c r="D138" s="139">
        <f>VLOOKUP(A138,'Data Vlaue (Cr)'!C133:CZ345,102,0)</f>
        <v>3.5299999999999998E-2</v>
      </c>
      <c r="E138" s="91">
        <f>VLOOKUP($A138,'Data Vlaue (Cr)'!$C:$FB,75)</f>
        <v>1343</v>
      </c>
      <c r="F138" s="91">
        <f>VLOOKUP($A138,'Data Vlaue (Cr)'!$C:$FB,77)</f>
        <v>22</v>
      </c>
      <c r="G138" s="92">
        <f>VLOOKUP(A138,'Data Vlaue (Cr)'!C133:CB345,78,0)</f>
        <v>1.67E-2</v>
      </c>
      <c r="H138" s="91">
        <f>VLOOKUP($A138,'Data Vlaue (Cr)'!$C:$FB,91)</f>
        <v>405</v>
      </c>
      <c r="I138" s="91">
        <f>VLOOKUP($A138,'Data Vlaue (Cr)'!$C:$FB,93)</f>
        <v>23</v>
      </c>
      <c r="J138" s="92">
        <f>VLOOKUP($A138,'Data Vlaue (Cr)'!$C:$FB,94)</f>
        <v>6.13E-2</v>
      </c>
      <c r="K138" s="91">
        <f>VLOOKUP($A138,'Data Vlaue (Cr)'!$C:$FB,95)</f>
        <v>220</v>
      </c>
      <c r="L138" s="91">
        <f>VLOOKUP($A138,'Data Vlaue (Cr)'!$C:$FB,97)</f>
        <v>22</v>
      </c>
      <c r="M138" s="92">
        <f>VLOOKUP($A138,'Data Vlaue (Cr)'!$C:$FB,98)</f>
        <v>0.1096</v>
      </c>
      <c r="N138" s="91">
        <f>VLOOKUP($A138,'Data Vlaue (Cr)'!$C:$FB,79)</f>
        <v>1305</v>
      </c>
      <c r="O138" s="92">
        <f>VLOOKUP($A138,'Data Vlaue (Cr)'!$C:$FB,82)</f>
        <v>1.32E-2</v>
      </c>
    </row>
    <row r="139" spans="1:15" x14ac:dyDescent="0.25">
      <c r="A139" s="97" t="str">
        <f>'Data Vlaue (Cr)'!C134</f>
        <v>MUTHOOTFIN</v>
      </c>
      <c r="B139" s="142">
        <f>VLOOKUP(A139,'Data Vlaue (Cr)'!C134:CW346,99,0)</f>
        <v>4322</v>
      </c>
      <c r="C139" s="90">
        <f>VLOOKUP(A139,'Data Vlaue (Cr)'!C134:CY346,101,0)</f>
        <v>478</v>
      </c>
      <c r="D139" s="139">
        <f>VLOOKUP(A139,'Data Vlaue (Cr)'!C134:CZ346,102,0)</f>
        <v>0.1244</v>
      </c>
      <c r="E139" s="91">
        <f>VLOOKUP($A139,'Data Vlaue (Cr)'!$C:$FB,75)</f>
        <v>1854</v>
      </c>
      <c r="F139" s="91">
        <f>VLOOKUP($A139,'Data Vlaue (Cr)'!$C:$FB,77)</f>
        <v>58</v>
      </c>
      <c r="G139" s="92">
        <f>VLOOKUP(A139,'Data Vlaue (Cr)'!C134:CB346,78,0)</f>
        <v>3.2199999999999999E-2</v>
      </c>
      <c r="H139" s="91">
        <f>VLOOKUP($A139,'Data Vlaue (Cr)'!$C:$FB,91)</f>
        <v>1680</v>
      </c>
      <c r="I139" s="91">
        <f>VLOOKUP($A139,'Data Vlaue (Cr)'!$C:$FB,93)</f>
        <v>350</v>
      </c>
      <c r="J139" s="92">
        <f>VLOOKUP($A139,'Data Vlaue (Cr)'!$C:$FB,94)</f>
        <v>0.26300000000000001</v>
      </c>
      <c r="K139" s="91">
        <f>VLOOKUP($A139,'Data Vlaue (Cr)'!$C:$FB,95)</f>
        <v>788</v>
      </c>
      <c r="L139" s="91">
        <f>VLOOKUP($A139,'Data Vlaue (Cr)'!$C:$FB,97)</f>
        <v>70</v>
      </c>
      <c r="M139" s="92">
        <f>VLOOKUP($A139,'Data Vlaue (Cr)'!$C:$FB,98)</f>
        <v>9.8100000000000007E-2</v>
      </c>
      <c r="N139" s="91">
        <f>VLOOKUP($A139,'Data Vlaue (Cr)'!$C:$FB,79)</f>
        <v>1782</v>
      </c>
      <c r="O139" s="92">
        <f>VLOOKUP($A139,'Data Vlaue (Cr)'!$C:$FB,82)</f>
        <v>2.7799999999999998E-2</v>
      </c>
    </row>
    <row r="140" spans="1:15" x14ac:dyDescent="0.25">
      <c r="A140" s="97" t="str">
        <f>'Data Vlaue (Cr)'!C135</f>
        <v>NATIONALUM</v>
      </c>
      <c r="B140" s="142">
        <f>VLOOKUP(A140,'Data Vlaue (Cr)'!C135:CW347,99,0)</f>
        <v>5551</v>
      </c>
      <c r="C140" s="90">
        <f>VLOOKUP(A140,'Data Vlaue (Cr)'!C135:CY347,101,0)</f>
        <v>-64</v>
      </c>
      <c r="D140" s="139">
        <f>VLOOKUP(A140,'Data Vlaue (Cr)'!C135:CZ347,102,0)</f>
        <v>-1.14E-2</v>
      </c>
      <c r="E140" s="91">
        <f>VLOOKUP($A140,'Data Vlaue (Cr)'!$C:$FB,75)</f>
        <v>2152</v>
      </c>
      <c r="F140" s="91">
        <f>VLOOKUP($A140,'Data Vlaue (Cr)'!$C:$FB,77)</f>
        <v>22</v>
      </c>
      <c r="G140" s="92">
        <f>VLOOKUP(A140,'Data Vlaue (Cr)'!C135:CB347,78,0)</f>
        <v>1.0500000000000001E-2</v>
      </c>
      <c r="H140" s="91">
        <f>VLOOKUP($A140,'Data Vlaue (Cr)'!$C:$FB,91)</f>
        <v>2035</v>
      </c>
      <c r="I140" s="91">
        <f>VLOOKUP($A140,'Data Vlaue (Cr)'!$C:$FB,93)</f>
        <v>-57</v>
      </c>
      <c r="J140" s="92">
        <f>VLOOKUP($A140,'Data Vlaue (Cr)'!$C:$FB,94)</f>
        <v>-2.75E-2</v>
      </c>
      <c r="K140" s="91">
        <f>VLOOKUP($A140,'Data Vlaue (Cr)'!$C:$FB,95)</f>
        <v>1364</v>
      </c>
      <c r="L140" s="91">
        <f>VLOOKUP($A140,'Data Vlaue (Cr)'!$C:$FB,97)</f>
        <v>-29</v>
      </c>
      <c r="M140" s="92">
        <f>VLOOKUP($A140,'Data Vlaue (Cr)'!$C:$FB,98)</f>
        <v>-2.07E-2</v>
      </c>
      <c r="N140" s="91">
        <f>VLOOKUP($A140,'Data Vlaue (Cr)'!$C:$FB,79)</f>
        <v>2035</v>
      </c>
      <c r="O140" s="92">
        <f>VLOOKUP($A140,'Data Vlaue (Cr)'!$C:$FB,82)</f>
        <v>8.8000000000000005E-3</v>
      </c>
    </row>
    <row r="141" spans="1:15" x14ac:dyDescent="0.25">
      <c r="A141" s="97" t="str">
        <f>'Data Vlaue (Cr)'!C136</f>
        <v>NAUKRI</v>
      </c>
      <c r="B141" s="142">
        <f>VLOOKUP(A141,'Data Vlaue (Cr)'!C136:CW348,99,0)</f>
        <v>2033</v>
      </c>
      <c r="C141" s="90">
        <f>VLOOKUP(A141,'Data Vlaue (Cr)'!C136:CY348,101,0)</f>
        <v>80</v>
      </c>
      <c r="D141" s="139">
        <f>VLOOKUP(A141,'Data Vlaue (Cr)'!C136:CZ348,102,0)</f>
        <v>4.0800000000000003E-2</v>
      </c>
      <c r="E141" s="91">
        <f>VLOOKUP($A141,'Data Vlaue (Cr)'!$C:$FB,75)</f>
        <v>1246</v>
      </c>
      <c r="F141" s="91">
        <f>VLOOKUP($A141,'Data Vlaue (Cr)'!$C:$FB,77)</f>
        <v>12</v>
      </c>
      <c r="G141" s="92">
        <f>VLOOKUP(A141,'Data Vlaue (Cr)'!C136:CB348,78,0)</f>
        <v>9.9000000000000008E-3</v>
      </c>
      <c r="H141" s="91">
        <f>VLOOKUP($A141,'Data Vlaue (Cr)'!$C:$FB,91)</f>
        <v>481</v>
      </c>
      <c r="I141" s="91">
        <f>VLOOKUP($A141,'Data Vlaue (Cr)'!$C:$FB,93)</f>
        <v>43</v>
      </c>
      <c r="J141" s="92">
        <f>VLOOKUP($A141,'Data Vlaue (Cr)'!$C:$FB,94)</f>
        <v>9.8000000000000004E-2</v>
      </c>
      <c r="K141" s="91">
        <f>VLOOKUP($A141,'Data Vlaue (Cr)'!$C:$FB,95)</f>
        <v>307</v>
      </c>
      <c r="L141" s="91">
        <f>VLOOKUP($A141,'Data Vlaue (Cr)'!$C:$FB,97)</f>
        <v>25</v>
      </c>
      <c r="M141" s="92">
        <f>VLOOKUP($A141,'Data Vlaue (Cr)'!$C:$FB,98)</f>
        <v>8.6900000000000005E-2</v>
      </c>
      <c r="N141" s="91">
        <f>VLOOKUP($A141,'Data Vlaue (Cr)'!$C:$FB,79)</f>
        <v>1200</v>
      </c>
      <c r="O141" s="92">
        <f>VLOOKUP($A141,'Data Vlaue (Cr)'!$C:$FB,82)</f>
        <v>7.0000000000000001E-3</v>
      </c>
    </row>
    <row r="142" spans="1:15" x14ac:dyDescent="0.25">
      <c r="A142" s="97" t="str">
        <f>'Data Vlaue (Cr)'!C137</f>
        <v>NBCC</v>
      </c>
      <c r="B142" s="142">
        <f>VLOOKUP(A142,'Data Vlaue (Cr)'!C137:CW349,99,0)</f>
        <v>1603</v>
      </c>
      <c r="C142" s="90">
        <f>VLOOKUP(A142,'Data Vlaue (Cr)'!C137:CY349,101,0)</f>
        <v>48</v>
      </c>
      <c r="D142" s="139">
        <f>VLOOKUP(A142,'Data Vlaue (Cr)'!C137:CZ349,102,0)</f>
        <v>3.09E-2</v>
      </c>
      <c r="E142" s="91">
        <f>VLOOKUP($A142,'Data Vlaue (Cr)'!$C:$FB,75)</f>
        <v>981</v>
      </c>
      <c r="F142" s="91">
        <f>VLOOKUP($A142,'Data Vlaue (Cr)'!$C:$FB,77)</f>
        <v>31</v>
      </c>
      <c r="G142" s="92">
        <f>VLOOKUP(A142,'Data Vlaue (Cr)'!C137:CB349,78,0)</f>
        <v>3.2800000000000003E-2</v>
      </c>
      <c r="H142" s="91">
        <f>VLOOKUP($A142,'Data Vlaue (Cr)'!$C:$FB,91)</f>
        <v>393</v>
      </c>
      <c r="I142" s="91">
        <f>VLOOKUP($A142,'Data Vlaue (Cr)'!$C:$FB,93)</f>
        <v>12</v>
      </c>
      <c r="J142" s="92">
        <f>VLOOKUP($A142,'Data Vlaue (Cr)'!$C:$FB,94)</f>
        <v>3.2399999999999998E-2</v>
      </c>
      <c r="K142" s="91">
        <f>VLOOKUP($A142,'Data Vlaue (Cr)'!$C:$FB,95)</f>
        <v>229</v>
      </c>
      <c r="L142" s="91">
        <f>VLOOKUP($A142,'Data Vlaue (Cr)'!$C:$FB,97)</f>
        <v>5</v>
      </c>
      <c r="M142" s="92">
        <f>VLOOKUP($A142,'Data Vlaue (Cr)'!$C:$FB,98)</f>
        <v>2.0299999999999999E-2</v>
      </c>
      <c r="N142" s="91">
        <f>VLOOKUP($A142,'Data Vlaue (Cr)'!$C:$FB,79)</f>
        <v>899</v>
      </c>
      <c r="O142" s="92">
        <f>VLOOKUP($A142,'Data Vlaue (Cr)'!$C:$FB,82)</f>
        <v>1.6E-2</v>
      </c>
    </row>
    <row r="143" spans="1:15" x14ac:dyDescent="0.25">
      <c r="A143" s="97" t="str">
        <f>'Data Vlaue (Cr)'!C138</f>
        <v>NESTLEIND</v>
      </c>
      <c r="B143" s="142">
        <f>VLOOKUP(A143,'Data Vlaue (Cr)'!C138:CW350,99,0)</f>
        <v>3234</v>
      </c>
      <c r="C143" s="90">
        <f>VLOOKUP(A143,'Data Vlaue (Cr)'!C138:CY350,101,0)</f>
        <v>-15</v>
      </c>
      <c r="D143" s="139">
        <f>VLOOKUP(A143,'Data Vlaue (Cr)'!C138:CZ350,102,0)</f>
        <v>-4.7000000000000002E-3</v>
      </c>
      <c r="E143" s="91">
        <f>VLOOKUP($A143,'Data Vlaue (Cr)'!$C:$FB,75)</f>
        <v>2153</v>
      </c>
      <c r="F143" s="91">
        <f>VLOOKUP($A143,'Data Vlaue (Cr)'!$C:$FB,77)</f>
        <v>-23</v>
      </c>
      <c r="G143" s="92">
        <f>VLOOKUP(A143,'Data Vlaue (Cr)'!C138:CB350,78,0)</f>
        <v>-1.06E-2</v>
      </c>
      <c r="H143" s="91">
        <f>VLOOKUP($A143,'Data Vlaue (Cr)'!$C:$FB,91)</f>
        <v>733</v>
      </c>
      <c r="I143" s="91">
        <f>VLOOKUP($A143,'Data Vlaue (Cr)'!$C:$FB,93)</f>
        <v>2</v>
      </c>
      <c r="J143" s="92">
        <f>VLOOKUP($A143,'Data Vlaue (Cr)'!$C:$FB,94)</f>
        <v>2.3E-3</v>
      </c>
      <c r="K143" s="91">
        <f>VLOOKUP($A143,'Data Vlaue (Cr)'!$C:$FB,95)</f>
        <v>348</v>
      </c>
      <c r="L143" s="91">
        <f>VLOOKUP($A143,'Data Vlaue (Cr)'!$C:$FB,97)</f>
        <v>6</v>
      </c>
      <c r="M143" s="92">
        <f>VLOOKUP($A143,'Data Vlaue (Cr)'!$C:$FB,98)</f>
        <v>1.83E-2</v>
      </c>
      <c r="N143" s="91">
        <f>VLOOKUP($A143,'Data Vlaue (Cr)'!$C:$FB,79)</f>
        <v>2089</v>
      </c>
      <c r="O143" s="92">
        <f>VLOOKUP($A143,'Data Vlaue (Cr)'!$C:$FB,82)</f>
        <v>-1.1900000000000001E-2</v>
      </c>
    </row>
    <row r="144" spans="1:15" x14ac:dyDescent="0.25">
      <c r="A144" s="97" t="str">
        <f>'Data Vlaue (Cr)'!C139</f>
        <v>NHPC</v>
      </c>
      <c r="B144" s="142">
        <f>VLOOKUP(A144,'Data Vlaue (Cr)'!C139:CW351,99,0)</f>
        <v>1328</v>
      </c>
      <c r="C144" s="90">
        <f>VLOOKUP(A144,'Data Vlaue (Cr)'!C139:CY351,101,0)</f>
        <v>-17</v>
      </c>
      <c r="D144" s="139">
        <f>VLOOKUP(A144,'Data Vlaue (Cr)'!C139:CZ351,102,0)</f>
        <v>-1.24E-2</v>
      </c>
      <c r="E144" s="91">
        <f>VLOOKUP($A144,'Data Vlaue (Cr)'!$C:$FB,75)</f>
        <v>722</v>
      </c>
      <c r="F144" s="91">
        <f>VLOOKUP($A144,'Data Vlaue (Cr)'!$C:$FB,77)</f>
        <v>-12</v>
      </c>
      <c r="G144" s="92">
        <f>VLOOKUP(A144,'Data Vlaue (Cr)'!C139:CB351,78,0)</f>
        <v>-1.66E-2</v>
      </c>
      <c r="H144" s="91">
        <f>VLOOKUP($A144,'Data Vlaue (Cr)'!$C:$FB,91)</f>
        <v>411</v>
      </c>
      <c r="I144" s="91">
        <f>VLOOKUP($A144,'Data Vlaue (Cr)'!$C:$FB,93)</f>
        <v>17</v>
      </c>
      <c r="J144" s="92">
        <f>VLOOKUP($A144,'Data Vlaue (Cr)'!$C:$FB,94)</f>
        <v>4.2700000000000002E-2</v>
      </c>
      <c r="K144" s="91">
        <f>VLOOKUP($A144,'Data Vlaue (Cr)'!$C:$FB,95)</f>
        <v>194</v>
      </c>
      <c r="L144" s="91">
        <f>VLOOKUP($A144,'Data Vlaue (Cr)'!$C:$FB,97)</f>
        <v>-21</v>
      </c>
      <c r="M144" s="92">
        <f>VLOOKUP($A144,'Data Vlaue (Cr)'!$C:$FB,98)</f>
        <v>-9.8599999999999993E-2</v>
      </c>
      <c r="N144" s="91">
        <f>VLOOKUP($A144,'Data Vlaue (Cr)'!$C:$FB,79)</f>
        <v>692</v>
      </c>
      <c r="O144" s="92">
        <f>VLOOKUP($A144,'Data Vlaue (Cr)'!$C:$FB,82)</f>
        <v>-1.9599999999999999E-2</v>
      </c>
    </row>
    <row r="145" spans="1:15" x14ac:dyDescent="0.25">
      <c r="A145" s="97" t="str">
        <f>'Data Vlaue (Cr)'!C140</f>
        <v>NIFTY</v>
      </c>
      <c r="B145" s="142">
        <f>VLOOKUP(A145,'Data Vlaue (Cr)'!C140:CW352,99,0)</f>
        <v>1085309</v>
      </c>
      <c r="C145" s="90">
        <f>VLOOKUP(A145,'Data Vlaue (Cr)'!C140:CY352,101,0)</f>
        <v>-650110</v>
      </c>
      <c r="D145" s="139">
        <f>VLOOKUP(A145,'Data Vlaue (Cr)'!C140:CZ352,102,0)</f>
        <v>-0.37459999999999999</v>
      </c>
      <c r="E145" s="91">
        <f>VLOOKUP($A145,'Data Vlaue (Cr)'!$C:$FB,75)</f>
        <v>43447</v>
      </c>
      <c r="F145" s="91">
        <f>VLOOKUP($A145,'Data Vlaue (Cr)'!$C:$FB,77)</f>
        <v>97</v>
      </c>
      <c r="G145" s="92">
        <f>VLOOKUP(A145,'Data Vlaue (Cr)'!C140:CB352,78,0)</f>
        <v>2.2000000000000001E-3</v>
      </c>
      <c r="H145" s="91">
        <f>VLOOKUP($A145,'Data Vlaue (Cr)'!$C:$FB,91)</f>
        <v>506970</v>
      </c>
      <c r="I145" s="91">
        <f>VLOOKUP($A145,'Data Vlaue (Cr)'!$C:$FB,93)</f>
        <v>137980</v>
      </c>
      <c r="J145" s="92">
        <f>VLOOKUP($A145,'Data Vlaue (Cr)'!$C:$FB,94)</f>
        <v>0.37390000000000001</v>
      </c>
      <c r="K145" s="91">
        <f>VLOOKUP($A145,'Data Vlaue (Cr)'!$C:$FB,95)</f>
        <v>534892</v>
      </c>
      <c r="L145" s="91">
        <f>VLOOKUP($A145,'Data Vlaue (Cr)'!$C:$FB,97)</f>
        <v>103501</v>
      </c>
      <c r="M145" s="92">
        <f>VLOOKUP($A145,'Data Vlaue (Cr)'!$C:$FB,98)</f>
        <v>0.2399</v>
      </c>
      <c r="N145" s="91">
        <f>VLOOKUP($A145,'Data Vlaue (Cr)'!$C:$FB,79)</f>
        <v>39004</v>
      </c>
      <c r="O145" s="92">
        <f>VLOOKUP($A145,'Data Vlaue (Cr)'!$C:$FB,82)</f>
        <v>4.0000000000000002E-4</v>
      </c>
    </row>
    <row r="146" spans="1:15" x14ac:dyDescent="0.25">
      <c r="A146" s="97" t="str">
        <f>'Data Vlaue (Cr)'!C141</f>
        <v>NIFTYNXT50</v>
      </c>
      <c r="B146" s="142">
        <f>VLOOKUP(A146,'Data Vlaue (Cr)'!C141:CW353,99,0)</f>
        <v>313</v>
      </c>
      <c r="C146" s="90">
        <f>VLOOKUP(A146,'Data Vlaue (Cr)'!C141:CY353,101,0)</f>
        <v>30</v>
      </c>
      <c r="D146" s="139">
        <f>VLOOKUP(A146,'Data Vlaue (Cr)'!C141:CZ353,102,0)</f>
        <v>0.1074</v>
      </c>
      <c r="E146" s="91">
        <f>VLOOKUP($A146,'Data Vlaue (Cr)'!$C:$FB,75)</f>
        <v>144</v>
      </c>
      <c r="F146" s="91">
        <f>VLOOKUP($A146,'Data Vlaue (Cr)'!$C:$FB,77)</f>
        <v>9</v>
      </c>
      <c r="G146" s="92">
        <f>VLOOKUP(A146,'Data Vlaue (Cr)'!C141:CB353,78,0)</f>
        <v>6.3500000000000001E-2</v>
      </c>
      <c r="H146" s="91">
        <f>VLOOKUP($A146,'Data Vlaue (Cr)'!$C:$FB,91)</f>
        <v>89</v>
      </c>
      <c r="I146" s="91">
        <f>VLOOKUP($A146,'Data Vlaue (Cr)'!$C:$FB,93)</f>
        <v>4</v>
      </c>
      <c r="J146" s="92">
        <f>VLOOKUP($A146,'Data Vlaue (Cr)'!$C:$FB,94)</f>
        <v>4.5199999999999997E-2</v>
      </c>
      <c r="K146" s="91">
        <f>VLOOKUP($A146,'Data Vlaue (Cr)'!$C:$FB,95)</f>
        <v>80</v>
      </c>
      <c r="L146" s="91">
        <f>VLOOKUP($A146,'Data Vlaue (Cr)'!$C:$FB,97)</f>
        <v>18</v>
      </c>
      <c r="M146" s="92">
        <f>VLOOKUP($A146,'Data Vlaue (Cr)'!$C:$FB,98)</f>
        <v>0.2898</v>
      </c>
      <c r="N146" s="91">
        <f>VLOOKUP($A146,'Data Vlaue (Cr)'!$C:$FB,79)</f>
        <v>136</v>
      </c>
      <c r="O146" s="92">
        <f>VLOOKUP($A146,'Data Vlaue (Cr)'!$C:$FB,82)</f>
        <v>6.7599999999999993E-2</v>
      </c>
    </row>
    <row r="147" spans="1:15" x14ac:dyDescent="0.25">
      <c r="A147" s="97" t="str">
        <f>'Data Vlaue (Cr)'!C142</f>
        <v>NMDC</v>
      </c>
      <c r="B147" s="142">
        <f>VLOOKUP(A147,'Data Vlaue (Cr)'!C142:CW354,99,0)</f>
        <v>4498</v>
      </c>
      <c r="C147" s="90">
        <f>VLOOKUP(A147,'Data Vlaue (Cr)'!C142:CY354,101,0)</f>
        <v>-44</v>
      </c>
      <c r="D147" s="139">
        <f>VLOOKUP(A147,'Data Vlaue (Cr)'!C142:CZ354,102,0)</f>
        <v>-9.5999999999999992E-3</v>
      </c>
      <c r="E147" s="91">
        <f>VLOOKUP($A147,'Data Vlaue (Cr)'!$C:$FB,75)</f>
        <v>2998</v>
      </c>
      <c r="F147" s="91">
        <f>VLOOKUP($A147,'Data Vlaue (Cr)'!$C:$FB,77)</f>
        <v>-16</v>
      </c>
      <c r="G147" s="92">
        <f>VLOOKUP(A147,'Data Vlaue (Cr)'!C142:CB354,78,0)</f>
        <v>-5.3E-3</v>
      </c>
      <c r="H147" s="91">
        <f>VLOOKUP($A147,'Data Vlaue (Cr)'!$C:$FB,91)</f>
        <v>1001</v>
      </c>
      <c r="I147" s="91">
        <f>VLOOKUP($A147,'Data Vlaue (Cr)'!$C:$FB,93)</f>
        <v>-29</v>
      </c>
      <c r="J147" s="92">
        <f>VLOOKUP($A147,'Data Vlaue (Cr)'!$C:$FB,94)</f>
        <v>-2.8400000000000002E-2</v>
      </c>
      <c r="K147" s="91">
        <f>VLOOKUP($A147,'Data Vlaue (Cr)'!$C:$FB,95)</f>
        <v>499</v>
      </c>
      <c r="L147" s="91">
        <f>VLOOKUP($A147,'Data Vlaue (Cr)'!$C:$FB,97)</f>
        <v>2</v>
      </c>
      <c r="M147" s="92">
        <f>VLOOKUP($A147,'Data Vlaue (Cr)'!$C:$FB,98)</f>
        <v>3.0999999999999999E-3</v>
      </c>
      <c r="N147" s="91">
        <f>VLOOKUP($A147,'Data Vlaue (Cr)'!$C:$FB,79)</f>
        <v>2872</v>
      </c>
      <c r="O147" s="92">
        <f>VLOOKUP($A147,'Data Vlaue (Cr)'!$C:$FB,82)</f>
        <v>-7.4000000000000003E-3</v>
      </c>
    </row>
    <row r="148" spans="1:15" x14ac:dyDescent="0.25">
      <c r="A148" s="97" t="str">
        <f>'Data Vlaue (Cr)'!C143</f>
        <v>NTPC</v>
      </c>
      <c r="B148" s="142">
        <f>VLOOKUP(A148,'Data Vlaue (Cr)'!C143:CW355,99,0)</f>
        <v>8125</v>
      </c>
      <c r="C148" s="90">
        <f>VLOOKUP(A148,'Data Vlaue (Cr)'!C143:CY355,101,0)</f>
        <v>187</v>
      </c>
      <c r="D148" s="139">
        <f>VLOOKUP(A148,'Data Vlaue (Cr)'!C143:CZ355,102,0)</f>
        <v>2.3599999999999999E-2</v>
      </c>
      <c r="E148" s="91">
        <f>VLOOKUP($A148,'Data Vlaue (Cr)'!$C:$FB,75)</f>
        <v>3080</v>
      </c>
      <c r="F148" s="91">
        <f>VLOOKUP($A148,'Data Vlaue (Cr)'!$C:$FB,77)</f>
        <v>-13</v>
      </c>
      <c r="G148" s="92">
        <f>VLOOKUP(A148,'Data Vlaue (Cr)'!C143:CB355,78,0)</f>
        <v>-4.1999999999999997E-3</v>
      </c>
      <c r="H148" s="91">
        <f>VLOOKUP($A148,'Data Vlaue (Cr)'!$C:$FB,91)</f>
        <v>3477</v>
      </c>
      <c r="I148" s="91">
        <f>VLOOKUP($A148,'Data Vlaue (Cr)'!$C:$FB,93)</f>
        <v>136</v>
      </c>
      <c r="J148" s="92">
        <f>VLOOKUP($A148,'Data Vlaue (Cr)'!$C:$FB,94)</f>
        <v>4.0599999999999997E-2</v>
      </c>
      <c r="K148" s="91">
        <f>VLOOKUP($A148,'Data Vlaue (Cr)'!$C:$FB,95)</f>
        <v>1568</v>
      </c>
      <c r="L148" s="91">
        <f>VLOOKUP($A148,'Data Vlaue (Cr)'!$C:$FB,97)</f>
        <v>65</v>
      </c>
      <c r="M148" s="92">
        <f>VLOOKUP($A148,'Data Vlaue (Cr)'!$C:$FB,98)</f>
        <v>4.3200000000000002E-2</v>
      </c>
      <c r="N148" s="91">
        <f>VLOOKUP($A148,'Data Vlaue (Cr)'!$C:$FB,79)</f>
        <v>2963</v>
      </c>
      <c r="O148" s="92">
        <f>VLOOKUP($A148,'Data Vlaue (Cr)'!$C:$FB,82)</f>
        <v>-5.5999999999999999E-3</v>
      </c>
    </row>
    <row r="149" spans="1:15" x14ac:dyDescent="0.25">
      <c r="A149" s="97" t="str">
        <f>'Data Vlaue (Cr)'!C144</f>
        <v>NUVAMA</v>
      </c>
      <c r="B149" s="142">
        <f>VLOOKUP(A149,'Data Vlaue (Cr)'!C144:CW356,99,0)</f>
        <v>641</v>
      </c>
      <c r="C149" s="90">
        <f>VLOOKUP(A149,'Data Vlaue (Cr)'!C144:CY356,101,0)</f>
        <v>17</v>
      </c>
      <c r="D149" s="139">
        <f>VLOOKUP(A149,'Data Vlaue (Cr)'!C144:CZ356,102,0)</f>
        <v>2.6700000000000002E-2</v>
      </c>
      <c r="E149" s="91">
        <f>VLOOKUP($A149,'Data Vlaue (Cr)'!$C:$FB,75)</f>
        <v>257</v>
      </c>
      <c r="F149" s="91">
        <f>VLOOKUP($A149,'Data Vlaue (Cr)'!$C:$FB,77)</f>
        <v>-24</v>
      </c>
      <c r="G149" s="92">
        <f>VLOOKUP(A149,'Data Vlaue (Cr)'!C144:CB356,78,0)</f>
        <v>-8.5599999999999996E-2</v>
      </c>
      <c r="H149" s="91">
        <f>VLOOKUP($A149,'Data Vlaue (Cr)'!$C:$FB,91)</f>
        <v>219</v>
      </c>
      <c r="I149" s="91">
        <f>VLOOKUP($A149,'Data Vlaue (Cr)'!$C:$FB,93)</f>
        <v>10</v>
      </c>
      <c r="J149" s="92">
        <f>VLOOKUP($A149,'Data Vlaue (Cr)'!$C:$FB,94)</f>
        <v>4.8899999999999999E-2</v>
      </c>
      <c r="K149" s="91">
        <f>VLOOKUP($A149,'Data Vlaue (Cr)'!$C:$FB,95)</f>
        <v>166</v>
      </c>
      <c r="L149" s="91">
        <f>VLOOKUP($A149,'Data Vlaue (Cr)'!$C:$FB,97)</f>
        <v>31</v>
      </c>
      <c r="M149" s="92">
        <f>VLOOKUP($A149,'Data Vlaue (Cr)'!$C:$FB,98)</f>
        <v>0.22489999999999999</v>
      </c>
      <c r="N149" s="91">
        <f>VLOOKUP($A149,'Data Vlaue (Cr)'!$C:$FB,79)</f>
        <v>238</v>
      </c>
      <c r="O149" s="92">
        <f>VLOOKUP($A149,'Data Vlaue (Cr)'!$C:$FB,82)</f>
        <v>-0.1062</v>
      </c>
    </row>
    <row r="150" spans="1:15" x14ac:dyDescent="0.25">
      <c r="A150" s="97" t="str">
        <f>'Data Vlaue (Cr)'!C145</f>
        <v>NYKAA</v>
      </c>
      <c r="B150" s="142">
        <f>VLOOKUP(A150,'Data Vlaue (Cr)'!C145:CW357,99,0)</f>
        <v>2325</v>
      </c>
      <c r="C150" s="90">
        <f>VLOOKUP(A150,'Data Vlaue (Cr)'!C145:CY357,101,0)</f>
        <v>-25</v>
      </c>
      <c r="D150" s="139">
        <f>VLOOKUP(A150,'Data Vlaue (Cr)'!C145:CZ357,102,0)</f>
        <v>-1.0800000000000001E-2</v>
      </c>
      <c r="E150" s="91">
        <f>VLOOKUP($A150,'Data Vlaue (Cr)'!$C:$FB,75)</f>
        <v>1210</v>
      </c>
      <c r="F150" s="91">
        <f>VLOOKUP($A150,'Data Vlaue (Cr)'!$C:$FB,77)</f>
        <v>1</v>
      </c>
      <c r="G150" s="92">
        <f>VLOOKUP(A150,'Data Vlaue (Cr)'!C145:CB357,78,0)</f>
        <v>8.9999999999999998E-4</v>
      </c>
      <c r="H150" s="91">
        <f>VLOOKUP($A150,'Data Vlaue (Cr)'!$C:$FB,91)</f>
        <v>500</v>
      </c>
      <c r="I150" s="91">
        <f>VLOOKUP($A150,'Data Vlaue (Cr)'!$C:$FB,93)</f>
        <v>-16</v>
      </c>
      <c r="J150" s="92">
        <f>VLOOKUP($A150,'Data Vlaue (Cr)'!$C:$FB,94)</f>
        <v>-3.1E-2</v>
      </c>
      <c r="K150" s="91">
        <f>VLOOKUP($A150,'Data Vlaue (Cr)'!$C:$FB,95)</f>
        <v>616</v>
      </c>
      <c r="L150" s="91">
        <f>VLOOKUP($A150,'Data Vlaue (Cr)'!$C:$FB,97)</f>
        <v>-10</v>
      </c>
      <c r="M150" s="92">
        <f>VLOOKUP($A150,'Data Vlaue (Cr)'!$C:$FB,98)</f>
        <v>-1.67E-2</v>
      </c>
      <c r="N150" s="91">
        <f>VLOOKUP($A150,'Data Vlaue (Cr)'!$C:$FB,79)</f>
        <v>1165</v>
      </c>
      <c r="O150" s="92">
        <f>VLOOKUP($A150,'Data Vlaue (Cr)'!$C:$FB,82)</f>
        <v>-1E-3</v>
      </c>
    </row>
    <row r="151" spans="1:15" x14ac:dyDescent="0.25">
      <c r="A151" s="97" t="str">
        <f>'Data Vlaue (Cr)'!C146</f>
        <v>OBEROIRLTY</v>
      </c>
      <c r="B151" s="142">
        <f>VLOOKUP(A151,'Data Vlaue (Cr)'!C146:CW358,99,0)</f>
        <v>1517</v>
      </c>
      <c r="C151" s="90">
        <f>VLOOKUP(A151,'Data Vlaue (Cr)'!C146:CY358,101,0)</f>
        <v>6</v>
      </c>
      <c r="D151" s="139">
        <f>VLOOKUP(A151,'Data Vlaue (Cr)'!C146:CZ358,102,0)</f>
        <v>4.1000000000000003E-3</v>
      </c>
      <c r="E151" s="91">
        <f>VLOOKUP($A151,'Data Vlaue (Cr)'!$C:$FB,75)</f>
        <v>903</v>
      </c>
      <c r="F151" s="91">
        <f>VLOOKUP($A151,'Data Vlaue (Cr)'!$C:$FB,77)</f>
        <v>-9</v>
      </c>
      <c r="G151" s="92">
        <f>VLOOKUP(A151,'Data Vlaue (Cr)'!C146:CB358,78,0)</f>
        <v>-9.9000000000000008E-3</v>
      </c>
      <c r="H151" s="91">
        <f>VLOOKUP($A151,'Data Vlaue (Cr)'!$C:$FB,91)</f>
        <v>333</v>
      </c>
      <c r="I151" s="91">
        <f>VLOOKUP($A151,'Data Vlaue (Cr)'!$C:$FB,93)</f>
        <v>22</v>
      </c>
      <c r="J151" s="92">
        <f>VLOOKUP($A151,'Data Vlaue (Cr)'!$C:$FB,94)</f>
        <v>7.2099999999999997E-2</v>
      </c>
      <c r="K151" s="91">
        <f>VLOOKUP($A151,'Data Vlaue (Cr)'!$C:$FB,95)</f>
        <v>281</v>
      </c>
      <c r="L151" s="91">
        <f>VLOOKUP($A151,'Data Vlaue (Cr)'!$C:$FB,97)</f>
        <v>-7</v>
      </c>
      <c r="M151" s="92">
        <f>VLOOKUP($A151,'Data Vlaue (Cr)'!$C:$FB,98)</f>
        <v>-2.47E-2</v>
      </c>
      <c r="N151" s="91">
        <f>VLOOKUP($A151,'Data Vlaue (Cr)'!$C:$FB,79)</f>
        <v>877</v>
      </c>
      <c r="O151" s="92">
        <f>VLOOKUP($A151,'Data Vlaue (Cr)'!$C:$FB,82)</f>
        <v>-1.0999999999999999E-2</v>
      </c>
    </row>
    <row r="152" spans="1:15" x14ac:dyDescent="0.25">
      <c r="A152" s="97" t="str">
        <f>'Data Vlaue (Cr)'!C147</f>
        <v>OFSS</v>
      </c>
      <c r="B152" s="142">
        <f>VLOOKUP(A152,'Data Vlaue (Cr)'!C147:CW359,99,0)</f>
        <v>1736</v>
      </c>
      <c r="C152" s="90">
        <f>VLOOKUP(A152,'Data Vlaue (Cr)'!C147:CY359,101,0)</f>
        <v>64</v>
      </c>
      <c r="D152" s="139">
        <f>VLOOKUP(A152,'Data Vlaue (Cr)'!C147:CZ359,102,0)</f>
        <v>3.8399999999999997E-2</v>
      </c>
      <c r="E152" s="91">
        <f>VLOOKUP($A152,'Data Vlaue (Cr)'!$C:$FB,75)</f>
        <v>942</v>
      </c>
      <c r="F152" s="91">
        <f>VLOOKUP($A152,'Data Vlaue (Cr)'!$C:$FB,77)</f>
        <v>17</v>
      </c>
      <c r="G152" s="92">
        <f>VLOOKUP(A152,'Data Vlaue (Cr)'!C147:CB359,78,0)</f>
        <v>1.8100000000000002E-2</v>
      </c>
      <c r="H152" s="91">
        <f>VLOOKUP($A152,'Data Vlaue (Cr)'!$C:$FB,91)</f>
        <v>502</v>
      </c>
      <c r="I152" s="91">
        <f>VLOOKUP($A152,'Data Vlaue (Cr)'!$C:$FB,93)</f>
        <v>38</v>
      </c>
      <c r="J152" s="92">
        <f>VLOOKUP($A152,'Data Vlaue (Cr)'!$C:$FB,94)</f>
        <v>8.1699999999999995E-2</v>
      </c>
      <c r="K152" s="91">
        <f>VLOOKUP($A152,'Data Vlaue (Cr)'!$C:$FB,95)</f>
        <v>292</v>
      </c>
      <c r="L152" s="91">
        <f>VLOOKUP($A152,'Data Vlaue (Cr)'!$C:$FB,97)</f>
        <v>10</v>
      </c>
      <c r="M152" s="92">
        <f>VLOOKUP($A152,'Data Vlaue (Cr)'!$C:$FB,98)</f>
        <v>3.3700000000000001E-2</v>
      </c>
      <c r="N152" s="91">
        <f>VLOOKUP($A152,'Data Vlaue (Cr)'!$C:$FB,79)</f>
        <v>887</v>
      </c>
      <c r="O152" s="92">
        <f>VLOOKUP($A152,'Data Vlaue (Cr)'!$C:$FB,82)</f>
        <v>0.01</v>
      </c>
    </row>
    <row r="153" spans="1:15" x14ac:dyDescent="0.25">
      <c r="A153" s="97" t="str">
        <f>'Data Vlaue (Cr)'!C148</f>
        <v>OIL</v>
      </c>
      <c r="B153" s="142">
        <f>VLOOKUP(A153,'Data Vlaue (Cr)'!C148:CW360,99,0)</f>
        <v>2007</v>
      </c>
      <c r="C153" s="90">
        <f>VLOOKUP(A153,'Data Vlaue (Cr)'!C148:CY360,101,0)</f>
        <v>60</v>
      </c>
      <c r="D153" s="139">
        <f>VLOOKUP(A153,'Data Vlaue (Cr)'!C148:CZ360,102,0)</f>
        <v>3.1E-2</v>
      </c>
      <c r="E153" s="91">
        <f>VLOOKUP($A153,'Data Vlaue (Cr)'!$C:$FB,75)</f>
        <v>940</v>
      </c>
      <c r="F153" s="91">
        <f>VLOOKUP($A153,'Data Vlaue (Cr)'!$C:$FB,77)</f>
        <v>63</v>
      </c>
      <c r="G153" s="92">
        <f>VLOOKUP(A153,'Data Vlaue (Cr)'!C148:CB360,78,0)</f>
        <v>7.17E-2</v>
      </c>
      <c r="H153" s="91">
        <f>VLOOKUP($A153,'Data Vlaue (Cr)'!$C:$FB,91)</f>
        <v>714</v>
      </c>
      <c r="I153" s="91">
        <f>VLOOKUP($A153,'Data Vlaue (Cr)'!$C:$FB,93)</f>
        <v>12</v>
      </c>
      <c r="J153" s="92">
        <f>VLOOKUP($A153,'Data Vlaue (Cr)'!$C:$FB,94)</f>
        <v>1.72E-2</v>
      </c>
      <c r="K153" s="91">
        <f>VLOOKUP($A153,'Data Vlaue (Cr)'!$C:$FB,95)</f>
        <v>353</v>
      </c>
      <c r="L153" s="91">
        <f>VLOOKUP($A153,'Data Vlaue (Cr)'!$C:$FB,97)</f>
        <v>-15</v>
      </c>
      <c r="M153" s="92">
        <f>VLOOKUP($A153,'Data Vlaue (Cr)'!$C:$FB,98)</f>
        <v>-3.9800000000000002E-2</v>
      </c>
      <c r="N153" s="91">
        <f>VLOOKUP($A153,'Data Vlaue (Cr)'!$C:$FB,79)</f>
        <v>894</v>
      </c>
      <c r="O153" s="92">
        <f>VLOOKUP($A153,'Data Vlaue (Cr)'!$C:$FB,82)</f>
        <v>6.8599999999999994E-2</v>
      </c>
    </row>
    <row r="154" spans="1:15" x14ac:dyDescent="0.25">
      <c r="A154" s="97" t="str">
        <f>'Data Vlaue (Cr)'!C149</f>
        <v>ONGC</v>
      </c>
      <c r="B154" s="142">
        <f>VLOOKUP(A154,'Data Vlaue (Cr)'!C149:CW361,99,0)</f>
        <v>6327</v>
      </c>
      <c r="C154" s="90">
        <f>VLOOKUP(A154,'Data Vlaue (Cr)'!C149:CY361,101,0)</f>
        <v>282</v>
      </c>
      <c r="D154" s="139">
        <f>VLOOKUP(A154,'Data Vlaue (Cr)'!C149:CZ361,102,0)</f>
        <v>4.6699999999999998E-2</v>
      </c>
      <c r="E154" s="91">
        <f>VLOOKUP($A154,'Data Vlaue (Cr)'!$C:$FB,75)</f>
        <v>2695</v>
      </c>
      <c r="F154" s="91">
        <f>VLOOKUP($A154,'Data Vlaue (Cr)'!$C:$FB,77)</f>
        <v>28</v>
      </c>
      <c r="G154" s="92">
        <f>VLOOKUP(A154,'Data Vlaue (Cr)'!C149:CB361,78,0)</f>
        <v>1.0500000000000001E-2</v>
      </c>
      <c r="H154" s="91">
        <f>VLOOKUP($A154,'Data Vlaue (Cr)'!$C:$FB,91)</f>
        <v>2547</v>
      </c>
      <c r="I154" s="91">
        <f>VLOOKUP($A154,'Data Vlaue (Cr)'!$C:$FB,93)</f>
        <v>167</v>
      </c>
      <c r="J154" s="92">
        <f>VLOOKUP($A154,'Data Vlaue (Cr)'!$C:$FB,94)</f>
        <v>7.0300000000000001E-2</v>
      </c>
      <c r="K154" s="91">
        <f>VLOOKUP($A154,'Data Vlaue (Cr)'!$C:$FB,95)</f>
        <v>1085</v>
      </c>
      <c r="L154" s="91">
        <f>VLOOKUP($A154,'Data Vlaue (Cr)'!$C:$FB,97)</f>
        <v>87</v>
      </c>
      <c r="M154" s="92">
        <f>VLOOKUP($A154,'Data Vlaue (Cr)'!$C:$FB,98)</f>
        <v>8.7400000000000005E-2</v>
      </c>
      <c r="N154" s="91">
        <f>VLOOKUP($A154,'Data Vlaue (Cr)'!$C:$FB,79)</f>
        <v>2581</v>
      </c>
      <c r="O154" s="92">
        <f>VLOOKUP($A154,'Data Vlaue (Cr)'!$C:$FB,82)</f>
        <v>4.7999999999999996E-3</v>
      </c>
    </row>
    <row r="155" spans="1:15" x14ac:dyDescent="0.25">
      <c r="A155" s="97" t="str">
        <f>'Data Vlaue (Cr)'!C150</f>
        <v>PAGEIND</v>
      </c>
      <c r="B155" s="142">
        <f>VLOOKUP(A155,'Data Vlaue (Cr)'!C150:CW362,99,0)</f>
        <v>1728</v>
      </c>
      <c r="C155" s="90">
        <f>VLOOKUP(A155,'Data Vlaue (Cr)'!C150:CY362,101,0)</f>
        <v>37</v>
      </c>
      <c r="D155" s="139">
        <f>VLOOKUP(A155,'Data Vlaue (Cr)'!C150:CZ362,102,0)</f>
        <v>2.2100000000000002E-2</v>
      </c>
      <c r="E155" s="91">
        <f>VLOOKUP($A155,'Data Vlaue (Cr)'!$C:$FB,75)</f>
        <v>988</v>
      </c>
      <c r="F155" s="91">
        <f>VLOOKUP($A155,'Data Vlaue (Cr)'!$C:$FB,77)</f>
        <v>13</v>
      </c>
      <c r="G155" s="92">
        <f>VLOOKUP(A155,'Data Vlaue (Cr)'!C150:CB362,78,0)</f>
        <v>1.29E-2</v>
      </c>
      <c r="H155" s="91">
        <f>VLOOKUP($A155,'Data Vlaue (Cr)'!$C:$FB,91)</f>
        <v>507</v>
      </c>
      <c r="I155" s="91">
        <f>VLOOKUP($A155,'Data Vlaue (Cr)'!$C:$FB,93)</f>
        <v>25</v>
      </c>
      <c r="J155" s="92">
        <f>VLOOKUP($A155,'Data Vlaue (Cr)'!$C:$FB,94)</f>
        <v>5.2200000000000003E-2</v>
      </c>
      <c r="K155" s="91">
        <f>VLOOKUP($A155,'Data Vlaue (Cr)'!$C:$FB,95)</f>
        <v>233</v>
      </c>
      <c r="L155" s="91">
        <f>VLOOKUP($A155,'Data Vlaue (Cr)'!$C:$FB,97)</f>
        <v>-1</v>
      </c>
      <c r="M155" s="92">
        <f>VLOOKUP($A155,'Data Vlaue (Cr)'!$C:$FB,98)</f>
        <v>-2.2000000000000001E-3</v>
      </c>
      <c r="N155" s="91">
        <f>VLOOKUP($A155,'Data Vlaue (Cr)'!$C:$FB,79)</f>
        <v>894</v>
      </c>
      <c r="O155" s="92">
        <f>VLOOKUP($A155,'Data Vlaue (Cr)'!$C:$FB,82)</f>
        <v>8.8000000000000005E-3</v>
      </c>
    </row>
    <row r="156" spans="1:15" x14ac:dyDescent="0.25">
      <c r="A156" s="97" t="str">
        <f>'Data Vlaue (Cr)'!C151</f>
        <v>PATANJALI</v>
      </c>
      <c r="B156" s="142">
        <f>VLOOKUP(A156,'Data Vlaue (Cr)'!C151:CW363,99,0)</f>
        <v>2525</v>
      </c>
      <c r="C156" s="90">
        <f>VLOOKUP(A156,'Data Vlaue (Cr)'!C151:CY363,101,0)</f>
        <v>141</v>
      </c>
      <c r="D156" s="139">
        <f>VLOOKUP(A156,'Data Vlaue (Cr)'!C151:CZ363,102,0)</f>
        <v>5.8999999999999997E-2</v>
      </c>
      <c r="E156" s="91">
        <f>VLOOKUP($A156,'Data Vlaue (Cr)'!$C:$FB,75)</f>
        <v>1945</v>
      </c>
      <c r="F156" s="91">
        <f>VLOOKUP($A156,'Data Vlaue (Cr)'!$C:$FB,77)</f>
        <v>-8</v>
      </c>
      <c r="G156" s="92">
        <f>VLOOKUP(A156,'Data Vlaue (Cr)'!C151:CB363,78,0)</f>
        <v>-4.3E-3</v>
      </c>
      <c r="H156" s="91">
        <f>VLOOKUP($A156,'Data Vlaue (Cr)'!$C:$FB,91)</f>
        <v>284</v>
      </c>
      <c r="I156" s="91">
        <f>VLOOKUP($A156,'Data Vlaue (Cr)'!$C:$FB,93)</f>
        <v>85</v>
      </c>
      <c r="J156" s="92">
        <f>VLOOKUP($A156,'Data Vlaue (Cr)'!$C:$FB,94)</f>
        <v>0.42959999999999998</v>
      </c>
      <c r="K156" s="91">
        <f>VLOOKUP($A156,'Data Vlaue (Cr)'!$C:$FB,95)</f>
        <v>296</v>
      </c>
      <c r="L156" s="91">
        <f>VLOOKUP($A156,'Data Vlaue (Cr)'!$C:$FB,97)</f>
        <v>64</v>
      </c>
      <c r="M156" s="92">
        <f>VLOOKUP($A156,'Data Vlaue (Cr)'!$C:$FB,98)</f>
        <v>0.2747</v>
      </c>
      <c r="N156" s="91">
        <f>VLOOKUP($A156,'Data Vlaue (Cr)'!$C:$FB,79)</f>
        <v>1928</v>
      </c>
      <c r="O156" s="92">
        <f>VLOOKUP($A156,'Data Vlaue (Cr)'!$C:$FB,82)</f>
        <v>-5.7000000000000002E-3</v>
      </c>
    </row>
    <row r="157" spans="1:15" x14ac:dyDescent="0.25">
      <c r="A157" s="97" t="str">
        <f>'Data Vlaue (Cr)'!C152</f>
        <v>PAYTM</v>
      </c>
      <c r="B157" s="142">
        <f>VLOOKUP(A157,'Data Vlaue (Cr)'!C152:CW364,99,0)</f>
        <v>4247</v>
      </c>
      <c r="C157" s="90">
        <f>VLOOKUP(A157,'Data Vlaue (Cr)'!C152:CY364,101,0)</f>
        <v>126</v>
      </c>
      <c r="D157" s="139">
        <f>VLOOKUP(A157,'Data Vlaue (Cr)'!C152:CZ364,102,0)</f>
        <v>3.0599999999999999E-2</v>
      </c>
      <c r="E157" s="91">
        <f>VLOOKUP($A157,'Data Vlaue (Cr)'!$C:$FB,75)</f>
        <v>2055</v>
      </c>
      <c r="F157" s="91">
        <f>VLOOKUP($A157,'Data Vlaue (Cr)'!$C:$FB,77)</f>
        <v>65</v>
      </c>
      <c r="G157" s="92">
        <f>VLOOKUP(A157,'Data Vlaue (Cr)'!C152:CB364,78,0)</f>
        <v>3.2399999999999998E-2</v>
      </c>
      <c r="H157" s="91">
        <f>VLOOKUP($A157,'Data Vlaue (Cr)'!$C:$FB,91)</f>
        <v>1480</v>
      </c>
      <c r="I157" s="91">
        <f>VLOOKUP($A157,'Data Vlaue (Cr)'!$C:$FB,93)</f>
        <v>54</v>
      </c>
      <c r="J157" s="92">
        <f>VLOOKUP($A157,'Data Vlaue (Cr)'!$C:$FB,94)</f>
        <v>3.8199999999999998E-2</v>
      </c>
      <c r="K157" s="91">
        <f>VLOOKUP($A157,'Data Vlaue (Cr)'!$C:$FB,95)</f>
        <v>712</v>
      </c>
      <c r="L157" s="91">
        <f>VLOOKUP($A157,'Data Vlaue (Cr)'!$C:$FB,97)</f>
        <v>7</v>
      </c>
      <c r="M157" s="92">
        <f>VLOOKUP($A157,'Data Vlaue (Cr)'!$C:$FB,98)</f>
        <v>1.01E-2</v>
      </c>
      <c r="N157" s="91">
        <f>VLOOKUP($A157,'Data Vlaue (Cr)'!$C:$FB,79)</f>
        <v>1985</v>
      </c>
      <c r="O157" s="92">
        <f>VLOOKUP($A157,'Data Vlaue (Cr)'!$C:$FB,82)</f>
        <v>2.7E-2</v>
      </c>
    </row>
    <row r="158" spans="1:15" x14ac:dyDescent="0.25">
      <c r="A158" s="97" t="str">
        <f>'Data Vlaue (Cr)'!C153</f>
        <v>PERSISTENT</v>
      </c>
      <c r="B158" s="142">
        <f>VLOOKUP(A158,'Data Vlaue (Cr)'!C153:CW365,99,0)</f>
        <v>2908</v>
      </c>
      <c r="C158" s="90">
        <f>VLOOKUP(A158,'Data Vlaue (Cr)'!C153:CY365,101,0)</f>
        <v>335</v>
      </c>
      <c r="D158" s="139">
        <f>VLOOKUP(A158,'Data Vlaue (Cr)'!C153:CZ365,102,0)</f>
        <v>0.13039999999999999</v>
      </c>
      <c r="E158" s="91">
        <f>VLOOKUP($A158,'Data Vlaue (Cr)'!$C:$FB,75)</f>
        <v>1399</v>
      </c>
      <c r="F158" s="91">
        <f>VLOOKUP($A158,'Data Vlaue (Cr)'!$C:$FB,77)</f>
        <v>150</v>
      </c>
      <c r="G158" s="92">
        <f>VLOOKUP(A158,'Data Vlaue (Cr)'!C153:CB365,78,0)</f>
        <v>0.12</v>
      </c>
      <c r="H158" s="91">
        <f>VLOOKUP($A158,'Data Vlaue (Cr)'!$C:$FB,91)</f>
        <v>999</v>
      </c>
      <c r="I158" s="91">
        <f>VLOOKUP($A158,'Data Vlaue (Cr)'!$C:$FB,93)</f>
        <v>146</v>
      </c>
      <c r="J158" s="92">
        <f>VLOOKUP($A158,'Data Vlaue (Cr)'!$C:$FB,94)</f>
        <v>0.1716</v>
      </c>
      <c r="K158" s="91">
        <f>VLOOKUP($A158,'Data Vlaue (Cr)'!$C:$FB,95)</f>
        <v>510</v>
      </c>
      <c r="L158" s="91">
        <f>VLOOKUP($A158,'Data Vlaue (Cr)'!$C:$FB,97)</f>
        <v>39</v>
      </c>
      <c r="M158" s="92">
        <f>VLOOKUP($A158,'Data Vlaue (Cr)'!$C:$FB,98)</f>
        <v>8.3299999999999999E-2</v>
      </c>
      <c r="N158" s="91">
        <f>VLOOKUP($A158,'Data Vlaue (Cr)'!$C:$FB,79)</f>
        <v>1332</v>
      </c>
      <c r="O158" s="92">
        <f>VLOOKUP($A158,'Data Vlaue (Cr)'!$C:$FB,82)</f>
        <v>0.10929999999999999</v>
      </c>
    </row>
    <row r="159" spans="1:15" x14ac:dyDescent="0.25">
      <c r="A159" s="97" t="str">
        <f>'Data Vlaue (Cr)'!C154</f>
        <v>PETRONET</v>
      </c>
      <c r="B159" s="142">
        <f>VLOOKUP(A159,'Data Vlaue (Cr)'!C154:CW366,99,0)</f>
        <v>2199</v>
      </c>
      <c r="C159" s="90">
        <f>VLOOKUP(A159,'Data Vlaue (Cr)'!C154:CY366,101,0)</f>
        <v>39</v>
      </c>
      <c r="D159" s="139">
        <f>VLOOKUP(A159,'Data Vlaue (Cr)'!C154:CZ366,102,0)</f>
        <v>1.7999999999999999E-2</v>
      </c>
      <c r="E159" s="91">
        <f>VLOOKUP($A159,'Data Vlaue (Cr)'!$C:$FB,75)</f>
        <v>1299</v>
      </c>
      <c r="F159" s="91">
        <f>VLOOKUP($A159,'Data Vlaue (Cr)'!$C:$FB,77)</f>
        <v>-6</v>
      </c>
      <c r="G159" s="92">
        <f>VLOOKUP(A159,'Data Vlaue (Cr)'!C154:CB366,78,0)</f>
        <v>-4.3E-3</v>
      </c>
      <c r="H159" s="91">
        <f>VLOOKUP($A159,'Data Vlaue (Cr)'!$C:$FB,91)</f>
        <v>513</v>
      </c>
      <c r="I159" s="91">
        <f>VLOOKUP($A159,'Data Vlaue (Cr)'!$C:$FB,93)</f>
        <v>37</v>
      </c>
      <c r="J159" s="92">
        <f>VLOOKUP($A159,'Data Vlaue (Cr)'!$C:$FB,94)</f>
        <v>7.8799999999999995E-2</v>
      </c>
      <c r="K159" s="91">
        <f>VLOOKUP($A159,'Data Vlaue (Cr)'!$C:$FB,95)</f>
        <v>387</v>
      </c>
      <c r="L159" s="91">
        <f>VLOOKUP($A159,'Data Vlaue (Cr)'!$C:$FB,97)</f>
        <v>7</v>
      </c>
      <c r="M159" s="92">
        <f>VLOOKUP($A159,'Data Vlaue (Cr)'!$C:$FB,98)</f>
        <v>1.8599999999999998E-2</v>
      </c>
      <c r="N159" s="91">
        <f>VLOOKUP($A159,'Data Vlaue (Cr)'!$C:$FB,79)</f>
        <v>1190</v>
      </c>
      <c r="O159" s="92">
        <f>VLOOKUP($A159,'Data Vlaue (Cr)'!$C:$FB,82)</f>
        <v>-4.8999999999999998E-3</v>
      </c>
    </row>
    <row r="160" spans="1:15" x14ac:dyDescent="0.25">
      <c r="A160" s="97" t="str">
        <f>'Data Vlaue (Cr)'!C155</f>
        <v>PFC</v>
      </c>
      <c r="B160" s="142">
        <f>VLOOKUP(A160,'Data Vlaue (Cr)'!C155:CW367,99,0)</f>
        <v>5163</v>
      </c>
      <c r="C160" s="90">
        <f>VLOOKUP(A160,'Data Vlaue (Cr)'!C155:CY367,101,0)</f>
        <v>17</v>
      </c>
      <c r="D160" s="139">
        <f>VLOOKUP(A160,'Data Vlaue (Cr)'!C155:CZ367,102,0)</f>
        <v>3.2000000000000002E-3</v>
      </c>
      <c r="E160" s="91">
        <f>VLOOKUP($A160,'Data Vlaue (Cr)'!$C:$FB,75)</f>
        <v>2821</v>
      </c>
      <c r="F160" s="91">
        <f>VLOOKUP($A160,'Data Vlaue (Cr)'!$C:$FB,77)</f>
        <v>0</v>
      </c>
      <c r="G160" s="92">
        <f>VLOOKUP(A160,'Data Vlaue (Cr)'!C155:CB367,78,0)</f>
        <v>-1E-4</v>
      </c>
      <c r="H160" s="91">
        <f>VLOOKUP($A160,'Data Vlaue (Cr)'!$C:$FB,91)</f>
        <v>1387</v>
      </c>
      <c r="I160" s="91">
        <f>VLOOKUP($A160,'Data Vlaue (Cr)'!$C:$FB,93)</f>
        <v>24</v>
      </c>
      <c r="J160" s="92">
        <f>VLOOKUP($A160,'Data Vlaue (Cr)'!$C:$FB,94)</f>
        <v>1.77E-2</v>
      </c>
      <c r="K160" s="91">
        <f>VLOOKUP($A160,'Data Vlaue (Cr)'!$C:$FB,95)</f>
        <v>955</v>
      </c>
      <c r="L160" s="91">
        <f>VLOOKUP($A160,'Data Vlaue (Cr)'!$C:$FB,97)</f>
        <v>-7</v>
      </c>
      <c r="M160" s="92">
        <f>VLOOKUP($A160,'Data Vlaue (Cr)'!$C:$FB,98)</f>
        <v>-7.6E-3</v>
      </c>
      <c r="N160" s="91">
        <f>VLOOKUP($A160,'Data Vlaue (Cr)'!$C:$FB,79)</f>
        <v>2387</v>
      </c>
      <c r="O160" s="92">
        <f>VLOOKUP($A160,'Data Vlaue (Cr)'!$C:$FB,82)</f>
        <v>-2.5000000000000001E-3</v>
      </c>
    </row>
    <row r="161" spans="1:15" x14ac:dyDescent="0.25">
      <c r="A161" s="97" t="str">
        <f>'Data Vlaue (Cr)'!C156</f>
        <v>PGEL</v>
      </c>
      <c r="B161" s="142">
        <f>VLOOKUP(A161,'Data Vlaue (Cr)'!C156:CW368,99,0)</f>
        <v>1456</v>
      </c>
      <c r="C161" s="90">
        <f>VLOOKUP(A161,'Data Vlaue (Cr)'!C156:CY368,101,0)</f>
        <v>-83</v>
      </c>
      <c r="D161" s="139">
        <f>VLOOKUP(A161,'Data Vlaue (Cr)'!C156:CZ368,102,0)</f>
        <v>-5.3999999999999999E-2</v>
      </c>
      <c r="E161" s="91">
        <f>VLOOKUP($A161,'Data Vlaue (Cr)'!$C:$FB,75)</f>
        <v>659</v>
      </c>
      <c r="F161" s="91">
        <f>VLOOKUP($A161,'Data Vlaue (Cr)'!$C:$FB,77)</f>
        <v>-26</v>
      </c>
      <c r="G161" s="92">
        <f>VLOOKUP(A161,'Data Vlaue (Cr)'!C156:CB368,78,0)</f>
        <v>-3.7499999999999999E-2</v>
      </c>
      <c r="H161" s="91">
        <f>VLOOKUP($A161,'Data Vlaue (Cr)'!$C:$FB,91)</f>
        <v>432</v>
      </c>
      <c r="I161" s="91">
        <f>VLOOKUP($A161,'Data Vlaue (Cr)'!$C:$FB,93)</f>
        <v>-57</v>
      </c>
      <c r="J161" s="92">
        <f>VLOOKUP($A161,'Data Vlaue (Cr)'!$C:$FB,94)</f>
        <v>-0.1171</v>
      </c>
      <c r="K161" s="91">
        <f>VLOOKUP($A161,'Data Vlaue (Cr)'!$C:$FB,95)</f>
        <v>364</v>
      </c>
      <c r="L161" s="91">
        <f>VLOOKUP($A161,'Data Vlaue (Cr)'!$C:$FB,97)</f>
        <v>0</v>
      </c>
      <c r="M161" s="92">
        <f>VLOOKUP($A161,'Data Vlaue (Cr)'!$C:$FB,98)</f>
        <v>-2.9999999999999997E-4</v>
      </c>
      <c r="N161" s="91">
        <f>VLOOKUP($A161,'Data Vlaue (Cr)'!$C:$FB,79)</f>
        <v>618</v>
      </c>
      <c r="O161" s="92">
        <f>VLOOKUP($A161,'Data Vlaue (Cr)'!$C:$FB,82)</f>
        <v>-4.0300000000000002E-2</v>
      </c>
    </row>
    <row r="162" spans="1:15" x14ac:dyDescent="0.25">
      <c r="A162" s="97" t="str">
        <f>'Data Vlaue (Cr)'!C157</f>
        <v>PHOENIXLTD</v>
      </c>
      <c r="B162" s="142">
        <f>VLOOKUP(A162,'Data Vlaue (Cr)'!C157:CW369,99,0)</f>
        <v>1278</v>
      </c>
      <c r="C162" s="90">
        <f>VLOOKUP(A162,'Data Vlaue (Cr)'!C157:CY369,101,0)</f>
        <v>81</v>
      </c>
      <c r="D162" s="139">
        <f>VLOOKUP(A162,'Data Vlaue (Cr)'!C157:CZ369,102,0)</f>
        <v>6.7400000000000002E-2</v>
      </c>
      <c r="E162" s="91">
        <f>VLOOKUP($A162,'Data Vlaue (Cr)'!$C:$FB,75)</f>
        <v>878</v>
      </c>
      <c r="F162" s="91">
        <f>VLOOKUP($A162,'Data Vlaue (Cr)'!$C:$FB,77)</f>
        <v>32</v>
      </c>
      <c r="G162" s="92">
        <f>VLOOKUP(A162,'Data Vlaue (Cr)'!C157:CB369,78,0)</f>
        <v>3.73E-2</v>
      </c>
      <c r="H162" s="91">
        <f>VLOOKUP($A162,'Data Vlaue (Cr)'!$C:$FB,91)</f>
        <v>232</v>
      </c>
      <c r="I162" s="91">
        <f>VLOOKUP($A162,'Data Vlaue (Cr)'!$C:$FB,93)</f>
        <v>9</v>
      </c>
      <c r="J162" s="92">
        <f>VLOOKUP($A162,'Data Vlaue (Cr)'!$C:$FB,94)</f>
        <v>4.0899999999999999E-2</v>
      </c>
      <c r="K162" s="91">
        <f>VLOOKUP($A162,'Data Vlaue (Cr)'!$C:$FB,95)</f>
        <v>168</v>
      </c>
      <c r="L162" s="91">
        <f>VLOOKUP($A162,'Data Vlaue (Cr)'!$C:$FB,97)</f>
        <v>40</v>
      </c>
      <c r="M162" s="92">
        <f>VLOOKUP($A162,'Data Vlaue (Cr)'!$C:$FB,98)</f>
        <v>0.3125</v>
      </c>
      <c r="N162" s="91">
        <f>VLOOKUP($A162,'Data Vlaue (Cr)'!$C:$FB,79)</f>
        <v>868</v>
      </c>
      <c r="O162" s="92">
        <f>VLOOKUP($A162,'Data Vlaue (Cr)'!$C:$FB,82)</f>
        <v>3.6799999999999999E-2</v>
      </c>
    </row>
    <row r="163" spans="1:15" x14ac:dyDescent="0.25">
      <c r="A163" s="97" t="str">
        <f>'Data Vlaue (Cr)'!C158</f>
        <v>PIDILITIND</v>
      </c>
      <c r="B163" s="142">
        <f>VLOOKUP(A163,'Data Vlaue (Cr)'!C158:CW370,99,0)</f>
        <v>1759</v>
      </c>
      <c r="C163" s="90">
        <f>VLOOKUP(A163,'Data Vlaue (Cr)'!C158:CY370,101,0)</f>
        <v>-31</v>
      </c>
      <c r="D163" s="139">
        <f>VLOOKUP(A163,'Data Vlaue (Cr)'!C158:CZ370,102,0)</f>
        <v>-1.7500000000000002E-2</v>
      </c>
      <c r="E163" s="91">
        <f>VLOOKUP($A163,'Data Vlaue (Cr)'!$C:$FB,75)</f>
        <v>1252</v>
      </c>
      <c r="F163" s="91">
        <f>VLOOKUP($A163,'Data Vlaue (Cr)'!$C:$FB,77)</f>
        <v>-28</v>
      </c>
      <c r="G163" s="92">
        <f>VLOOKUP(A163,'Data Vlaue (Cr)'!C158:CB370,78,0)</f>
        <v>-2.2100000000000002E-2</v>
      </c>
      <c r="H163" s="91">
        <f>VLOOKUP($A163,'Data Vlaue (Cr)'!$C:$FB,91)</f>
        <v>288</v>
      </c>
      <c r="I163" s="91">
        <f>VLOOKUP($A163,'Data Vlaue (Cr)'!$C:$FB,93)</f>
        <v>5</v>
      </c>
      <c r="J163" s="92">
        <f>VLOOKUP($A163,'Data Vlaue (Cr)'!$C:$FB,94)</f>
        <v>1.72E-2</v>
      </c>
      <c r="K163" s="91">
        <f>VLOOKUP($A163,'Data Vlaue (Cr)'!$C:$FB,95)</f>
        <v>218</v>
      </c>
      <c r="L163" s="91">
        <f>VLOOKUP($A163,'Data Vlaue (Cr)'!$C:$FB,97)</f>
        <v>-8</v>
      </c>
      <c r="M163" s="92">
        <f>VLOOKUP($A163,'Data Vlaue (Cr)'!$C:$FB,98)</f>
        <v>-3.5299999999999998E-2</v>
      </c>
      <c r="N163" s="91">
        <f>VLOOKUP($A163,'Data Vlaue (Cr)'!$C:$FB,79)</f>
        <v>1238</v>
      </c>
      <c r="O163" s="92">
        <f>VLOOKUP($A163,'Data Vlaue (Cr)'!$C:$FB,82)</f>
        <v>-2.3099999999999999E-2</v>
      </c>
    </row>
    <row r="164" spans="1:15" x14ac:dyDescent="0.25">
      <c r="A164" s="97" t="str">
        <f>'Data Vlaue (Cr)'!C159</f>
        <v>PIIND</v>
      </c>
      <c r="B164" s="142">
        <f>VLOOKUP(A164,'Data Vlaue (Cr)'!C159:CW371,99,0)</f>
        <v>2202</v>
      </c>
      <c r="C164" s="90">
        <f>VLOOKUP(A164,'Data Vlaue (Cr)'!C159:CY371,101,0)</f>
        <v>525</v>
      </c>
      <c r="D164" s="139">
        <f>VLOOKUP(A164,'Data Vlaue (Cr)'!C159:CZ371,102,0)</f>
        <v>0.3135</v>
      </c>
      <c r="E164" s="91">
        <f>VLOOKUP($A164,'Data Vlaue (Cr)'!$C:$FB,75)</f>
        <v>1253</v>
      </c>
      <c r="F164" s="91">
        <f>VLOOKUP($A164,'Data Vlaue (Cr)'!$C:$FB,77)</f>
        <v>67</v>
      </c>
      <c r="G164" s="92">
        <f>VLOOKUP(A164,'Data Vlaue (Cr)'!C159:CB371,78,0)</f>
        <v>5.6899999999999999E-2</v>
      </c>
      <c r="H164" s="91">
        <f>VLOOKUP($A164,'Data Vlaue (Cr)'!$C:$FB,91)</f>
        <v>369</v>
      </c>
      <c r="I164" s="91">
        <f>VLOOKUP($A164,'Data Vlaue (Cr)'!$C:$FB,93)</f>
        <v>132</v>
      </c>
      <c r="J164" s="92">
        <f>VLOOKUP($A164,'Data Vlaue (Cr)'!$C:$FB,94)</f>
        <v>0.55820000000000003</v>
      </c>
      <c r="K164" s="91">
        <f>VLOOKUP($A164,'Data Vlaue (Cr)'!$C:$FB,95)</f>
        <v>579</v>
      </c>
      <c r="L164" s="91">
        <f>VLOOKUP($A164,'Data Vlaue (Cr)'!$C:$FB,97)</f>
        <v>326</v>
      </c>
      <c r="M164" s="92">
        <f>VLOOKUP($A164,'Data Vlaue (Cr)'!$C:$FB,98)</f>
        <v>1.2847</v>
      </c>
      <c r="N164" s="91">
        <f>VLOOKUP($A164,'Data Vlaue (Cr)'!$C:$FB,79)</f>
        <v>1109</v>
      </c>
      <c r="O164" s="92">
        <f>VLOOKUP($A164,'Data Vlaue (Cr)'!$C:$FB,82)</f>
        <v>6.2199999999999998E-2</v>
      </c>
    </row>
    <row r="165" spans="1:15" x14ac:dyDescent="0.25">
      <c r="A165" s="97" t="str">
        <f>'Data Vlaue (Cr)'!C160</f>
        <v>PNB</v>
      </c>
      <c r="B165" s="142">
        <f>VLOOKUP(A165,'Data Vlaue (Cr)'!C160:CW372,99,0)</f>
        <v>5560</v>
      </c>
      <c r="C165" s="90">
        <f>VLOOKUP(A165,'Data Vlaue (Cr)'!C160:CY372,101,0)</f>
        <v>48</v>
      </c>
      <c r="D165" s="139">
        <f>VLOOKUP(A165,'Data Vlaue (Cr)'!C160:CZ372,102,0)</f>
        <v>8.8000000000000005E-3</v>
      </c>
      <c r="E165" s="91">
        <f>VLOOKUP($A165,'Data Vlaue (Cr)'!$C:$FB,75)</f>
        <v>2832</v>
      </c>
      <c r="F165" s="91">
        <f>VLOOKUP($A165,'Data Vlaue (Cr)'!$C:$FB,77)</f>
        <v>-8</v>
      </c>
      <c r="G165" s="92">
        <f>VLOOKUP(A165,'Data Vlaue (Cr)'!C160:CB372,78,0)</f>
        <v>-2.7000000000000001E-3</v>
      </c>
      <c r="H165" s="91">
        <f>VLOOKUP($A165,'Data Vlaue (Cr)'!$C:$FB,91)</f>
        <v>1716</v>
      </c>
      <c r="I165" s="91">
        <f>VLOOKUP($A165,'Data Vlaue (Cr)'!$C:$FB,93)</f>
        <v>14</v>
      </c>
      <c r="J165" s="92">
        <f>VLOOKUP($A165,'Data Vlaue (Cr)'!$C:$FB,94)</f>
        <v>8.0999999999999996E-3</v>
      </c>
      <c r="K165" s="91">
        <f>VLOOKUP($A165,'Data Vlaue (Cr)'!$C:$FB,95)</f>
        <v>1012</v>
      </c>
      <c r="L165" s="91">
        <f>VLOOKUP($A165,'Data Vlaue (Cr)'!$C:$FB,97)</f>
        <v>42</v>
      </c>
      <c r="M165" s="92">
        <f>VLOOKUP($A165,'Data Vlaue (Cr)'!$C:$FB,98)</f>
        <v>4.3700000000000003E-2</v>
      </c>
      <c r="N165" s="91">
        <f>VLOOKUP($A165,'Data Vlaue (Cr)'!$C:$FB,79)</f>
        <v>2644</v>
      </c>
      <c r="O165" s="92">
        <f>VLOOKUP($A165,'Data Vlaue (Cr)'!$C:$FB,82)</f>
        <v>-1.04E-2</v>
      </c>
    </row>
    <row r="166" spans="1:15" x14ac:dyDescent="0.25">
      <c r="A166" s="97" t="str">
        <f>'Data Vlaue (Cr)'!C161</f>
        <v>PNBHOUSING</v>
      </c>
      <c r="B166" s="142">
        <f>VLOOKUP(A166,'Data Vlaue (Cr)'!C161:CW373,99,0)</f>
        <v>1667</v>
      </c>
      <c r="C166" s="90">
        <f>VLOOKUP(A166,'Data Vlaue (Cr)'!C161:CY373,101,0)</f>
        <v>-13</v>
      </c>
      <c r="D166" s="139">
        <f>VLOOKUP(A166,'Data Vlaue (Cr)'!C161:CZ373,102,0)</f>
        <v>-7.4999999999999997E-3</v>
      </c>
      <c r="E166" s="91">
        <f>VLOOKUP($A166,'Data Vlaue (Cr)'!$C:$FB,75)</f>
        <v>1209</v>
      </c>
      <c r="F166" s="91">
        <f>VLOOKUP($A166,'Data Vlaue (Cr)'!$C:$FB,77)</f>
        <v>-10</v>
      </c>
      <c r="G166" s="92">
        <f>VLOOKUP(A166,'Data Vlaue (Cr)'!C161:CB373,78,0)</f>
        <v>-8.3000000000000001E-3</v>
      </c>
      <c r="H166" s="91">
        <f>VLOOKUP($A166,'Data Vlaue (Cr)'!$C:$FB,91)</f>
        <v>241</v>
      </c>
      <c r="I166" s="91">
        <f>VLOOKUP($A166,'Data Vlaue (Cr)'!$C:$FB,93)</f>
        <v>-1</v>
      </c>
      <c r="J166" s="92">
        <f>VLOOKUP($A166,'Data Vlaue (Cr)'!$C:$FB,94)</f>
        <v>-5.7000000000000002E-3</v>
      </c>
      <c r="K166" s="91">
        <f>VLOOKUP($A166,'Data Vlaue (Cr)'!$C:$FB,95)</f>
        <v>217</v>
      </c>
      <c r="L166" s="91">
        <f>VLOOKUP($A166,'Data Vlaue (Cr)'!$C:$FB,97)</f>
        <v>-1</v>
      </c>
      <c r="M166" s="92">
        <f>VLOOKUP($A166,'Data Vlaue (Cr)'!$C:$FB,98)</f>
        <v>-5.4000000000000003E-3</v>
      </c>
      <c r="N166" s="91">
        <f>VLOOKUP($A166,'Data Vlaue (Cr)'!$C:$FB,79)</f>
        <v>1184</v>
      </c>
      <c r="O166" s="92">
        <f>VLOOKUP($A166,'Data Vlaue (Cr)'!$C:$FB,82)</f>
        <v>-1.01E-2</v>
      </c>
    </row>
    <row r="167" spans="1:15" x14ac:dyDescent="0.25">
      <c r="A167" s="97" t="str">
        <f>'Data Vlaue (Cr)'!C162</f>
        <v>POLICYBZR</v>
      </c>
      <c r="B167" s="142">
        <f>VLOOKUP(A167,'Data Vlaue (Cr)'!C162:CW374,99,0)</f>
        <v>2521</v>
      </c>
      <c r="C167" s="90">
        <f>VLOOKUP(A167,'Data Vlaue (Cr)'!C162:CY374,101,0)</f>
        <v>-82</v>
      </c>
      <c r="D167" s="139">
        <f>VLOOKUP(A167,'Data Vlaue (Cr)'!C162:CZ374,102,0)</f>
        <v>-3.1699999999999999E-2</v>
      </c>
      <c r="E167" s="91">
        <f>VLOOKUP($A167,'Data Vlaue (Cr)'!$C:$FB,75)</f>
        <v>1480</v>
      </c>
      <c r="F167" s="91">
        <f>VLOOKUP($A167,'Data Vlaue (Cr)'!$C:$FB,77)</f>
        <v>-24</v>
      </c>
      <c r="G167" s="92">
        <f>VLOOKUP(A167,'Data Vlaue (Cr)'!C162:CB374,78,0)</f>
        <v>-1.6E-2</v>
      </c>
      <c r="H167" s="91">
        <f>VLOOKUP($A167,'Data Vlaue (Cr)'!$C:$FB,91)</f>
        <v>592</v>
      </c>
      <c r="I167" s="91">
        <f>VLOOKUP($A167,'Data Vlaue (Cr)'!$C:$FB,93)</f>
        <v>-55</v>
      </c>
      <c r="J167" s="92">
        <f>VLOOKUP($A167,'Data Vlaue (Cr)'!$C:$FB,94)</f>
        <v>-8.43E-2</v>
      </c>
      <c r="K167" s="91">
        <f>VLOOKUP($A167,'Data Vlaue (Cr)'!$C:$FB,95)</f>
        <v>449</v>
      </c>
      <c r="L167" s="91">
        <f>VLOOKUP($A167,'Data Vlaue (Cr)'!$C:$FB,97)</f>
        <v>-4</v>
      </c>
      <c r="M167" s="92">
        <f>VLOOKUP($A167,'Data Vlaue (Cr)'!$C:$FB,98)</f>
        <v>-8.5000000000000006E-3</v>
      </c>
      <c r="N167" s="91">
        <f>VLOOKUP($A167,'Data Vlaue (Cr)'!$C:$FB,79)</f>
        <v>1426</v>
      </c>
      <c r="O167" s="92">
        <f>VLOOKUP($A167,'Data Vlaue (Cr)'!$C:$FB,82)</f>
        <v>-1.6500000000000001E-2</v>
      </c>
    </row>
    <row r="168" spans="1:15" x14ac:dyDescent="0.25">
      <c r="A168" s="97" t="str">
        <f>'Data Vlaue (Cr)'!C163</f>
        <v>POLYCAB</v>
      </c>
      <c r="B168" s="142">
        <f>VLOOKUP(A168,'Data Vlaue (Cr)'!C163:CW375,99,0)</f>
        <v>3838</v>
      </c>
      <c r="C168" s="90">
        <f>VLOOKUP(A168,'Data Vlaue (Cr)'!C163:CY375,101,0)</f>
        <v>19</v>
      </c>
      <c r="D168" s="139">
        <f>VLOOKUP(A168,'Data Vlaue (Cr)'!C163:CZ375,102,0)</f>
        <v>5.0000000000000001E-3</v>
      </c>
      <c r="E168" s="91">
        <f>VLOOKUP($A168,'Data Vlaue (Cr)'!$C:$FB,75)</f>
        <v>2321</v>
      </c>
      <c r="F168" s="91">
        <f>VLOOKUP($A168,'Data Vlaue (Cr)'!$C:$FB,77)</f>
        <v>1</v>
      </c>
      <c r="G168" s="92">
        <f>VLOOKUP(A168,'Data Vlaue (Cr)'!C163:CB375,78,0)</f>
        <v>2.9999999999999997E-4</v>
      </c>
      <c r="H168" s="91">
        <f>VLOOKUP($A168,'Data Vlaue (Cr)'!$C:$FB,91)</f>
        <v>866</v>
      </c>
      <c r="I168" s="91">
        <f>VLOOKUP($A168,'Data Vlaue (Cr)'!$C:$FB,93)</f>
        <v>-13</v>
      </c>
      <c r="J168" s="92">
        <f>VLOOKUP($A168,'Data Vlaue (Cr)'!$C:$FB,94)</f>
        <v>-1.5299999999999999E-2</v>
      </c>
      <c r="K168" s="91">
        <f>VLOOKUP($A168,'Data Vlaue (Cr)'!$C:$FB,95)</f>
        <v>652</v>
      </c>
      <c r="L168" s="91">
        <f>VLOOKUP($A168,'Data Vlaue (Cr)'!$C:$FB,97)</f>
        <v>32</v>
      </c>
      <c r="M168" s="92">
        <f>VLOOKUP($A168,'Data Vlaue (Cr)'!$C:$FB,98)</f>
        <v>5.1700000000000003E-2</v>
      </c>
      <c r="N168" s="91">
        <f>VLOOKUP($A168,'Data Vlaue (Cr)'!$C:$FB,79)</f>
        <v>2277</v>
      </c>
      <c r="O168" s="92">
        <f>VLOOKUP($A168,'Data Vlaue (Cr)'!$C:$FB,82)</f>
        <v>-8.0000000000000004E-4</v>
      </c>
    </row>
    <row r="169" spans="1:15" x14ac:dyDescent="0.25">
      <c r="A169" s="97" t="str">
        <f>'Data Vlaue (Cr)'!C164</f>
        <v>POWERGRID</v>
      </c>
      <c r="B169" s="142">
        <f>VLOOKUP(A169,'Data Vlaue (Cr)'!C164:CW376,99,0)</f>
        <v>5696</v>
      </c>
      <c r="C169" s="90">
        <f>VLOOKUP(A169,'Data Vlaue (Cr)'!C164:CY376,101,0)</f>
        <v>-38</v>
      </c>
      <c r="D169" s="139">
        <f>VLOOKUP(A169,'Data Vlaue (Cr)'!C164:CZ376,102,0)</f>
        <v>-6.4999999999999997E-3</v>
      </c>
      <c r="E169" s="91">
        <f>VLOOKUP($A169,'Data Vlaue (Cr)'!$C:$FB,75)</f>
        <v>2455</v>
      </c>
      <c r="F169" s="91">
        <f>VLOOKUP($A169,'Data Vlaue (Cr)'!$C:$FB,77)</f>
        <v>-44</v>
      </c>
      <c r="G169" s="92">
        <f>VLOOKUP(A169,'Data Vlaue (Cr)'!C164:CB376,78,0)</f>
        <v>-1.78E-2</v>
      </c>
      <c r="H169" s="91">
        <f>VLOOKUP($A169,'Data Vlaue (Cr)'!$C:$FB,91)</f>
        <v>2015</v>
      </c>
      <c r="I169" s="91">
        <f>VLOOKUP($A169,'Data Vlaue (Cr)'!$C:$FB,93)</f>
        <v>12</v>
      </c>
      <c r="J169" s="92">
        <f>VLOOKUP($A169,'Data Vlaue (Cr)'!$C:$FB,94)</f>
        <v>5.7999999999999996E-3</v>
      </c>
      <c r="K169" s="91">
        <f>VLOOKUP($A169,'Data Vlaue (Cr)'!$C:$FB,95)</f>
        <v>1226</v>
      </c>
      <c r="L169" s="91">
        <f>VLOOKUP($A169,'Data Vlaue (Cr)'!$C:$FB,97)</f>
        <v>-5</v>
      </c>
      <c r="M169" s="92">
        <f>VLOOKUP($A169,'Data Vlaue (Cr)'!$C:$FB,98)</f>
        <v>-3.8E-3</v>
      </c>
      <c r="N169" s="91">
        <f>VLOOKUP($A169,'Data Vlaue (Cr)'!$C:$FB,79)</f>
        <v>2355</v>
      </c>
      <c r="O169" s="92">
        <f>VLOOKUP($A169,'Data Vlaue (Cr)'!$C:$FB,82)</f>
        <v>-2.01E-2</v>
      </c>
    </row>
    <row r="170" spans="1:15" x14ac:dyDescent="0.25">
      <c r="A170" s="97" t="str">
        <f>'Data Vlaue (Cr)'!C165</f>
        <v>POWERINDIA</v>
      </c>
      <c r="B170" s="142">
        <f>VLOOKUP(A170,'Data Vlaue (Cr)'!C165:CW377,99,0)</f>
        <v>2217</v>
      </c>
      <c r="C170" s="90">
        <f>VLOOKUP(A170,'Data Vlaue (Cr)'!C165:CY377,101,0)</f>
        <v>-31</v>
      </c>
      <c r="D170" s="139">
        <f>VLOOKUP(A170,'Data Vlaue (Cr)'!C165:CZ377,102,0)</f>
        <v>-1.4E-2</v>
      </c>
      <c r="E170" s="91">
        <f>VLOOKUP($A170,'Data Vlaue (Cr)'!$C:$FB,75)</f>
        <v>841</v>
      </c>
      <c r="F170" s="91">
        <f>VLOOKUP($A170,'Data Vlaue (Cr)'!$C:$FB,77)</f>
        <v>-19</v>
      </c>
      <c r="G170" s="92">
        <f>VLOOKUP(A170,'Data Vlaue (Cr)'!C165:CB377,78,0)</f>
        <v>-2.1600000000000001E-2</v>
      </c>
      <c r="H170" s="91">
        <f>VLOOKUP($A170,'Data Vlaue (Cr)'!$C:$FB,91)</f>
        <v>617</v>
      </c>
      <c r="I170" s="91">
        <f>VLOOKUP($A170,'Data Vlaue (Cr)'!$C:$FB,93)</f>
        <v>-9</v>
      </c>
      <c r="J170" s="92">
        <f>VLOOKUP($A170,'Data Vlaue (Cr)'!$C:$FB,94)</f>
        <v>-1.4200000000000001E-2</v>
      </c>
      <c r="K170" s="91">
        <f>VLOOKUP($A170,'Data Vlaue (Cr)'!$C:$FB,95)</f>
        <v>759</v>
      </c>
      <c r="L170" s="91">
        <f>VLOOKUP($A170,'Data Vlaue (Cr)'!$C:$FB,97)</f>
        <v>-4</v>
      </c>
      <c r="M170" s="92">
        <f>VLOOKUP($A170,'Data Vlaue (Cr)'!$C:$FB,98)</f>
        <v>-5.1999999999999998E-3</v>
      </c>
      <c r="N170" s="91">
        <f>VLOOKUP($A170,'Data Vlaue (Cr)'!$C:$FB,79)</f>
        <v>795</v>
      </c>
      <c r="O170" s="92">
        <f>VLOOKUP($A170,'Data Vlaue (Cr)'!$C:$FB,82)</f>
        <v>-2.53E-2</v>
      </c>
    </row>
    <row r="171" spans="1:15" x14ac:dyDescent="0.25">
      <c r="A171" s="97" t="str">
        <f>'Data Vlaue (Cr)'!C166</f>
        <v>PPLPHARMA</v>
      </c>
      <c r="B171" s="142">
        <f>VLOOKUP(A171,'Data Vlaue (Cr)'!C166:CW378,99,0)</f>
        <v>690</v>
      </c>
      <c r="C171" s="90">
        <f>VLOOKUP(A171,'Data Vlaue (Cr)'!C166:CY378,101,0)</f>
        <v>9</v>
      </c>
      <c r="D171" s="139">
        <f>VLOOKUP(A171,'Data Vlaue (Cr)'!C166:CZ378,102,0)</f>
        <v>1.37E-2</v>
      </c>
      <c r="E171" s="91">
        <f>VLOOKUP($A171,'Data Vlaue (Cr)'!$C:$FB,75)</f>
        <v>406</v>
      </c>
      <c r="F171" s="91">
        <f>VLOOKUP($A171,'Data Vlaue (Cr)'!$C:$FB,77)</f>
        <v>8</v>
      </c>
      <c r="G171" s="92">
        <f>VLOOKUP(A171,'Data Vlaue (Cr)'!C166:CB378,78,0)</f>
        <v>2.1100000000000001E-2</v>
      </c>
      <c r="H171" s="91">
        <f>VLOOKUP($A171,'Data Vlaue (Cr)'!$C:$FB,91)</f>
        <v>174</v>
      </c>
      <c r="I171" s="91">
        <f>VLOOKUP($A171,'Data Vlaue (Cr)'!$C:$FB,93)</f>
        <v>2</v>
      </c>
      <c r="J171" s="92">
        <f>VLOOKUP($A171,'Data Vlaue (Cr)'!$C:$FB,94)</f>
        <v>1.46E-2</v>
      </c>
      <c r="K171" s="91">
        <f>VLOOKUP($A171,'Data Vlaue (Cr)'!$C:$FB,95)</f>
        <v>110</v>
      </c>
      <c r="L171" s="91">
        <f>VLOOKUP($A171,'Data Vlaue (Cr)'!$C:$FB,97)</f>
        <v>-2</v>
      </c>
      <c r="M171" s="92">
        <f>VLOOKUP($A171,'Data Vlaue (Cr)'!$C:$FB,98)</f>
        <v>-1.38E-2</v>
      </c>
      <c r="N171" s="91">
        <f>VLOOKUP($A171,'Data Vlaue (Cr)'!$C:$FB,79)</f>
        <v>329</v>
      </c>
      <c r="O171" s="92">
        <f>VLOOKUP($A171,'Data Vlaue (Cr)'!$C:$FB,82)</f>
        <v>3.3999999999999998E-3</v>
      </c>
    </row>
    <row r="172" spans="1:15" x14ac:dyDescent="0.25">
      <c r="A172" s="97" t="str">
        <f>'Data Vlaue (Cr)'!C167</f>
        <v>PREMIERENE</v>
      </c>
      <c r="B172" s="142">
        <f>VLOOKUP(A172,'Data Vlaue (Cr)'!C167:CW379,99,0)</f>
        <v>932</v>
      </c>
      <c r="C172" s="90">
        <f>VLOOKUP(A172,'Data Vlaue (Cr)'!C167:CY379,101,0)</f>
        <v>69</v>
      </c>
      <c r="D172" s="139">
        <f>VLOOKUP(A172,'Data Vlaue (Cr)'!C167:CZ379,102,0)</f>
        <v>8.0100000000000005E-2</v>
      </c>
      <c r="E172" s="91">
        <f>VLOOKUP($A172,'Data Vlaue (Cr)'!$C:$FB,75)</f>
        <v>495</v>
      </c>
      <c r="F172" s="91">
        <f>VLOOKUP($A172,'Data Vlaue (Cr)'!$C:$FB,77)</f>
        <v>14</v>
      </c>
      <c r="G172" s="92">
        <f>VLOOKUP(A172,'Data Vlaue (Cr)'!C167:CB379,78,0)</f>
        <v>2.9100000000000001E-2</v>
      </c>
      <c r="H172" s="91">
        <f>VLOOKUP($A172,'Data Vlaue (Cr)'!$C:$FB,91)</f>
        <v>300</v>
      </c>
      <c r="I172" s="91">
        <f>VLOOKUP($A172,'Data Vlaue (Cr)'!$C:$FB,93)</f>
        <v>41</v>
      </c>
      <c r="J172" s="92">
        <f>VLOOKUP($A172,'Data Vlaue (Cr)'!$C:$FB,94)</f>
        <v>0.15759999999999999</v>
      </c>
      <c r="K172" s="91">
        <f>VLOOKUP($A172,'Data Vlaue (Cr)'!$C:$FB,95)</f>
        <v>137</v>
      </c>
      <c r="L172" s="91">
        <f>VLOOKUP($A172,'Data Vlaue (Cr)'!$C:$FB,97)</f>
        <v>14</v>
      </c>
      <c r="M172" s="92">
        <f>VLOOKUP($A172,'Data Vlaue (Cr)'!$C:$FB,98)</f>
        <v>0.11700000000000001</v>
      </c>
      <c r="N172" s="91">
        <f>VLOOKUP($A172,'Data Vlaue (Cr)'!$C:$FB,79)</f>
        <v>470</v>
      </c>
      <c r="O172" s="92">
        <f>VLOOKUP($A172,'Data Vlaue (Cr)'!$C:$FB,82)</f>
        <v>1.1299999999999999E-2</v>
      </c>
    </row>
    <row r="173" spans="1:15" x14ac:dyDescent="0.25">
      <c r="A173" s="97" t="str">
        <f>'Data Vlaue (Cr)'!C168</f>
        <v>PRESTIGE</v>
      </c>
      <c r="B173" s="142">
        <f>VLOOKUP(A173,'Data Vlaue (Cr)'!C168:CW380,99,0)</f>
        <v>1120</v>
      </c>
      <c r="C173" s="90">
        <f>VLOOKUP(A173,'Data Vlaue (Cr)'!C168:CY380,101,0)</f>
        <v>31</v>
      </c>
      <c r="D173" s="139">
        <f>VLOOKUP(A173,'Data Vlaue (Cr)'!C168:CZ380,102,0)</f>
        <v>2.8299999999999999E-2</v>
      </c>
      <c r="E173" s="91">
        <f>VLOOKUP($A173,'Data Vlaue (Cr)'!$C:$FB,75)</f>
        <v>621</v>
      </c>
      <c r="F173" s="91">
        <f>VLOOKUP($A173,'Data Vlaue (Cr)'!$C:$FB,77)</f>
        <v>20</v>
      </c>
      <c r="G173" s="92">
        <f>VLOOKUP(A173,'Data Vlaue (Cr)'!C168:CB380,78,0)</f>
        <v>3.3000000000000002E-2</v>
      </c>
      <c r="H173" s="91">
        <f>VLOOKUP($A173,'Data Vlaue (Cr)'!$C:$FB,91)</f>
        <v>283</v>
      </c>
      <c r="I173" s="91">
        <f>VLOOKUP($A173,'Data Vlaue (Cr)'!$C:$FB,93)</f>
        <v>8</v>
      </c>
      <c r="J173" s="92">
        <f>VLOOKUP($A173,'Data Vlaue (Cr)'!$C:$FB,94)</f>
        <v>2.7900000000000001E-2</v>
      </c>
      <c r="K173" s="91">
        <f>VLOOKUP($A173,'Data Vlaue (Cr)'!$C:$FB,95)</f>
        <v>216</v>
      </c>
      <c r="L173" s="91">
        <f>VLOOKUP($A173,'Data Vlaue (Cr)'!$C:$FB,97)</f>
        <v>3</v>
      </c>
      <c r="M173" s="92">
        <f>VLOOKUP($A173,'Data Vlaue (Cr)'!$C:$FB,98)</f>
        <v>1.5599999999999999E-2</v>
      </c>
      <c r="N173" s="91">
        <f>VLOOKUP($A173,'Data Vlaue (Cr)'!$C:$FB,79)</f>
        <v>608</v>
      </c>
      <c r="O173" s="92">
        <f>VLOOKUP($A173,'Data Vlaue (Cr)'!$C:$FB,82)</f>
        <v>3.2599999999999997E-2</v>
      </c>
    </row>
    <row r="174" spans="1:15" x14ac:dyDescent="0.25">
      <c r="A174" s="97" t="str">
        <f>'Data Vlaue (Cr)'!C169</f>
        <v>RBLBANK</v>
      </c>
      <c r="B174" s="142">
        <f>VLOOKUP(A174,'Data Vlaue (Cr)'!C169:CW381,99,0)</f>
        <v>3741</v>
      </c>
      <c r="C174" s="90">
        <f>VLOOKUP(A174,'Data Vlaue (Cr)'!C169:CY381,101,0)</f>
        <v>-15</v>
      </c>
      <c r="D174" s="139">
        <f>VLOOKUP(A174,'Data Vlaue (Cr)'!C169:CZ381,102,0)</f>
        <v>-4.1000000000000003E-3</v>
      </c>
      <c r="E174" s="91">
        <f>VLOOKUP($A174,'Data Vlaue (Cr)'!$C:$FB,75)</f>
        <v>2307</v>
      </c>
      <c r="F174" s="91">
        <f>VLOOKUP($A174,'Data Vlaue (Cr)'!$C:$FB,77)</f>
        <v>8</v>
      </c>
      <c r="G174" s="92">
        <f>VLOOKUP(A174,'Data Vlaue (Cr)'!C169:CB381,78,0)</f>
        <v>3.3999999999999998E-3</v>
      </c>
      <c r="H174" s="91">
        <f>VLOOKUP($A174,'Data Vlaue (Cr)'!$C:$FB,91)</f>
        <v>854</v>
      </c>
      <c r="I174" s="91">
        <f>VLOOKUP($A174,'Data Vlaue (Cr)'!$C:$FB,93)</f>
        <v>-17</v>
      </c>
      <c r="J174" s="92">
        <f>VLOOKUP($A174,'Data Vlaue (Cr)'!$C:$FB,94)</f>
        <v>-1.9800000000000002E-2</v>
      </c>
      <c r="K174" s="91">
        <f>VLOOKUP($A174,'Data Vlaue (Cr)'!$C:$FB,95)</f>
        <v>580</v>
      </c>
      <c r="L174" s="91">
        <f>VLOOKUP($A174,'Data Vlaue (Cr)'!$C:$FB,97)</f>
        <v>-6</v>
      </c>
      <c r="M174" s="92">
        <f>VLOOKUP($A174,'Data Vlaue (Cr)'!$C:$FB,98)</f>
        <v>-0.01</v>
      </c>
      <c r="N174" s="91">
        <f>VLOOKUP($A174,'Data Vlaue (Cr)'!$C:$FB,79)</f>
        <v>2258</v>
      </c>
      <c r="O174" s="92">
        <f>VLOOKUP($A174,'Data Vlaue (Cr)'!$C:$FB,82)</f>
        <v>-6.9999999999999999E-4</v>
      </c>
    </row>
    <row r="175" spans="1:15" x14ac:dyDescent="0.25">
      <c r="A175" s="97" t="str">
        <f>'Data Vlaue (Cr)'!C170</f>
        <v>RECLTD</v>
      </c>
      <c r="B175" s="142">
        <f>VLOOKUP(A175,'Data Vlaue (Cr)'!C170:CW382,99,0)</f>
        <v>6216</v>
      </c>
      <c r="C175" s="90">
        <f>VLOOKUP(A175,'Data Vlaue (Cr)'!C170:CY382,101,0)</f>
        <v>65</v>
      </c>
      <c r="D175" s="139">
        <f>VLOOKUP(A175,'Data Vlaue (Cr)'!C170:CZ382,102,0)</f>
        <v>1.06E-2</v>
      </c>
      <c r="E175" s="91">
        <f>VLOOKUP($A175,'Data Vlaue (Cr)'!$C:$FB,75)</f>
        <v>3309</v>
      </c>
      <c r="F175" s="91">
        <f>VLOOKUP($A175,'Data Vlaue (Cr)'!$C:$FB,77)</f>
        <v>22</v>
      </c>
      <c r="G175" s="92">
        <f>VLOOKUP(A175,'Data Vlaue (Cr)'!C170:CB382,78,0)</f>
        <v>6.7000000000000002E-3</v>
      </c>
      <c r="H175" s="91">
        <f>VLOOKUP($A175,'Data Vlaue (Cr)'!$C:$FB,91)</f>
        <v>1834</v>
      </c>
      <c r="I175" s="91">
        <f>VLOOKUP($A175,'Data Vlaue (Cr)'!$C:$FB,93)</f>
        <v>31</v>
      </c>
      <c r="J175" s="92">
        <f>VLOOKUP($A175,'Data Vlaue (Cr)'!$C:$FB,94)</f>
        <v>1.7299999999999999E-2</v>
      </c>
      <c r="K175" s="91">
        <f>VLOOKUP($A175,'Data Vlaue (Cr)'!$C:$FB,95)</f>
        <v>1073</v>
      </c>
      <c r="L175" s="91">
        <f>VLOOKUP($A175,'Data Vlaue (Cr)'!$C:$FB,97)</f>
        <v>12</v>
      </c>
      <c r="M175" s="92">
        <f>VLOOKUP($A175,'Data Vlaue (Cr)'!$C:$FB,98)</f>
        <v>1.12E-2</v>
      </c>
      <c r="N175" s="91">
        <f>VLOOKUP($A175,'Data Vlaue (Cr)'!$C:$FB,79)</f>
        <v>2945</v>
      </c>
      <c r="O175" s="92">
        <f>VLOOKUP($A175,'Data Vlaue (Cr)'!$C:$FB,82)</f>
        <v>-1E-3</v>
      </c>
    </row>
    <row r="176" spans="1:15" x14ac:dyDescent="0.25">
      <c r="A176" s="97" t="str">
        <f>'Data Vlaue (Cr)'!C171</f>
        <v>RELIANCE</v>
      </c>
      <c r="B176" s="142">
        <f>VLOOKUP(A176,'Data Vlaue (Cr)'!C171:CW383,99,0)</f>
        <v>28669</v>
      </c>
      <c r="C176" s="90">
        <f>VLOOKUP(A176,'Data Vlaue (Cr)'!C171:CY383,101,0)</f>
        <v>-117</v>
      </c>
      <c r="D176" s="139">
        <f>VLOOKUP(A176,'Data Vlaue (Cr)'!C171:CZ383,102,0)</f>
        <v>-4.0000000000000001E-3</v>
      </c>
      <c r="E176" s="91">
        <f>VLOOKUP($A176,'Data Vlaue (Cr)'!$C:$FB,75)</f>
        <v>15725</v>
      </c>
      <c r="F176" s="91">
        <f>VLOOKUP($A176,'Data Vlaue (Cr)'!$C:$FB,77)</f>
        <v>-31</v>
      </c>
      <c r="G176" s="92">
        <f>VLOOKUP(A176,'Data Vlaue (Cr)'!C171:CB383,78,0)</f>
        <v>-2E-3</v>
      </c>
      <c r="H176" s="91">
        <f>VLOOKUP($A176,'Data Vlaue (Cr)'!$C:$FB,91)</f>
        <v>8109</v>
      </c>
      <c r="I176" s="91">
        <f>VLOOKUP($A176,'Data Vlaue (Cr)'!$C:$FB,93)</f>
        <v>-268</v>
      </c>
      <c r="J176" s="92">
        <f>VLOOKUP($A176,'Data Vlaue (Cr)'!$C:$FB,94)</f>
        <v>-3.2000000000000001E-2</v>
      </c>
      <c r="K176" s="91">
        <f>VLOOKUP($A176,'Data Vlaue (Cr)'!$C:$FB,95)</f>
        <v>4835</v>
      </c>
      <c r="L176" s="91">
        <f>VLOOKUP($A176,'Data Vlaue (Cr)'!$C:$FB,97)</f>
        <v>182</v>
      </c>
      <c r="M176" s="92">
        <f>VLOOKUP($A176,'Data Vlaue (Cr)'!$C:$FB,98)</f>
        <v>3.9199999999999999E-2</v>
      </c>
      <c r="N176" s="91">
        <f>VLOOKUP($A176,'Data Vlaue (Cr)'!$C:$FB,79)</f>
        <v>13649</v>
      </c>
      <c r="O176" s="92">
        <f>VLOOKUP($A176,'Data Vlaue (Cr)'!$C:$FB,82)</f>
        <v>-3.8999999999999998E-3</v>
      </c>
    </row>
    <row r="177" spans="1:15" x14ac:dyDescent="0.25">
      <c r="A177" s="97" t="str">
        <f>'Data Vlaue (Cr)'!C172</f>
        <v>RVNL</v>
      </c>
      <c r="B177" s="142">
        <f>VLOOKUP(A177,'Data Vlaue (Cr)'!C172:CW384,99,0)</f>
        <v>4897</v>
      </c>
      <c r="C177" s="90">
        <f>VLOOKUP(A177,'Data Vlaue (Cr)'!C172:CY384,101,0)</f>
        <v>0</v>
      </c>
      <c r="D177" s="139">
        <f>VLOOKUP(A177,'Data Vlaue (Cr)'!C172:CZ384,102,0)</f>
        <v>1E-4</v>
      </c>
      <c r="E177" s="91">
        <f>VLOOKUP($A177,'Data Vlaue (Cr)'!$C:$FB,75)</f>
        <v>2225</v>
      </c>
      <c r="F177" s="91">
        <f>VLOOKUP($A177,'Data Vlaue (Cr)'!$C:$FB,77)</f>
        <v>21</v>
      </c>
      <c r="G177" s="92">
        <f>VLOOKUP(A177,'Data Vlaue (Cr)'!C172:CB384,78,0)</f>
        <v>9.5999999999999992E-3</v>
      </c>
      <c r="H177" s="91">
        <f>VLOOKUP($A177,'Data Vlaue (Cr)'!$C:$FB,91)</f>
        <v>1986</v>
      </c>
      <c r="I177" s="91">
        <f>VLOOKUP($A177,'Data Vlaue (Cr)'!$C:$FB,93)</f>
        <v>-29</v>
      </c>
      <c r="J177" s="92">
        <f>VLOOKUP($A177,'Data Vlaue (Cr)'!$C:$FB,94)</f>
        <v>-1.44E-2</v>
      </c>
      <c r="K177" s="91">
        <f>VLOOKUP($A177,'Data Vlaue (Cr)'!$C:$FB,95)</f>
        <v>687</v>
      </c>
      <c r="L177" s="91">
        <f>VLOOKUP($A177,'Data Vlaue (Cr)'!$C:$FB,97)</f>
        <v>8</v>
      </c>
      <c r="M177" s="92">
        <f>VLOOKUP($A177,'Data Vlaue (Cr)'!$C:$FB,98)</f>
        <v>1.2200000000000001E-2</v>
      </c>
      <c r="N177" s="91">
        <f>VLOOKUP($A177,'Data Vlaue (Cr)'!$C:$FB,79)</f>
        <v>1794</v>
      </c>
      <c r="O177" s="92">
        <f>VLOOKUP($A177,'Data Vlaue (Cr)'!$C:$FB,82)</f>
        <v>4.5999999999999999E-3</v>
      </c>
    </row>
    <row r="178" spans="1:15" x14ac:dyDescent="0.25">
      <c r="A178" s="97" t="str">
        <f>'Data Vlaue (Cr)'!C173</f>
        <v>SAIL</v>
      </c>
      <c r="B178" s="142">
        <f>VLOOKUP(A178,'Data Vlaue (Cr)'!C173:CW385,99,0)</f>
        <v>4318</v>
      </c>
      <c r="C178" s="90">
        <f>VLOOKUP(A178,'Data Vlaue (Cr)'!C173:CY385,101,0)</f>
        <v>-62</v>
      </c>
      <c r="D178" s="139">
        <f>VLOOKUP(A178,'Data Vlaue (Cr)'!C173:CZ385,102,0)</f>
        <v>-1.4200000000000001E-2</v>
      </c>
      <c r="E178" s="91">
        <f>VLOOKUP($A178,'Data Vlaue (Cr)'!$C:$FB,75)</f>
        <v>3211</v>
      </c>
      <c r="F178" s="91">
        <f>VLOOKUP($A178,'Data Vlaue (Cr)'!$C:$FB,77)</f>
        <v>-35</v>
      </c>
      <c r="G178" s="92">
        <f>VLOOKUP(A178,'Data Vlaue (Cr)'!C173:CB385,78,0)</f>
        <v>-1.0699999999999999E-2</v>
      </c>
      <c r="H178" s="91">
        <f>VLOOKUP($A178,'Data Vlaue (Cr)'!$C:$FB,91)</f>
        <v>616</v>
      </c>
      <c r="I178" s="91">
        <f>VLOOKUP($A178,'Data Vlaue (Cr)'!$C:$FB,93)</f>
        <v>-20</v>
      </c>
      <c r="J178" s="92">
        <f>VLOOKUP($A178,'Data Vlaue (Cr)'!$C:$FB,94)</f>
        <v>-3.2000000000000001E-2</v>
      </c>
      <c r="K178" s="91">
        <f>VLOOKUP($A178,'Data Vlaue (Cr)'!$C:$FB,95)</f>
        <v>490</v>
      </c>
      <c r="L178" s="91">
        <f>VLOOKUP($A178,'Data Vlaue (Cr)'!$C:$FB,97)</f>
        <v>-7</v>
      </c>
      <c r="M178" s="92">
        <f>VLOOKUP($A178,'Data Vlaue (Cr)'!$C:$FB,98)</f>
        <v>-1.38E-2</v>
      </c>
      <c r="N178" s="91">
        <f>VLOOKUP($A178,'Data Vlaue (Cr)'!$C:$FB,79)</f>
        <v>3043</v>
      </c>
      <c r="O178" s="92">
        <f>VLOOKUP($A178,'Data Vlaue (Cr)'!$C:$FB,82)</f>
        <v>-1.03E-2</v>
      </c>
    </row>
    <row r="179" spans="1:15" x14ac:dyDescent="0.25">
      <c r="A179" s="97" t="str">
        <f>'Data Vlaue (Cr)'!C174</f>
        <v>SAMMAANCAP</v>
      </c>
      <c r="B179" s="142">
        <f>VLOOKUP(A179,'Data Vlaue (Cr)'!C174:CW386,99,0)</f>
        <v>2417</v>
      </c>
      <c r="C179" s="90">
        <f>VLOOKUP(A179,'Data Vlaue (Cr)'!C174:CY386,101,0)</f>
        <v>-7</v>
      </c>
      <c r="D179" s="139">
        <f>VLOOKUP(A179,'Data Vlaue (Cr)'!C174:CZ386,102,0)</f>
        <v>-2.8999999999999998E-3</v>
      </c>
      <c r="E179" s="91">
        <f>VLOOKUP($A179,'Data Vlaue (Cr)'!$C:$FB,75)</f>
        <v>1708</v>
      </c>
      <c r="F179" s="91">
        <f>VLOOKUP($A179,'Data Vlaue (Cr)'!$C:$FB,77)</f>
        <v>-4</v>
      </c>
      <c r="G179" s="92">
        <f>VLOOKUP(A179,'Data Vlaue (Cr)'!C174:CB386,78,0)</f>
        <v>-2.5999999999999999E-3</v>
      </c>
      <c r="H179" s="91">
        <f>VLOOKUP($A179,'Data Vlaue (Cr)'!$C:$FB,91)</f>
        <v>460</v>
      </c>
      <c r="I179" s="91">
        <f>VLOOKUP($A179,'Data Vlaue (Cr)'!$C:$FB,93)</f>
        <v>-1</v>
      </c>
      <c r="J179" s="92">
        <f>VLOOKUP($A179,'Data Vlaue (Cr)'!$C:$FB,94)</f>
        <v>-2.8999999999999998E-3</v>
      </c>
      <c r="K179" s="91">
        <f>VLOOKUP($A179,'Data Vlaue (Cr)'!$C:$FB,95)</f>
        <v>250</v>
      </c>
      <c r="L179" s="91">
        <f>VLOOKUP($A179,'Data Vlaue (Cr)'!$C:$FB,97)</f>
        <v>-1</v>
      </c>
      <c r="M179" s="92">
        <f>VLOOKUP($A179,'Data Vlaue (Cr)'!$C:$FB,98)</f>
        <v>-4.7999999999999996E-3</v>
      </c>
      <c r="N179" s="91">
        <f>VLOOKUP($A179,'Data Vlaue (Cr)'!$C:$FB,79)</f>
        <v>1609</v>
      </c>
      <c r="O179" s="92">
        <f>VLOOKUP($A179,'Data Vlaue (Cr)'!$C:$FB,82)</f>
        <v>-2.8E-3</v>
      </c>
    </row>
    <row r="180" spans="1:15" x14ac:dyDescent="0.25">
      <c r="A180" s="97" t="str">
        <f>'Data Vlaue (Cr)'!C175</f>
        <v>SBICARD</v>
      </c>
      <c r="B180" s="142">
        <f>VLOOKUP(A180,'Data Vlaue (Cr)'!C175:CW387,99,0)</f>
        <v>2670</v>
      </c>
      <c r="C180" s="90">
        <f>VLOOKUP(A180,'Data Vlaue (Cr)'!C175:CY387,101,0)</f>
        <v>4</v>
      </c>
      <c r="D180" s="139">
        <f>VLOOKUP(A180,'Data Vlaue (Cr)'!C175:CZ387,102,0)</f>
        <v>1.5E-3</v>
      </c>
      <c r="E180" s="91">
        <f>VLOOKUP($A180,'Data Vlaue (Cr)'!$C:$FB,75)</f>
        <v>1618</v>
      </c>
      <c r="F180" s="91">
        <f>VLOOKUP($A180,'Data Vlaue (Cr)'!$C:$FB,77)</f>
        <v>27</v>
      </c>
      <c r="G180" s="92">
        <f>VLOOKUP(A180,'Data Vlaue (Cr)'!C175:CB387,78,0)</f>
        <v>1.6899999999999998E-2</v>
      </c>
      <c r="H180" s="91">
        <f>VLOOKUP($A180,'Data Vlaue (Cr)'!$C:$FB,91)</f>
        <v>665</v>
      </c>
      <c r="I180" s="91">
        <f>VLOOKUP($A180,'Data Vlaue (Cr)'!$C:$FB,93)</f>
        <v>-21</v>
      </c>
      <c r="J180" s="92">
        <f>VLOOKUP($A180,'Data Vlaue (Cr)'!$C:$FB,94)</f>
        <v>-3.0700000000000002E-2</v>
      </c>
      <c r="K180" s="91">
        <f>VLOOKUP($A180,'Data Vlaue (Cr)'!$C:$FB,95)</f>
        <v>387</v>
      </c>
      <c r="L180" s="91">
        <f>VLOOKUP($A180,'Data Vlaue (Cr)'!$C:$FB,97)</f>
        <v>-2</v>
      </c>
      <c r="M180" s="92">
        <f>VLOOKUP($A180,'Data Vlaue (Cr)'!$C:$FB,98)</f>
        <v>-4.7000000000000002E-3</v>
      </c>
      <c r="N180" s="91">
        <f>VLOOKUP($A180,'Data Vlaue (Cr)'!$C:$FB,79)</f>
        <v>1432</v>
      </c>
      <c r="O180" s="92">
        <f>VLOOKUP($A180,'Data Vlaue (Cr)'!$C:$FB,82)</f>
        <v>4.0000000000000002E-4</v>
      </c>
    </row>
    <row r="181" spans="1:15" x14ac:dyDescent="0.25">
      <c r="A181" s="97" t="str">
        <f>'Data Vlaue (Cr)'!C176</f>
        <v>SBILIFE</v>
      </c>
      <c r="B181" s="142">
        <f>VLOOKUP(A181,'Data Vlaue (Cr)'!C176:CW388,99,0)</f>
        <v>3539</v>
      </c>
      <c r="C181" s="90">
        <f>VLOOKUP(A181,'Data Vlaue (Cr)'!C176:CY388,101,0)</f>
        <v>-44</v>
      </c>
      <c r="D181" s="139">
        <f>VLOOKUP(A181,'Data Vlaue (Cr)'!C176:CZ388,102,0)</f>
        <v>-1.23E-2</v>
      </c>
      <c r="E181" s="91">
        <f>VLOOKUP($A181,'Data Vlaue (Cr)'!$C:$FB,75)</f>
        <v>2045</v>
      </c>
      <c r="F181" s="91">
        <f>VLOOKUP($A181,'Data Vlaue (Cr)'!$C:$FB,77)</f>
        <v>-21</v>
      </c>
      <c r="G181" s="92">
        <f>VLOOKUP(A181,'Data Vlaue (Cr)'!C176:CB388,78,0)</f>
        <v>-1.0200000000000001E-2</v>
      </c>
      <c r="H181" s="91">
        <f>VLOOKUP($A181,'Data Vlaue (Cr)'!$C:$FB,91)</f>
        <v>1088</v>
      </c>
      <c r="I181" s="91">
        <f>VLOOKUP($A181,'Data Vlaue (Cr)'!$C:$FB,93)</f>
        <v>-14</v>
      </c>
      <c r="J181" s="92">
        <f>VLOOKUP($A181,'Data Vlaue (Cr)'!$C:$FB,94)</f>
        <v>-1.2999999999999999E-2</v>
      </c>
      <c r="K181" s="91">
        <f>VLOOKUP($A181,'Data Vlaue (Cr)'!$C:$FB,95)</f>
        <v>406</v>
      </c>
      <c r="L181" s="91">
        <f>VLOOKUP($A181,'Data Vlaue (Cr)'!$C:$FB,97)</f>
        <v>-9</v>
      </c>
      <c r="M181" s="92">
        <f>VLOOKUP($A181,'Data Vlaue (Cr)'!$C:$FB,98)</f>
        <v>-2.07E-2</v>
      </c>
      <c r="N181" s="91">
        <f>VLOOKUP($A181,'Data Vlaue (Cr)'!$C:$FB,79)</f>
        <v>1998</v>
      </c>
      <c r="O181" s="92">
        <f>VLOOKUP($A181,'Data Vlaue (Cr)'!$C:$FB,82)</f>
        <v>-9.7000000000000003E-3</v>
      </c>
    </row>
    <row r="182" spans="1:15" x14ac:dyDescent="0.25">
      <c r="A182" s="97" t="str">
        <f>'Data Vlaue (Cr)'!C177</f>
        <v>SBIN</v>
      </c>
      <c r="B182" s="142">
        <f>VLOOKUP(A182,'Data Vlaue (Cr)'!C177:CW389,99,0)</f>
        <v>25296</v>
      </c>
      <c r="C182" s="90">
        <f>VLOOKUP(A182,'Data Vlaue (Cr)'!C177:CY389,101,0)</f>
        <v>2598</v>
      </c>
      <c r="D182" s="139">
        <f>VLOOKUP(A182,'Data Vlaue (Cr)'!C177:CZ389,102,0)</f>
        <v>0.1144</v>
      </c>
      <c r="E182" s="91">
        <f>VLOOKUP($A182,'Data Vlaue (Cr)'!$C:$FB,75)</f>
        <v>7712</v>
      </c>
      <c r="F182" s="91">
        <f>VLOOKUP($A182,'Data Vlaue (Cr)'!$C:$FB,77)</f>
        <v>302</v>
      </c>
      <c r="G182" s="92">
        <f>VLOOKUP(A182,'Data Vlaue (Cr)'!C177:CB389,78,0)</f>
        <v>4.0800000000000003E-2</v>
      </c>
      <c r="H182" s="91">
        <f>VLOOKUP($A182,'Data Vlaue (Cr)'!$C:$FB,91)</f>
        <v>7555</v>
      </c>
      <c r="I182" s="91">
        <f>VLOOKUP($A182,'Data Vlaue (Cr)'!$C:$FB,93)</f>
        <v>359</v>
      </c>
      <c r="J182" s="92">
        <f>VLOOKUP($A182,'Data Vlaue (Cr)'!$C:$FB,94)</f>
        <v>4.99E-2</v>
      </c>
      <c r="K182" s="91">
        <f>VLOOKUP($A182,'Data Vlaue (Cr)'!$C:$FB,95)</f>
        <v>10029</v>
      </c>
      <c r="L182" s="91">
        <f>VLOOKUP($A182,'Data Vlaue (Cr)'!$C:$FB,97)</f>
        <v>1936</v>
      </c>
      <c r="M182" s="92">
        <f>VLOOKUP($A182,'Data Vlaue (Cr)'!$C:$FB,98)</f>
        <v>0.23930000000000001</v>
      </c>
      <c r="N182" s="91">
        <f>VLOOKUP($A182,'Data Vlaue (Cr)'!$C:$FB,79)</f>
        <v>6689</v>
      </c>
      <c r="O182" s="92">
        <f>VLOOKUP($A182,'Data Vlaue (Cr)'!$C:$FB,82)</f>
        <v>1.52E-2</v>
      </c>
    </row>
    <row r="183" spans="1:15" x14ac:dyDescent="0.25">
      <c r="A183" s="97" t="str">
        <f>'Data Vlaue (Cr)'!C178</f>
        <v>SHREECEM</v>
      </c>
      <c r="B183" s="142">
        <f>VLOOKUP(A183,'Data Vlaue (Cr)'!C178:CW390,99,0)</f>
        <v>1484</v>
      </c>
      <c r="C183" s="90">
        <f>VLOOKUP(A183,'Data Vlaue (Cr)'!C178:CY390,101,0)</f>
        <v>-15</v>
      </c>
      <c r="D183" s="139">
        <f>VLOOKUP(A183,'Data Vlaue (Cr)'!C178:CZ390,102,0)</f>
        <v>-1.03E-2</v>
      </c>
      <c r="E183" s="91">
        <f>VLOOKUP($A183,'Data Vlaue (Cr)'!$C:$FB,75)</f>
        <v>951</v>
      </c>
      <c r="F183" s="91">
        <f>VLOOKUP($A183,'Data Vlaue (Cr)'!$C:$FB,77)</f>
        <v>22</v>
      </c>
      <c r="G183" s="92">
        <f>VLOOKUP(A183,'Data Vlaue (Cr)'!C178:CB390,78,0)</f>
        <v>2.3199999999999998E-2</v>
      </c>
      <c r="H183" s="91">
        <f>VLOOKUP($A183,'Data Vlaue (Cr)'!$C:$FB,91)</f>
        <v>373</v>
      </c>
      <c r="I183" s="91">
        <f>VLOOKUP($A183,'Data Vlaue (Cr)'!$C:$FB,93)</f>
        <v>-24</v>
      </c>
      <c r="J183" s="92">
        <f>VLOOKUP($A183,'Data Vlaue (Cr)'!$C:$FB,94)</f>
        <v>-6.0600000000000001E-2</v>
      </c>
      <c r="K183" s="91">
        <f>VLOOKUP($A183,'Data Vlaue (Cr)'!$C:$FB,95)</f>
        <v>160</v>
      </c>
      <c r="L183" s="91">
        <f>VLOOKUP($A183,'Data Vlaue (Cr)'!$C:$FB,97)</f>
        <v>-13</v>
      </c>
      <c r="M183" s="92">
        <f>VLOOKUP($A183,'Data Vlaue (Cr)'!$C:$FB,98)</f>
        <v>-7.46E-2</v>
      </c>
      <c r="N183" s="91">
        <f>VLOOKUP($A183,'Data Vlaue (Cr)'!$C:$FB,79)</f>
        <v>891</v>
      </c>
      <c r="O183" s="92">
        <f>VLOOKUP($A183,'Data Vlaue (Cr)'!$C:$FB,82)</f>
        <v>6.8999999999999999E-3</v>
      </c>
    </row>
    <row r="184" spans="1:15" x14ac:dyDescent="0.25">
      <c r="A184" s="97" t="str">
        <f>'Data Vlaue (Cr)'!C179</f>
        <v>SHRIRAMFIN</v>
      </c>
      <c r="B184" s="142">
        <f>VLOOKUP(A184,'Data Vlaue (Cr)'!C179:CW391,99,0)</f>
        <v>6135</v>
      </c>
      <c r="C184" s="90">
        <f>VLOOKUP(A184,'Data Vlaue (Cr)'!C179:CY391,101,0)</f>
        <v>-77</v>
      </c>
      <c r="D184" s="139">
        <f>VLOOKUP(A184,'Data Vlaue (Cr)'!C179:CZ391,102,0)</f>
        <v>-1.24E-2</v>
      </c>
      <c r="E184" s="91">
        <f>VLOOKUP($A184,'Data Vlaue (Cr)'!$C:$FB,75)</f>
        <v>3981</v>
      </c>
      <c r="F184" s="91">
        <f>VLOOKUP($A184,'Data Vlaue (Cr)'!$C:$FB,77)</f>
        <v>-34</v>
      </c>
      <c r="G184" s="92">
        <f>VLOOKUP(A184,'Data Vlaue (Cr)'!C179:CB391,78,0)</f>
        <v>-8.3999999999999995E-3</v>
      </c>
      <c r="H184" s="91">
        <f>VLOOKUP($A184,'Data Vlaue (Cr)'!$C:$FB,91)</f>
        <v>1202</v>
      </c>
      <c r="I184" s="91">
        <f>VLOOKUP($A184,'Data Vlaue (Cr)'!$C:$FB,93)</f>
        <v>-65</v>
      </c>
      <c r="J184" s="92">
        <f>VLOOKUP($A184,'Data Vlaue (Cr)'!$C:$FB,94)</f>
        <v>-5.1499999999999997E-2</v>
      </c>
      <c r="K184" s="91">
        <f>VLOOKUP($A184,'Data Vlaue (Cr)'!$C:$FB,95)</f>
        <v>952</v>
      </c>
      <c r="L184" s="91">
        <f>VLOOKUP($A184,'Data Vlaue (Cr)'!$C:$FB,97)</f>
        <v>22</v>
      </c>
      <c r="M184" s="92">
        <f>VLOOKUP($A184,'Data Vlaue (Cr)'!$C:$FB,98)</f>
        <v>2.35E-2</v>
      </c>
      <c r="N184" s="91">
        <f>VLOOKUP($A184,'Data Vlaue (Cr)'!$C:$FB,79)</f>
        <v>3845</v>
      </c>
      <c r="O184" s="92">
        <f>VLOOKUP($A184,'Data Vlaue (Cr)'!$C:$FB,82)</f>
        <v>-8.0999999999999996E-3</v>
      </c>
    </row>
    <row r="185" spans="1:15" x14ac:dyDescent="0.25">
      <c r="A185" s="97" t="str">
        <f>'Data Vlaue (Cr)'!C180</f>
        <v>SIEMENS</v>
      </c>
      <c r="B185" s="142">
        <f>VLOOKUP(A185,'Data Vlaue (Cr)'!C180:CW392,99,0)</f>
        <v>1747</v>
      </c>
      <c r="C185" s="90">
        <f>VLOOKUP(A185,'Data Vlaue (Cr)'!C180:CY392,101,0)</f>
        <v>-32</v>
      </c>
      <c r="D185" s="139">
        <f>VLOOKUP(A185,'Data Vlaue (Cr)'!C180:CZ392,102,0)</f>
        <v>-1.7999999999999999E-2</v>
      </c>
      <c r="E185" s="91">
        <f>VLOOKUP($A185,'Data Vlaue (Cr)'!$C:$FB,75)</f>
        <v>777</v>
      </c>
      <c r="F185" s="91">
        <f>VLOOKUP($A185,'Data Vlaue (Cr)'!$C:$FB,77)</f>
        <v>-23</v>
      </c>
      <c r="G185" s="92">
        <f>VLOOKUP(A185,'Data Vlaue (Cr)'!C180:CB392,78,0)</f>
        <v>-2.8500000000000001E-2</v>
      </c>
      <c r="H185" s="91">
        <f>VLOOKUP($A185,'Data Vlaue (Cr)'!$C:$FB,91)</f>
        <v>618</v>
      </c>
      <c r="I185" s="91">
        <f>VLOOKUP($A185,'Data Vlaue (Cr)'!$C:$FB,93)</f>
        <v>-4</v>
      </c>
      <c r="J185" s="92">
        <f>VLOOKUP($A185,'Data Vlaue (Cr)'!$C:$FB,94)</f>
        <v>-5.8999999999999999E-3</v>
      </c>
      <c r="K185" s="91">
        <f>VLOOKUP($A185,'Data Vlaue (Cr)'!$C:$FB,95)</f>
        <v>353</v>
      </c>
      <c r="L185" s="91">
        <f>VLOOKUP($A185,'Data Vlaue (Cr)'!$C:$FB,97)</f>
        <v>-6</v>
      </c>
      <c r="M185" s="92">
        <f>VLOOKUP($A185,'Data Vlaue (Cr)'!$C:$FB,98)</f>
        <v>-1.5599999999999999E-2</v>
      </c>
      <c r="N185" s="91">
        <f>VLOOKUP($A185,'Data Vlaue (Cr)'!$C:$FB,79)</f>
        <v>746</v>
      </c>
      <c r="O185" s="92">
        <f>VLOOKUP($A185,'Data Vlaue (Cr)'!$C:$FB,82)</f>
        <v>-3.3599999999999998E-2</v>
      </c>
    </row>
    <row r="186" spans="1:15" x14ac:dyDescent="0.25">
      <c r="A186" s="97" t="str">
        <f>'Data Vlaue (Cr)'!C181</f>
        <v>SOLARINDS</v>
      </c>
      <c r="B186" s="142">
        <f>VLOOKUP(A186,'Data Vlaue (Cr)'!C181:CW393,99,0)</f>
        <v>2368</v>
      </c>
      <c r="C186" s="90">
        <f>VLOOKUP(A186,'Data Vlaue (Cr)'!C181:CY393,101,0)</f>
        <v>-27</v>
      </c>
      <c r="D186" s="139">
        <f>VLOOKUP(A186,'Data Vlaue (Cr)'!C181:CZ393,102,0)</f>
        <v>-1.11E-2</v>
      </c>
      <c r="E186" s="91">
        <f>VLOOKUP($A186,'Data Vlaue (Cr)'!$C:$FB,75)</f>
        <v>1274</v>
      </c>
      <c r="F186" s="91">
        <f>VLOOKUP($A186,'Data Vlaue (Cr)'!$C:$FB,77)</f>
        <v>-16</v>
      </c>
      <c r="G186" s="92">
        <f>VLOOKUP(A186,'Data Vlaue (Cr)'!C181:CB393,78,0)</f>
        <v>-1.2500000000000001E-2</v>
      </c>
      <c r="H186" s="91">
        <f>VLOOKUP($A186,'Data Vlaue (Cr)'!$C:$FB,91)</f>
        <v>741</v>
      </c>
      <c r="I186" s="91">
        <f>VLOOKUP($A186,'Data Vlaue (Cr)'!$C:$FB,93)</f>
        <v>-8</v>
      </c>
      <c r="J186" s="92">
        <f>VLOOKUP($A186,'Data Vlaue (Cr)'!$C:$FB,94)</f>
        <v>-1.01E-2</v>
      </c>
      <c r="K186" s="91">
        <f>VLOOKUP($A186,'Data Vlaue (Cr)'!$C:$FB,95)</f>
        <v>352</v>
      </c>
      <c r="L186" s="91">
        <f>VLOOKUP($A186,'Data Vlaue (Cr)'!$C:$FB,97)</f>
        <v>-3</v>
      </c>
      <c r="M186" s="92">
        <f>VLOOKUP($A186,'Data Vlaue (Cr)'!$C:$FB,98)</f>
        <v>-8.0999999999999996E-3</v>
      </c>
      <c r="N186" s="91">
        <f>VLOOKUP($A186,'Data Vlaue (Cr)'!$C:$FB,79)</f>
        <v>1134</v>
      </c>
      <c r="O186" s="92">
        <f>VLOOKUP($A186,'Data Vlaue (Cr)'!$C:$FB,82)</f>
        <v>-1.55E-2</v>
      </c>
    </row>
    <row r="187" spans="1:15" x14ac:dyDescent="0.25">
      <c r="A187" s="97" t="str">
        <f>'Data Vlaue (Cr)'!C182</f>
        <v>SONACOMS</v>
      </c>
      <c r="B187" s="142">
        <f>VLOOKUP(A187,'Data Vlaue (Cr)'!C182:CW394,99,0)</f>
        <v>1252</v>
      </c>
      <c r="C187" s="90">
        <f>VLOOKUP(A187,'Data Vlaue (Cr)'!C182:CY394,101,0)</f>
        <v>31</v>
      </c>
      <c r="D187" s="139">
        <f>VLOOKUP(A187,'Data Vlaue (Cr)'!C182:CZ394,102,0)</f>
        <v>2.5700000000000001E-2</v>
      </c>
      <c r="E187" s="91">
        <f>VLOOKUP($A187,'Data Vlaue (Cr)'!$C:$FB,75)</f>
        <v>721</v>
      </c>
      <c r="F187" s="91">
        <f>VLOOKUP($A187,'Data Vlaue (Cr)'!$C:$FB,77)</f>
        <v>25</v>
      </c>
      <c r="G187" s="92">
        <f>VLOOKUP(A187,'Data Vlaue (Cr)'!C182:CB394,78,0)</f>
        <v>3.6600000000000001E-2</v>
      </c>
      <c r="H187" s="91">
        <f>VLOOKUP($A187,'Data Vlaue (Cr)'!$C:$FB,91)</f>
        <v>320</v>
      </c>
      <c r="I187" s="91">
        <f>VLOOKUP($A187,'Data Vlaue (Cr)'!$C:$FB,93)</f>
        <v>4</v>
      </c>
      <c r="J187" s="92">
        <f>VLOOKUP($A187,'Data Vlaue (Cr)'!$C:$FB,94)</f>
        <v>1.17E-2</v>
      </c>
      <c r="K187" s="91">
        <f>VLOOKUP($A187,'Data Vlaue (Cr)'!$C:$FB,95)</f>
        <v>211</v>
      </c>
      <c r="L187" s="91">
        <f>VLOOKUP($A187,'Data Vlaue (Cr)'!$C:$FB,97)</f>
        <v>2</v>
      </c>
      <c r="M187" s="92">
        <f>VLOOKUP($A187,'Data Vlaue (Cr)'!$C:$FB,98)</f>
        <v>1.0800000000000001E-2</v>
      </c>
      <c r="N187" s="91">
        <f>VLOOKUP($A187,'Data Vlaue (Cr)'!$C:$FB,79)</f>
        <v>707</v>
      </c>
      <c r="O187" s="92">
        <f>VLOOKUP($A187,'Data Vlaue (Cr)'!$C:$FB,82)</f>
        <v>4.0599999999999997E-2</v>
      </c>
    </row>
    <row r="188" spans="1:15" x14ac:dyDescent="0.25">
      <c r="A188" s="97" t="str">
        <f>'Data Vlaue (Cr)'!C183</f>
        <v>SRF</v>
      </c>
      <c r="B188" s="142">
        <f>VLOOKUP(A188,'Data Vlaue (Cr)'!C183:CW395,99,0)</f>
        <v>1715</v>
      </c>
      <c r="C188" s="90">
        <f>VLOOKUP(A188,'Data Vlaue (Cr)'!C183:CY395,101,0)</f>
        <v>25</v>
      </c>
      <c r="D188" s="139">
        <f>VLOOKUP(A188,'Data Vlaue (Cr)'!C183:CZ395,102,0)</f>
        <v>1.4999999999999999E-2</v>
      </c>
      <c r="E188" s="91">
        <f>VLOOKUP($A188,'Data Vlaue (Cr)'!$C:$FB,75)</f>
        <v>1097</v>
      </c>
      <c r="F188" s="91">
        <f>VLOOKUP($A188,'Data Vlaue (Cr)'!$C:$FB,77)</f>
        <v>2</v>
      </c>
      <c r="G188" s="92">
        <f>VLOOKUP(A188,'Data Vlaue (Cr)'!C183:CB395,78,0)</f>
        <v>1.8E-3</v>
      </c>
      <c r="H188" s="91">
        <f>VLOOKUP($A188,'Data Vlaue (Cr)'!$C:$FB,91)</f>
        <v>385</v>
      </c>
      <c r="I188" s="91">
        <f>VLOOKUP($A188,'Data Vlaue (Cr)'!$C:$FB,93)</f>
        <v>22</v>
      </c>
      <c r="J188" s="92">
        <f>VLOOKUP($A188,'Data Vlaue (Cr)'!$C:$FB,94)</f>
        <v>5.9700000000000003E-2</v>
      </c>
      <c r="K188" s="91">
        <f>VLOOKUP($A188,'Data Vlaue (Cr)'!$C:$FB,95)</f>
        <v>234</v>
      </c>
      <c r="L188" s="91">
        <f>VLOOKUP($A188,'Data Vlaue (Cr)'!$C:$FB,97)</f>
        <v>2</v>
      </c>
      <c r="M188" s="92">
        <f>VLOOKUP($A188,'Data Vlaue (Cr)'!$C:$FB,98)</f>
        <v>7.4000000000000003E-3</v>
      </c>
      <c r="N188" s="91">
        <f>VLOOKUP($A188,'Data Vlaue (Cr)'!$C:$FB,79)</f>
        <v>1074</v>
      </c>
      <c r="O188" s="92">
        <f>VLOOKUP($A188,'Data Vlaue (Cr)'!$C:$FB,82)</f>
        <v>6.9999999999999999E-4</v>
      </c>
    </row>
    <row r="189" spans="1:15" x14ac:dyDescent="0.25">
      <c r="A189" s="97" t="str">
        <f>'Data Vlaue (Cr)'!C184</f>
        <v>SUNPHARMA</v>
      </c>
      <c r="B189" s="142">
        <f>VLOOKUP(A189,'Data Vlaue (Cr)'!C184:CW396,99,0)</f>
        <v>7811</v>
      </c>
      <c r="C189" s="90">
        <f>VLOOKUP(A189,'Data Vlaue (Cr)'!C184:CY396,101,0)</f>
        <v>-32</v>
      </c>
      <c r="D189" s="139">
        <f>VLOOKUP(A189,'Data Vlaue (Cr)'!C184:CZ396,102,0)</f>
        <v>-4.0000000000000001E-3</v>
      </c>
      <c r="E189" s="91">
        <f>VLOOKUP($A189,'Data Vlaue (Cr)'!$C:$FB,75)</f>
        <v>3875</v>
      </c>
      <c r="F189" s="91">
        <f>VLOOKUP($A189,'Data Vlaue (Cr)'!$C:$FB,77)</f>
        <v>-17</v>
      </c>
      <c r="G189" s="92">
        <f>VLOOKUP(A189,'Data Vlaue (Cr)'!C184:CB396,78,0)</f>
        <v>-4.3E-3</v>
      </c>
      <c r="H189" s="91">
        <f>VLOOKUP($A189,'Data Vlaue (Cr)'!$C:$FB,91)</f>
        <v>2491</v>
      </c>
      <c r="I189" s="91">
        <f>VLOOKUP($A189,'Data Vlaue (Cr)'!$C:$FB,93)</f>
        <v>1</v>
      </c>
      <c r="J189" s="92">
        <f>VLOOKUP($A189,'Data Vlaue (Cr)'!$C:$FB,94)</f>
        <v>5.0000000000000001E-4</v>
      </c>
      <c r="K189" s="91">
        <f>VLOOKUP($A189,'Data Vlaue (Cr)'!$C:$FB,95)</f>
        <v>1445</v>
      </c>
      <c r="L189" s="91">
        <f>VLOOKUP($A189,'Data Vlaue (Cr)'!$C:$FB,97)</f>
        <v>-16</v>
      </c>
      <c r="M189" s="92">
        <f>VLOOKUP($A189,'Data Vlaue (Cr)'!$C:$FB,98)</f>
        <v>-1.11E-2</v>
      </c>
      <c r="N189" s="91">
        <f>VLOOKUP($A189,'Data Vlaue (Cr)'!$C:$FB,79)</f>
        <v>3803</v>
      </c>
      <c r="O189" s="92">
        <f>VLOOKUP($A189,'Data Vlaue (Cr)'!$C:$FB,82)</f>
        <v>-4.4999999999999997E-3</v>
      </c>
    </row>
    <row r="190" spans="1:15" x14ac:dyDescent="0.25">
      <c r="A190" s="97" t="str">
        <f>'Data Vlaue (Cr)'!C185</f>
        <v>SUPREMEIND</v>
      </c>
      <c r="B190" s="142">
        <f>VLOOKUP(A190,'Data Vlaue (Cr)'!C185:CW397,99,0)</f>
        <v>1154</v>
      </c>
      <c r="C190" s="90">
        <f>VLOOKUP(A190,'Data Vlaue (Cr)'!C185:CY397,101,0)</f>
        <v>-27</v>
      </c>
      <c r="D190" s="139">
        <f>VLOOKUP(A190,'Data Vlaue (Cr)'!C185:CZ397,102,0)</f>
        <v>-2.3099999999999999E-2</v>
      </c>
      <c r="E190" s="91">
        <f>VLOOKUP($A190,'Data Vlaue (Cr)'!$C:$FB,75)</f>
        <v>667</v>
      </c>
      <c r="F190" s="91">
        <f>VLOOKUP($A190,'Data Vlaue (Cr)'!$C:$FB,77)</f>
        <v>-34</v>
      </c>
      <c r="G190" s="92">
        <f>VLOOKUP(A190,'Data Vlaue (Cr)'!C185:CB397,78,0)</f>
        <v>-4.8599999999999997E-2</v>
      </c>
      <c r="H190" s="91">
        <f>VLOOKUP($A190,'Data Vlaue (Cr)'!$C:$FB,91)</f>
        <v>285</v>
      </c>
      <c r="I190" s="91">
        <f>VLOOKUP($A190,'Data Vlaue (Cr)'!$C:$FB,93)</f>
        <v>-27</v>
      </c>
      <c r="J190" s="92">
        <f>VLOOKUP($A190,'Data Vlaue (Cr)'!$C:$FB,94)</f>
        <v>-8.7300000000000003E-2</v>
      </c>
      <c r="K190" s="91">
        <f>VLOOKUP($A190,'Data Vlaue (Cr)'!$C:$FB,95)</f>
        <v>202</v>
      </c>
      <c r="L190" s="91">
        <f>VLOOKUP($A190,'Data Vlaue (Cr)'!$C:$FB,97)</f>
        <v>34</v>
      </c>
      <c r="M190" s="92">
        <f>VLOOKUP($A190,'Data Vlaue (Cr)'!$C:$FB,98)</f>
        <v>0.2021</v>
      </c>
      <c r="N190" s="91">
        <f>VLOOKUP($A190,'Data Vlaue (Cr)'!$C:$FB,79)</f>
        <v>643</v>
      </c>
      <c r="O190" s="92">
        <f>VLOOKUP($A190,'Data Vlaue (Cr)'!$C:$FB,82)</f>
        <v>-5.1400000000000001E-2</v>
      </c>
    </row>
    <row r="191" spans="1:15" x14ac:dyDescent="0.25">
      <c r="A191" s="97" t="str">
        <f>'Data Vlaue (Cr)'!C186</f>
        <v>SUZLON</v>
      </c>
      <c r="B191" s="142">
        <f>VLOOKUP(A191,'Data Vlaue (Cr)'!C186:CW398,99,0)</f>
        <v>3003</v>
      </c>
      <c r="C191" s="90">
        <f>VLOOKUP(A191,'Data Vlaue (Cr)'!C186:CY398,101,0)</f>
        <v>48</v>
      </c>
      <c r="D191" s="139">
        <f>VLOOKUP(A191,'Data Vlaue (Cr)'!C186:CZ398,102,0)</f>
        <v>1.61E-2</v>
      </c>
      <c r="E191" s="91">
        <f>VLOOKUP($A191,'Data Vlaue (Cr)'!$C:$FB,75)</f>
        <v>1583</v>
      </c>
      <c r="F191" s="91">
        <f>VLOOKUP($A191,'Data Vlaue (Cr)'!$C:$FB,77)</f>
        <v>9</v>
      </c>
      <c r="G191" s="92">
        <f>VLOOKUP(A191,'Data Vlaue (Cr)'!C186:CB398,78,0)</f>
        <v>5.4999999999999997E-3</v>
      </c>
      <c r="H191" s="91">
        <f>VLOOKUP($A191,'Data Vlaue (Cr)'!$C:$FB,91)</f>
        <v>1083</v>
      </c>
      <c r="I191" s="91">
        <f>VLOOKUP($A191,'Data Vlaue (Cr)'!$C:$FB,93)</f>
        <v>32</v>
      </c>
      <c r="J191" s="92">
        <f>VLOOKUP($A191,'Data Vlaue (Cr)'!$C:$FB,94)</f>
        <v>3.04E-2</v>
      </c>
      <c r="K191" s="91">
        <f>VLOOKUP($A191,'Data Vlaue (Cr)'!$C:$FB,95)</f>
        <v>337</v>
      </c>
      <c r="L191" s="91">
        <f>VLOOKUP($A191,'Data Vlaue (Cr)'!$C:$FB,97)</f>
        <v>7</v>
      </c>
      <c r="M191" s="92">
        <f>VLOOKUP($A191,'Data Vlaue (Cr)'!$C:$FB,98)</f>
        <v>2.12E-2</v>
      </c>
      <c r="N191" s="91">
        <f>VLOOKUP($A191,'Data Vlaue (Cr)'!$C:$FB,79)</f>
        <v>1419</v>
      </c>
      <c r="O191" s="92">
        <f>VLOOKUP($A191,'Data Vlaue (Cr)'!$C:$FB,82)</f>
        <v>-7.7000000000000002E-3</v>
      </c>
    </row>
    <row r="192" spans="1:15" x14ac:dyDescent="0.25">
      <c r="A192" s="97" t="str">
        <f>'Data Vlaue (Cr)'!C187</f>
        <v>SWIGGY</v>
      </c>
      <c r="B192" s="142">
        <f>VLOOKUP(A192,'Data Vlaue (Cr)'!C187:CW399,99,0)</f>
        <v>1880</v>
      </c>
      <c r="C192" s="90">
        <f>VLOOKUP(A192,'Data Vlaue (Cr)'!C187:CY399,101,0)</f>
        <v>60</v>
      </c>
      <c r="D192" s="139">
        <f>VLOOKUP(A192,'Data Vlaue (Cr)'!C187:CZ399,102,0)</f>
        <v>3.2800000000000003E-2</v>
      </c>
      <c r="E192" s="91">
        <f>VLOOKUP($A192,'Data Vlaue (Cr)'!$C:$FB,75)</f>
        <v>1401</v>
      </c>
      <c r="F192" s="91">
        <f>VLOOKUP($A192,'Data Vlaue (Cr)'!$C:$FB,77)</f>
        <v>79</v>
      </c>
      <c r="G192" s="92">
        <f>VLOOKUP(A192,'Data Vlaue (Cr)'!C187:CB399,78,0)</f>
        <v>5.9900000000000002E-2</v>
      </c>
      <c r="H192" s="91">
        <f>VLOOKUP($A192,'Data Vlaue (Cr)'!$C:$FB,91)</f>
        <v>227</v>
      </c>
      <c r="I192" s="91">
        <f>VLOOKUP($A192,'Data Vlaue (Cr)'!$C:$FB,93)</f>
        <v>-23</v>
      </c>
      <c r="J192" s="92">
        <f>VLOOKUP($A192,'Data Vlaue (Cr)'!$C:$FB,94)</f>
        <v>-9.35E-2</v>
      </c>
      <c r="K192" s="91">
        <f>VLOOKUP($A192,'Data Vlaue (Cr)'!$C:$FB,95)</f>
        <v>252</v>
      </c>
      <c r="L192" s="91">
        <f>VLOOKUP($A192,'Data Vlaue (Cr)'!$C:$FB,97)</f>
        <v>4</v>
      </c>
      <c r="M192" s="92">
        <f>VLOOKUP($A192,'Data Vlaue (Cr)'!$C:$FB,98)</f>
        <v>1.6500000000000001E-2</v>
      </c>
      <c r="N192" s="91">
        <f>VLOOKUP($A192,'Data Vlaue (Cr)'!$C:$FB,79)</f>
        <v>1235</v>
      </c>
      <c r="O192" s="92">
        <f>VLOOKUP($A192,'Data Vlaue (Cr)'!$C:$FB,82)</f>
        <v>2.41E-2</v>
      </c>
    </row>
    <row r="193" spans="1:15" x14ac:dyDescent="0.25">
      <c r="A193" s="97" t="str">
        <f>'Data Vlaue (Cr)'!C188</f>
        <v>SYNGENE</v>
      </c>
      <c r="B193" s="142">
        <f>VLOOKUP(A193,'Data Vlaue (Cr)'!C188:CW400,99,0)</f>
        <v>1200</v>
      </c>
      <c r="C193" s="90">
        <f>VLOOKUP(A193,'Data Vlaue (Cr)'!C188:CY400,101,0)</f>
        <v>58</v>
      </c>
      <c r="D193" s="139">
        <f>VLOOKUP(A193,'Data Vlaue (Cr)'!C188:CZ400,102,0)</f>
        <v>5.1200000000000002E-2</v>
      </c>
      <c r="E193" s="91">
        <f>VLOOKUP($A193,'Data Vlaue (Cr)'!$C:$FB,75)</f>
        <v>496</v>
      </c>
      <c r="F193" s="91">
        <f>VLOOKUP($A193,'Data Vlaue (Cr)'!$C:$FB,77)</f>
        <v>42</v>
      </c>
      <c r="G193" s="92">
        <f>VLOOKUP(A193,'Data Vlaue (Cr)'!C188:CB400,78,0)</f>
        <v>9.2700000000000005E-2</v>
      </c>
      <c r="H193" s="91">
        <f>VLOOKUP($A193,'Data Vlaue (Cr)'!$C:$FB,91)</f>
        <v>451</v>
      </c>
      <c r="I193" s="91">
        <f>VLOOKUP($A193,'Data Vlaue (Cr)'!$C:$FB,93)</f>
        <v>11</v>
      </c>
      <c r="J193" s="92">
        <f>VLOOKUP($A193,'Data Vlaue (Cr)'!$C:$FB,94)</f>
        <v>2.5600000000000001E-2</v>
      </c>
      <c r="K193" s="91">
        <f>VLOOKUP($A193,'Data Vlaue (Cr)'!$C:$FB,95)</f>
        <v>253</v>
      </c>
      <c r="L193" s="91">
        <f>VLOOKUP($A193,'Data Vlaue (Cr)'!$C:$FB,97)</f>
        <v>5</v>
      </c>
      <c r="M193" s="92">
        <f>VLOOKUP($A193,'Data Vlaue (Cr)'!$C:$FB,98)</f>
        <v>2.0500000000000001E-2</v>
      </c>
      <c r="N193" s="91">
        <f>VLOOKUP($A193,'Data Vlaue (Cr)'!$C:$FB,79)</f>
        <v>457</v>
      </c>
      <c r="O193" s="92">
        <f>VLOOKUP($A193,'Data Vlaue (Cr)'!$C:$FB,82)</f>
        <v>8.9399999999999993E-2</v>
      </c>
    </row>
    <row r="194" spans="1:15" x14ac:dyDescent="0.25">
      <c r="A194" s="97" t="str">
        <f>'Data Vlaue (Cr)'!C189</f>
        <v>TATACONSUM</v>
      </c>
      <c r="B194" s="142">
        <f>VLOOKUP(A194,'Data Vlaue (Cr)'!C189:CW401,99,0)</f>
        <v>2483</v>
      </c>
      <c r="C194" s="90">
        <f>VLOOKUP(A194,'Data Vlaue (Cr)'!C189:CY401,101,0)</f>
        <v>6</v>
      </c>
      <c r="D194" s="139">
        <f>VLOOKUP(A194,'Data Vlaue (Cr)'!C189:CZ401,102,0)</f>
        <v>2.5999999999999999E-3</v>
      </c>
      <c r="E194" s="91">
        <f>VLOOKUP($A194,'Data Vlaue (Cr)'!$C:$FB,75)</f>
        <v>1565</v>
      </c>
      <c r="F194" s="91">
        <f>VLOOKUP($A194,'Data Vlaue (Cr)'!$C:$FB,77)</f>
        <v>-6</v>
      </c>
      <c r="G194" s="92">
        <f>VLOOKUP(A194,'Data Vlaue (Cr)'!C189:CB401,78,0)</f>
        <v>-3.7000000000000002E-3</v>
      </c>
      <c r="H194" s="91">
        <f>VLOOKUP($A194,'Data Vlaue (Cr)'!$C:$FB,91)</f>
        <v>525</v>
      </c>
      <c r="I194" s="91">
        <f>VLOOKUP($A194,'Data Vlaue (Cr)'!$C:$FB,93)</f>
        <v>12</v>
      </c>
      <c r="J194" s="92">
        <f>VLOOKUP($A194,'Data Vlaue (Cr)'!$C:$FB,94)</f>
        <v>2.41E-2</v>
      </c>
      <c r="K194" s="91">
        <f>VLOOKUP($A194,'Data Vlaue (Cr)'!$C:$FB,95)</f>
        <v>393</v>
      </c>
      <c r="L194" s="91">
        <f>VLOOKUP($A194,'Data Vlaue (Cr)'!$C:$FB,97)</f>
        <v>0</v>
      </c>
      <c r="M194" s="92">
        <f>VLOOKUP($A194,'Data Vlaue (Cr)'!$C:$FB,98)</f>
        <v>0</v>
      </c>
      <c r="N194" s="91">
        <f>VLOOKUP($A194,'Data Vlaue (Cr)'!$C:$FB,79)</f>
        <v>1501</v>
      </c>
      <c r="O194" s="92">
        <f>VLOOKUP($A194,'Data Vlaue (Cr)'!$C:$FB,82)</f>
        <v>-4.1000000000000003E-3</v>
      </c>
    </row>
    <row r="195" spans="1:15" x14ac:dyDescent="0.25">
      <c r="A195" s="97" t="str">
        <f>'Data Vlaue (Cr)'!C190</f>
        <v>TATAELXSI</v>
      </c>
      <c r="B195" s="142">
        <f>VLOOKUP(A195,'Data Vlaue (Cr)'!C190:CW402,99,0)</f>
        <v>2040</v>
      </c>
      <c r="C195" s="90">
        <f>VLOOKUP(A195,'Data Vlaue (Cr)'!C190:CY402,101,0)</f>
        <v>121</v>
      </c>
      <c r="D195" s="139">
        <f>VLOOKUP(A195,'Data Vlaue (Cr)'!C190:CZ402,102,0)</f>
        <v>6.3200000000000006E-2</v>
      </c>
      <c r="E195" s="91">
        <f>VLOOKUP($A195,'Data Vlaue (Cr)'!$C:$FB,75)</f>
        <v>744</v>
      </c>
      <c r="F195" s="91">
        <f>VLOOKUP($A195,'Data Vlaue (Cr)'!$C:$FB,77)</f>
        <v>28</v>
      </c>
      <c r="G195" s="92">
        <f>VLOOKUP(A195,'Data Vlaue (Cr)'!C190:CB402,78,0)</f>
        <v>3.9699999999999999E-2</v>
      </c>
      <c r="H195" s="91">
        <f>VLOOKUP($A195,'Data Vlaue (Cr)'!$C:$FB,91)</f>
        <v>1017</v>
      </c>
      <c r="I195" s="91">
        <f>VLOOKUP($A195,'Data Vlaue (Cr)'!$C:$FB,93)</f>
        <v>97</v>
      </c>
      <c r="J195" s="92">
        <f>VLOOKUP($A195,'Data Vlaue (Cr)'!$C:$FB,94)</f>
        <v>0.1056</v>
      </c>
      <c r="K195" s="91">
        <f>VLOOKUP($A195,'Data Vlaue (Cr)'!$C:$FB,95)</f>
        <v>279</v>
      </c>
      <c r="L195" s="91">
        <f>VLOOKUP($A195,'Data Vlaue (Cr)'!$C:$FB,97)</f>
        <v>-4</v>
      </c>
      <c r="M195" s="92">
        <f>VLOOKUP($A195,'Data Vlaue (Cr)'!$C:$FB,98)</f>
        <v>-1.4999999999999999E-2</v>
      </c>
      <c r="N195" s="91">
        <f>VLOOKUP($A195,'Data Vlaue (Cr)'!$C:$FB,79)</f>
        <v>617</v>
      </c>
      <c r="O195" s="92">
        <f>VLOOKUP($A195,'Data Vlaue (Cr)'!$C:$FB,82)</f>
        <v>1.38E-2</v>
      </c>
    </row>
    <row r="196" spans="1:15" x14ac:dyDescent="0.25">
      <c r="A196" s="97" t="str">
        <f>'Data Vlaue (Cr)'!C191</f>
        <v>TATAPOWER</v>
      </c>
      <c r="B196" s="142">
        <f>VLOOKUP(A196,'Data Vlaue (Cr)'!C191:CW403,99,0)</f>
        <v>4540</v>
      </c>
      <c r="C196" s="90">
        <f>VLOOKUP(A196,'Data Vlaue (Cr)'!C191:CY403,101,0)</f>
        <v>53</v>
      </c>
      <c r="D196" s="139">
        <f>VLOOKUP(A196,'Data Vlaue (Cr)'!C191:CZ403,102,0)</f>
        <v>1.1900000000000001E-2</v>
      </c>
      <c r="E196" s="91">
        <f>VLOOKUP($A196,'Data Vlaue (Cr)'!$C:$FB,75)</f>
        <v>2148</v>
      </c>
      <c r="F196" s="91">
        <f>VLOOKUP($A196,'Data Vlaue (Cr)'!$C:$FB,77)</f>
        <v>-5</v>
      </c>
      <c r="G196" s="92">
        <f>VLOOKUP(A196,'Data Vlaue (Cr)'!C191:CB403,78,0)</f>
        <v>-2.5000000000000001E-3</v>
      </c>
      <c r="H196" s="91">
        <f>VLOOKUP($A196,'Data Vlaue (Cr)'!$C:$FB,91)</f>
        <v>1337</v>
      </c>
      <c r="I196" s="91">
        <f>VLOOKUP($A196,'Data Vlaue (Cr)'!$C:$FB,93)</f>
        <v>50</v>
      </c>
      <c r="J196" s="92">
        <f>VLOOKUP($A196,'Data Vlaue (Cr)'!$C:$FB,94)</f>
        <v>3.8699999999999998E-2</v>
      </c>
      <c r="K196" s="91">
        <f>VLOOKUP($A196,'Data Vlaue (Cr)'!$C:$FB,95)</f>
        <v>1056</v>
      </c>
      <c r="L196" s="91">
        <f>VLOOKUP($A196,'Data Vlaue (Cr)'!$C:$FB,97)</f>
        <v>9</v>
      </c>
      <c r="M196" s="92">
        <f>VLOOKUP($A196,'Data Vlaue (Cr)'!$C:$FB,98)</f>
        <v>8.6999999999999994E-3</v>
      </c>
      <c r="N196" s="91">
        <f>VLOOKUP($A196,'Data Vlaue (Cr)'!$C:$FB,79)</f>
        <v>2036</v>
      </c>
      <c r="O196" s="92">
        <f>VLOOKUP($A196,'Data Vlaue (Cr)'!$C:$FB,82)</f>
        <v>-6.7000000000000002E-3</v>
      </c>
    </row>
    <row r="197" spans="1:15" x14ac:dyDescent="0.25">
      <c r="A197" s="97" t="str">
        <f>'Data Vlaue (Cr)'!C192</f>
        <v>TATASTEEL</v>
      </c>
      <c r="B197" s="142">
        <f>VLOOKUP(A197,'Data Vlaue (Cr)'!C192:CW404,99,0)</f>
        <v>9889</v>
      </c>
      <c r="C197" s="90">
        <f>VLOOKUP(A197,'Data Vlaue (Cr)'!C192:CY404,101,0)</f>
        <v>-49</v>
      </c>
      <c r="D197" s="139">
        <f>VLOOKUP(A197,'Data Vlaue (Cr)'!C192:CZ404,102,0)</f>
        <v>-5.0000000000000001E-3</v>
      </c>
      <c r="E197" s="91">
        <f>VLOOKUP($A197,'Data Vlaue (Cr)'!$C:$FB,75)</f>
        <v>4507</v>
      </c>
      <c r="F197" s="91">
        <f>VLOOKUP($A197,'Data Vlaue (Cr)'!$C:$FB,77)</f>
        <v>-87</v>
      </c>
      <c r="G197" s="92">
        <f>VLOOKUP(A197,'Data Vlaue (Cr)'!C192:CB404,78,0)</f>
        <v>-1.89E-2</v>
      </c>
      <c r="H197" s="91">
        <f>VLOOKUP($A197,'Data Vlaue (Cr)'!$C:$FB,91)</f>
        <v>2955</v>
      </c>
      <c r="I197" s="91">
        <f>VLOOKUP($A197,'Data Vlaue (Cr)'!$C:$FB,93)</f>
        <v>-1</v>
      </c>
      <c r="J197" s="92">
        <f>VLOOKUP($A197,'Data Vlaue (Cr)'!$C:$FB,94)</f>
        <v>-2.0000000000000001E-4</v>
      </c>
      <c r="K197" s="91">
        <f>VLOOKUP($A197,'Data Vlaue (Cr)'!$C:$FB,95)</f>
        <v>2427</v>
      </c>
      <c r="L197" s="91">
        <f>VLOOKUP($A197,'Data Vlaue (Cr)'!$C:$FB,97)</f>
        <v>38</v>
      </c>
      <c r="M197" s="92">
        <f>VLOOKUP($A197,'Data Vlaue (Cr)'!$C:$FB,98)</f>
        <v>1.5900000000000001E-2</v>
      </c>
      <c r="N197" s="91">
        <f>VLOOKUP($A197,'Data Vlaue (Cr)'!$C:$FB,79)</f>
        <v>3991</v>
      </c>
      <c r="O197" s="92">
        <f>VLOOKUP($A197,'Data Vlaue (Cr)'!$C:$FB,82)</f>
        <v>-2.64E-2</v>
      </c>
    </row>
    <row r="198" spans="1:15" x14ac:dyDescent="0.25">
      <c r="A198" s="97" t="str">
        <f>'Data Vlaue (Cr)'!C193</f>
        <v>TATATECH</v>
      </c>
      <c r="B198" s="142">
        <f>VLOOKUP(A198,'Data Vlaue (Cr)'!C193:CW405,99,0)</f>
        <v>1313</v>
      </c>
      <c r="C198" s="90">
        <f>VLOOKUP(A198,'Data Vlaue (Cr)'!C193:CY405,101,0)</f>
        <v>21</v>
      </c>
      <c r="D198" s="139">
        <f>VLOOKUP(A198,'Data Vlaue (Cr)'!C193:CZ405,102,0)</f>
        <v>1.6400000000000001E-2</v>
      </c>
      <c r="E198" s="91">
        <f>VLOOKUP($A198,'Data Vlaue (Cr)'!$C:$FB,75)</f>
        <v>761</v>
      </c>
      <c r="F198" s="91">
        <f>VLOOKUP($A198,'Data Vlaue (Cr)'!$C:$FB,77)</f>
        <v>15</v>
      </c>
      <c r="G198" s="92">
        <f>VLOOKUP(A198,'Data Vlaue (Cr)'!C193:CB405,78,0)</f>
        <v>2.0199999999999999E-2</v>
      </c>
      <c r="H198" s="91">
        <f>VLOOKUP($A198,'Data Vlaue (Cr)'!$C:$FB,91)</f>
        <v>329</v>
      </c>
      <c r="I198" s="91">
        <f>VLOOKUP($A198,'Data Vlaue (Cr)'!$C:$FB,93)</f>
        <v>2</v>
      </c>
      <c r="J198" s="92">
        <f>VLOOKUP($A198,'Data Vlaue (Cr)'!$C:$FB,94)</f>
        <v>7.4000000000000003E-3</v>
      </c>
      <c r="K198" s="91">
        <f>VLOOKUP($A198,'Data Vlaue (Cr)'!$C:$FB,95)</f>
        <v>222</v>
      </c>
      <c r="L198" s="91">
        <f>VLOOKUP($A198,'Data Vlaue (Cr)'!$C:$FB,97)</f>
        <v>4</v>
      </c>
      <c r="M198" s="92">
        <f>VLOOKUP($A198,'Data Vlaue (Cr)'!$C:$FB,98)</f>
        <v>1.6799999999999999E-2</v>
      </c>
      <c r="N198" s="91">
        <f>VLOOKUP($A198,'Data Vlaue (Cr)'!$C:$FB,79)</f>
        <v>673</v>
      </c>
      <c r="O198" s="92">
        <f>VLOOKUP($A198,'Data Vlaue (Cr)'!$C:$FB,82)</f>
        <v>7.6E-3</v>
      </c>
    </row>
    <row r="199" spans="1:15" x14ac:dyDescent="0.25">
      <c r="A199" s="97" t="str">
        <f>'Data Vlaue (Cr)'!C194</f>
        <v>TCS</v>
      </c>
      <c r="B199" s="142">
        <f>VLOOKUP(A199,'Data Vlaue (Cr)'!C194:CW406,99,0)</f>
        <v>17951</v>
      </c>
      <c r="C199" s="90">
        <f>VLOOKUP(A199,'Data Vlaue (Cr)'!C194:CY406,101,0)</f>
        <v>1074</v>
      </c>
      <c r="D199" s="139">
        <f>VLOOKUP(A199,'Data Vlaue (Cr)'!C194:CZ406,102,0)</f>
        <v>6.3600000000000004E-2</v>
      </c>
      <c r="E199" s="91">
        <f>VLOOKUP($A199,'Data Vlaue (Cr)'!$C:$FB,75)</f>
        <v>7811</v>
      </c>
      <c r="F199" s="91">
        <f>VLOOKUP($A199,'Data Vlaue (Cr)'!$C:$FB,77)</f>
        <v>240</v>
      </c>
      <c r="G199" s="92">
        <f>VLOOKUP(A199,'Data Vlaue (Cr)'!C194:CB406,78,0)</f>
        <v>3.1699999999999999E-2</v>
      </c>
      <c r="H199" s="91">
        <f>VLOOKUP($A199,'Data Vlaue (Cr)'!$C:$FB,91)</f>
        <v>6460</v>
      </c>
      <c r="I199" s="91">
        <f>VLOOKUP($A199,'Data Vlaue (Cr)'!$C:$FB,93)</f>
        <v>542</v>
      </c>
      <c r="J199" s="92">
        <f>VLOOKUP($A199,'Data Vlaue (Cr)'!$C:$FB,94)</f>
        <v>9.1600000000000001E-2</v>
      </c>
      <c r="K199" s="91">
        <f>VLOOKUP($A199,'Data Vlaue (Cr)'!$C:$FB,95)</f>
        <v>3680</v>
      </c>
      <c r="L199" s="91">
        <f>VLOOKUP($A199,'Data Vlaue (Cr)'!$C:$FB,97)</f>
        <v>292</v>
      </c>
      <c r="M199" s="92">
        <f>VLOOKUP($A199,'Data Vlaue (Cr)'!$C:$FB,98)</f>
        <v>8.6199999999999999E-2</v>
      </c>
      <c r="N199" s="91">
        <f>VLOOKUP($A199,'Data Vlaue (Cr)'!$C:$FB,79)</f>
        <v>6868</v>
      </c>
      <c r="O199" s="92">
        <f>VLOOKUP($A199,'Data Vlaue (Cr)'!$C:$FB,82)</f>
        <v>1.4800000000000001E-2</v>
      </c>
    </row>
    <row r="200" spans="1:15" x14ac:dyDescent="0.25">
      <c r="A200" s="97" t="str">
        <f>'Data Vlaue (Cr)'!C195</f>
        <v>TECHM</v>
      </c>
      <c r="B200" s="142">
        <f>VLOOKUP(A200,'Data Vlaue (Cr)'!C195:CW407,99,0)</f>
        <v>5311</v>
      </c>
      <c r="C200" s="90">
        <f>VLOOKUP(A200,'Data Vlaue (Cr)'!C195:CY407,101,0)</f>
        <v>-5</v>
      </c>
      <c r="D200" s="139">
        <f>VLOOKUP(A200,'Data Vlaue (Cr)'!C195:CZ407,102,0)</f>
        <v>-1E-3</v>
      </c>
      <c r="E200" s="91">
        <f>VLOOKUP($A200,'Data Vlaue (Cr)'!$C:$FB,75)</f>
        <v>2858</v>
      </c>
      <c r="F200" s="91">
        <f>VLOOKUP($A200,'Data Vlaue (Cr)'!$C:$FB,77)</f>
        <v>-59</v>
      </c>
      <c r="G200" s="92">
        <f>VLOOKUP(A200,'Data Vlaue (Cr)'!C195:CB407,78,0)</f>
        <v>-2.0299999999999999E-2</v>
      </c>
      <c r="H200" s="91">
        <f>VLOOKUP($A200,'Data Vlaue (Cr)'!$C:$FB,91)</f>
        <v>1517</v>
      </c>
      <c r="I200" s="91">
        <f>VLOOKUP($A200,'Data Vlaue (Cr)'!$C:$FB,93)</f>
        <v>32</v>
      </c>
      <c r="J200" s="92">
        <f>VLOOKUP($A200,'Data Vlaue (Cr)'!$C:$FB,94)</f>
        <v>2.1299999999999999E-2</v>
      </c>
      <c r="K200" s="91">
        <f>VLOOKUP($A200,'Data Vlaue (Cr)'!$C:$FB,95)</f>
        <v>936</v>
      </c>
      <c r="L200" s="91">
        <f>VLOOKUP($A200,'Data Vlaue (Cr)'!$C:$FB,97)</f>
        <v>22</v>
      </c>
      <c r="M200" s="92">
        <f>VLOOKUP($A200,'Data Vlaue (Cr)'!$C:$FB,98)</f>
        <v>2.4500000000000001E-2</v>
      </c>
      <c r="N200" s="91">
        <f>VLOOKUP($A200,'Data Vlaue (Cr)'!$C:$FB,79)</f>
        <v>2756</v>
      </c>
      <c r="O200" s="92">
        <f>VLOOKUP($A200,'Data Vlaue (Cr)'!$C:$FB,82)</f>
        <v>-2.3400000000000001E-2</v>
      </c>
    </row>
    <row r="201" spans="1:15" x14ac:dyDescent="0.25">
      <c r="A201" s="97" t="str">
        <f>'Data Vlaue (Cr)'!C196</f>
        <v>TIINDIA</v>
      </c>
      <c r="B201" s="142">
        <f>VLOOKUP(A201,'Data Vlaue (Cr)'!C196:CW408,99,0)</f>
        <v>1503</v>
      </c>
      <c r="C201" s="90">
        <f>VLOOKUP(A201,'Data Vlaue (Cr)'!C196:CY408,101,0)</f>
        <v>-35</v>
      </c>
      <c r="D201" s="139">
        <f>VLOOKUP(A201,'Data Vlaue (Cr)'!C196:CZ408,102,0)</f>
        <v>-2.2700000000000001E-2</v>
      </c>
      <c r="E201" s="91">
        <f>VLOOKUP($A201,'Data Vlaue (Cr)'!$C:$FB,75)</f>
        <v>890</v>
      </c>
      <c r="F201" s="91">
        <f>VLOOKUP($A201,'Data Vlaue (Cr)'!$C:$FB,77)</f>
        <v>-3</v>
      </c>
      <c r="G201" s="92">
        <f>VLOOKUP(A201,'Data Vlaue (Cr)'!C196:CB408,78,0)</f>
        <v>-3.0999999999999999E-3</v>
      </c>
      <c r="H201" s="91">
        <f>VLOOKUP($A201,'Data Vlaue (Cr)'!$C:$FB,91)</f>
        <v>395</v>
      </c>
      <c r="I201" s="91">
        <f>VLOOKUP($A201,'Data Vlaue (Cr)'!$C:$FB,93)</f>
        <v>-24</v>
      </c>
      <c r="J201" s="92">
        <f>VLOOKUP($A201,'Data Vlaue (Cr)'!$C:$FB,94)</f>
        <v>-5.6300000000000003E-2</v>
      </c>
      <c r="K201" s="91">
        <f>VLOOKUP($A201,'Data Vlaue (Cr)'!$C:$FB,95)</f>
        <v>218</v>
      </c>
      <c r="L201" s="91">
        <f>VLOOKUP($A201,'Data Vlaue (Cr)'!$C:$FB,97)</f>
        <v>-9</v>
      </c>
      <c r="M201" s="92">
        <f>VLOOKUP($A201,'Data Vlaue (Cr)'!$C:$FB,98)</f>
        <v>-3.8300000000000001E-2</v>
      </c>
      <c r="N201" s="91">
        <f>VLOOKUP($A201,'Data Vlaue (Cr)'!$C:$FB,79)</f>
        <v>856</v>
      </c>
      <c r="O201" s="92">
        <f>VLOOKUP($A201,'Data Vlaue (Cr)'!$C:$FB,82)</f>
        <v>-4.3E-3</v>
      </c>
    </row>
    <row r="202" spans="1:15" x14ac:dyDescent="0.25">
      <c r="A202" s="97" t="str">
        <f>'Data Vlaue (Cr)'!C197</f>
        <v>TITAN</v>
      </c>
      <c r="B202" s="142">
        <f>VLOOKUP(A202,'Data Vlaue (Cr)'!C197:CW409,99,0)</f>
        <v>9814</v>
      </c>
      <c r="C202" s="90">
        <f>VLOOKUP(A202,'Data Vlaue (Cr)'!C197:CY409,101,0)</f>
        <v>1410</v>
      </c>
      <c r="D202" s="139">
        <f>VLOOKUP(A202,'Data Vlaue (Cr)'!C197:CZ409,102,0)</f>
        <v>0.16769999999999999</v>
      </c>
      <c r="E202" s="91">
        <f>VLOOKUP($A202,'Data Vlaue (Cr)'!$C:$FB,75)</f>
        <v>4406</v>
      </c>
      <c r="F202" s="91">
        <f>VLOOKUP($A202,'Data Vlaue (Cr)'!$C:$FB,77)</f>
        <v>165</v>
      </c>
      <c r="G202" s="92">
        <f>VLOOKUP(A202,'Data Vlaue (Cr)'!C197:CB409,78,0)</f>
        <v>3.9E-2</v>
      </c>
      <c r="H202" s="91">
        <f>VLOOKUP($A202,'Data Vlaue (Cr)'!$C:$FB,91)</f>
        <v>3619</v>
      </c>
      <c r="I202" s="91">
        <f>VLOOKUP($A202,'Data Vlaue (Cr)'!$C:$FB,93)</f>
        <v>982</v>
      </c>
      <c r="J202" s="92">
        <f>VLOOKUP($A202,'Data Vlaue (Cr)'!$C:$FB,94)</f>
        <v>0.37240000000000001</v>
      </c>
      <c r="K202" s="91">
        <f>VLOOKUP($A202,'Data Vlaue (Cr)'!$C:$FB,95)</f>
        <v>1789</v>
      </c>
      <c r="L202" s="91">
        <f>VLOOKUP($A202,'Data Vlaue (Cr)'!$C:$FB,97)</f>
        <v>262</v>
      </c>
      <c r="M202" s="92">
        <f>VLOOKUP($A202,'Data Vlaue (Cr)'!$C:$FB,98)</f>
        <v>0.17180000000000001</v>
      </c>
      <c r="N202" s="91">
        <f>VLOOKUP($A202,'Data Vlaue (Cr)'!$C:$FB,79)</f>
        <v>4145</v>
      </c>
      <c r="O202" s="92">
        <f>VLOOKUP($A202,'Data Vlaue (Cr)'!$C:$FB,82)</f>
        <v>3.5499999999999997E-2</v>
      </c>
    </row>
    <row r="203" spans="1:15" x14ac:dyDescent="0.25">
      <c r="A203" s="97" t="str">
        <f>'Data Vlaue (Cr)'!C198</f>
        <v>TMPV</v>
      </c>
      <c r="B203" s="142">
        <f>VLOOKUP(A203,'Data Vlaue (Cr)'!C198:CW410,99,0)</f>
        <v>5889</v>
      </c>
      <c r="C203" s="90">
        <f>VLOOKUP(A203,'Data Vlaue (Cr)'!C198:CY410,101,0)</f>
        <v>-60</v>
      </c>
      <c r="D203" s="139">
        <f>VLOOKUP(A203,'Data Vlaue (Cr)'!C198:CZ410,102,0)</f>
        <v>-1.01E-2</v>
      </c>
      <c r="E203" s="91">
        <f>VLOOKUP($A203,'Data Vlaue (Cr)'!$C:$FB,75)</f>
        <v>3267</v>
      </c>
      <c r="F203" s="91">
        <f>VLOOKUP($A203,'Data Vlaue (Cr)'!$C:$FB,77)</f>
        <v>-37</v>
      </c>
      <c r="G203" s="92">
        <f>VLOOKUP(A203,'Data Vlaue (Cr)'!C198:CB410,78,0)</f>
        <v>-1.11E-2</v>
      </c>
      <c r="H203" s="91">
        <f>VLOOKUP($A203,'Data Vlaue (Cr)'!$C:$FB,91)</f>
        <v>1423</v>
      </c>
      <c r="I203" s="91">
        <f>VLOOKUP($A203,'Data Vlaue (Cr)'!$C:$FB,93)</f>
        <v>6</v>
      </c>
      <c r="J203" s="92">
        <f>VLOOKUP($A203,'Data Vlaue (Cr)'!$C:$FB,94)</f>
        <v>4.3E-3</v>
      </c>
      <c r="K203" s="91">
        <f>VLOOKUP($A203,'Data Vlaue (Cr)'!$C:$FB,95)</f>
        <v>1198</v>
      </c>
      <c r="L203" s="91">
        <f>VLOOKUP($A203,'Data Vlaue (Cr)'!$C:$FB,97)</f>
        <v>-29</v>
      </c>
      <c r="M203" s="92">
        <f>VLOOKUP($A203,'Data Vlaue (Cr)'!$C:$FB,98)</f>
        <v>-2.3800000000000002E-2</v>
      </c>
      <c r="N203" s="91">
        <f>VLOOKUP($A203,'Data Vlaue (Cr)'!$C:$FB,79)</f>
        <v>2954</v>
      </c>
      <c r="O203" s="92">
        <f>VLOOKUP($A203,'Data Vlaue (Cr)'!$C:$FB,82)</f>
        <v>-2.29E-2</v>
      </c>
    </row>
    <row r="204" spans="1:15" x14ac:dyDescent="0.25">
      <c r="A204" s="97" t="str">
        <f>'Data Vlaue (Cr)'!C199</f>
        <v>TORNTPHARM</v>
      </c>
      <c r="B204" s="142">
        <f>VLOOKUP(A204,'Data Vlaue (Cr)'!C199:CW411,99,0)</f>
        <v>1577</v>
      </c>
      <c r="C204" s="90">
        <f>VLOOKUP(A204,'Data Vlaue (Cr)'!C199:CY411,101,0)</f>
        <v>95</v>
      </c>
      <c r="D204" s="139">
        <f>VLOOKUP(A204,'Data Vlaue (Cr)'!C199:CZ411,102,0)</f>
        <v>6.4000000000000001E-2</v>
      </c>
      <c r="E204" s="91">
        <f>VLOOKUP($A204,'Data Vlaue (Cr)'!$C:$FB,75)</f>
        <v>1156</v>
      </c>
      <c r="F204" s="91">
        <f>VLOOKUP($A204,'Data Vlaue (Cr)'!$C:$FB,77)</f>
        <v>35</v>
      </c>
      <c r="G204" s="92">
        <f>VLOOKUP(A204,'Data Vlaue (Cr)'!C199:CB411,78,0)</f>
        <v>3.0800000000000001E-2</v>
      </c>
      <c r="H204" s="91">
        <f>VLOOKUP($A204,'Data Vlaue (Cr)'!$C:$FB,91)</f>
        <v>271</v>
      </c>
      <c r="I204" s="91">
        <f>VLOOKUP($A204,'Data Vlaue (Cr)'!$C:$FB,93)</f>
        <v>44</v>
      </c>
      <c r="J204" s="92">
        <f>VLOOKUP($A204,'Data Vlaue (Cr)'!$C:$FB,94)</f>
        <v>0.19600000000000001</v>
      </c>
      <c r="K204" s="91">
        <f>VLOOKUP($A204,'Data Vlaue (Cr)'!$C:$FB,95)</f>
        <v>150</v>
      </c>
      <c r="L204" s="91">
        <f>VLOOKUP($A204,'Data Vlaue (Cr)'!$C:$FB,97)</f>
        <v>16</v>
      </c>
      <c r="M204" s="92">
        <f>VLOOKUP($A204,'Data Vlaue (Cr)'!$C:$FB,98)</f>
        <v>0.1174</v>
      </c>
      <c r="N204" s="91">
        <f>VLOOKUP($A204,'Data Vlaue (Cr)'!$C:$FB,79)</f>
        <v>1141</v>
      </c>
      <c r="O204" s="92">
        <f>VLOOKUP($A204,'Data Vlaue (Cr)'!$C:$FB,82)</f>
        <v>2.6599999999999999E-2</v>
      </c>
    </row>
    <row r="205" spans="1:15" x14ac:dyDescent="0.25">
      <c r="A205" s="97" t="str">
        <f>'Data Vlaue (Cr)'!C200</f>
        <v>TORNTPOWER</v>
      </c>
      <c r="B205" s="142">
        <f>VLOOKUP(A205,'Data Vlaue (Cr)'!C200:CW412,99,0)</f>
        <v>1487</v>
      </c>
      <c r="C205" s="90">
        <f>VLOOKUP(A205,'Data Vlaue (Cr)'!C200:CY412,101,0)</f>
        <v>303</v>
      </c>
      <c r="D205" s="139">
        <f>VLOOKUP(A205,'Data Vlaue (Cr)'!C200:CZ412,102,0)</f>
        <v>0.25619999999999998</v>
      </c>
      <c r="E205" s="91">
        <f>VLOOKUP($A205,'Data Vlaue (Cr)'!$C:$FB,75)</f>
        <v>672</v>
      </c>
      <c r="F205" s="91">
        <f>VLOOKUP($A205,'Data Vlaue (Cr)'!$C:$FB,77)</f>
        <v>112</v>
      </c>
      <c r="G205" s="92">
        <f>VLOOKUP(A205,'Data Vlaue (Cr)'!C200:CB412,78,0)</f>
        <v>0.2001</v>
      </c>
      <c r="H205" s="91">
        <f>VLOOKUP($A205,'Data Vlaue (Cr)'!$C:$FB,91)</f>
        <v>526</v>
      </c>
      <c r="I205" s="91">
        <f>VLOOKUP($A205,'Data Vlaue (Cr)'!$C:$FB,93)</f>
        <v>186</v>
      </c>
      <c r="J205" s="92">
        <f>VLOOKUP($A205,'Data Vlaue (Cr)'!$C:$FB,94)</f>
        <v>0.54779999999999995</v>
      </c>
      <c r="K205" s="91">
        <f>VLOOKUP($A205,'Data Vlaue (Cr)'!$C:$FB,95)</f>
        <v>289</v>
      </c>
      <c r="L205" s="91">
        <f>VLOOKUP($A205,'Data Vlaue (Cr)'!$C:$FB,97)</f>
        <v>5</v>
      </c>
      <c r="M205" s="92">
        <f>VLOOKUP($A205,'Data Vlaue (Cr)'!$C:$FB,98)</f>
        <v>1.78E-2</v>
      </c>
      <c r="N205" s="91">
        <f>VLOOKUP($A205,'Data Vlaue (Cr)'!$C:$FB,79)</f>
        <v>648</v>
      </c>
      <c r="O205" s="92">
        <f>VLOOKUP($A205,'Data Vlaue (Cr)'!$C:$FB,82)</f>
        <v>0.17549999999999999</v>
      </c>
    </row>
    <row r="206" spans="1:15" x14ac:dyDescent="0.25">
      <c r="A206" s="97" t="str">
        <f>'Data Vlaue (Cr)'!C201</f>
        <v>TRENT</v>
      </c>
      <c r="B206" s="142">
        <f>VLOOKUP(A206,'Data Vlaue (Cr)'!C201:CW413,99,0)</f>
        <v>6111</v>
      </c>
      <c r="C206" s="90">
        <f>VLOOKUP(A206,'Data Vlaue (Cr)'!C201:CY413,101,0)</f>
        <v>-50</v>
      </c>
      <c r="D206" s="139">
        <f>VLOOKUP(A206,'Data Vlaue (Cr)'!C201:CZ413,102,0)</f>
        <v>-8.0999999999999996E-3</v>
      </c>
      <c r="E206" s="91">
        <f>VLOOKUP($A206,'Data Vlaue (Cr)'!$C:$FB,75)</f>
        <v>3103</v>
      </c>
      <c r="F206" s="91">
        <f>VLOOKUP($A206,'Data Vlaue (Cr)'!$C:$FB,77)</f>
        <v>4</v>
      </c>
      <c r="G206" s="92">
        <f>VLOOKUP(A206,'Data Vlaue (Cr)'!C201:CB413,78,0)</f>
        <v>1.2999999999999999E-3</v>
      </c>
      <c r="H206" s="91">
        <f>VLOOKUP($A206,'Data Vlaue (Cr)'!$C:$FB,91)</f>
        <v>1731</v>
      </c>
      <c r="I206" s="91">
        <f>VLOOKUP($A206,'Data Vlaue (Cr)'!$C:$FB,93)</f>
        <v>-88</v>
      </c>
      <c r="J206" s="92">
        <f>VLOOKUP($A206,'Data Vlaue (Cr)'!$C:$FB,94)</f>
        <v>-4.82E-2</v>
      </c>
      <c r="K206" s="91">
        <f>VLOOKUP($A206,'Data Vlaue (Cr)'!$C:$FB,95)</f>
        <v>1277</v>
      </c>
      <c r="L206" s="91">
        <f>VLOOKUP($A206,'Data Vlaue (Cr)'!$C:$FB,97)</f>
        <v>34</v>
      </c>
      <c r="M206" s="92">
        <f>VLOOKUP($A206,'Data Vlaue (Cr)'!$C:$FB,98)</f>
        <v>2.7400000000000001E-2</v>
      </c>
      <c r="N206" s="91">
        <f>VLOOKUP($A206,'Data Vlaue (Cr)'!$C:$FB,79)</f>
        <v>2920</v>
      </c>
      <c r="O206" s="92">
        <f>VLOOKUP($A206,'Data Vlaue (Cr)'!$C:$FB,82)</f>
        <v>1.2999999999999999E-3</v>
      </c>
    </row>
    <row r="207" spans="1:15" x14ac:dyDescent="0.25">
      <c r="A207" s="97" t="str">
        <f>'Data Vlaue (Cr)'!C202</f>
        <v>TVSMOTOR</v>
      </c>
      <c r="B207" s="142">
        <f>VLOOKUP(A207,'Data Vlaue (Cr)'!C202:CW414,99,0)</f>
        <v>4525</v>
      </c>
      <c r="C207" s="90">
        <f>VLOOKUP(A207,'Data Vlaue (Cr)'!C202:CY414,101,0)</f>
        <v>167</v>
      </c>
      <c r="D207" s="139">
        <f>VLOOKUP(A207,'Data Vlaue (Cr)'!C202:CZ414,102,0)</f>
        <v>3.8199999999999998E-2</v>
      </c>
      <c r="E207" s="91">
        <f>VLOOKUP($A207,'Data Vlaue (Cr)'!$C:$FB,75)</f>
        <v>3182</v>
      </c>
      <c r="F207" s="91">
        <f>VLOOKUP($A207,'Data Vlaue (Cr)'!$C:$FB,77)</f>
        <v>2</v>
      </c>
      <c r="G207" s="92">
        <f>VLOOKUP(A207,'Data Vlaue (Cr)'!C202:CB414,78,0)</f>
        <v>5.9999999999999995E-4</v>
      </c>
      <c r="H207" s="91">
        <f>VLOOKUP($A207,'Data Vlaue (Cr)'!$C:$FB,91)</f>
        <v>800</v>
      </c>
      <c r="I207" s="91">
        <f>VLOOKUP($A207,'Data Vlaue (Cr)'!$C:$FB,93)</f>
        <v>106</v>
      </c>
      <c r="J207" s="92">
        <f>VLOOKUP($A207,'Data Vlaue (Cr)'!$C:$FB,94)</f>
        <v>0.1532</v>
      </c>
      <c r="K207" s="91">
        <f>VLOOKUP($A207,'Data Vlaue (Cr)'!$C:$FB,95)</f>
        <v>542</v>
      </c>
      <c r="L207" s="91">
        <f>VLOOKUP($A207,'Data Vlaue (Cr)'!$C:$FB,97)</f>
        <v>58</v>
      </c>
      <c r="M207" s="92">
        <f>VLOOKUP($A207,'Data Vlaue (Cr)'!$C:$FB,98)</f>
        <v>0.12039999999999999</v>
      </c>
      <c r="N207" s="91">
        <f>VLOOKUP($A207,'Data Vlaue (Cr)'!$C:$FB,79)</f>
        <v>3134</v>
      </c>
      <c r="O207" s="92">
        <f>VLOOKUP($A207,'Data Vlaue (Cr)'!$C:$FB,82)</f>
        <v>-2.0000000000000001E-4</v>
      </c>
    </row>
    <row r="208" spans="1:15" x14ac:dyDescent="0.25">
      <c r="A208" s="97" t="str">
        <f>'Data Vlaue (Cr)'!C203</f>
        <v>ULTRACEMCO</v>
      </c>
      <c r="B208" s="142">
        <f>VLOOKUP(A208,'Data Vlaue (Cr)'!C203:CW415,99,0)</f>
        <v>4717</v>
      </c>
      <c r="C208" s="90">
        <f>VLOOKUP(A208,'Data Vlaue (Cr)'!C203:CY415,101,0)</f>
        <v>-22</v>
      </c>
      <c r="D208" s="139">
        <f>VLOOKUP(A208,'Data Vlaue (Cr)'!C203:CZ415,102,0)</f>
        <v>-4.5999999999999999E-3</v>
      </c>
      <c r="E208" s="91">
        <f>VLOOKUP($A208,'Data Vlaue (Cr)'!$C:$FB,75)</f>
        <v>3064</v>
      </c>
      <c r="F208" s="91">
        <f>VLOOKUP($A208,'Data Vlaue (Cr)'!$C:$FB,77)</f>
        <v>-44</v>
      </c>
      <c r="G208" s="92">
        <f>VLOOKUP(A208,'Data Vlaue (Cr)'!C203:CB415,78,0)</f>
        <v>-1.4E-2</v>
      </c>
      <c r="H208" s="91">
        <f>VLOOKUP($A208,'Data Vlaue (Cr)'!$C:$FB,91)</f>
        <v>993</v>
      </c>
      <c r="I208" s="91">
        <f>VLOOKUP($A208,'Data Vlaue (Cr)'!$C:$FB,93)</f>
        <v>40</v>
      </c>
      <c r="J208" s="92">
        <f>VLOOKUP($A208,'Data Vlaue (Cr)'!$C:$FB,94)</f>
        <v>4.2200000000000001E-2</v>
      </c>
      <c r="K208" s="91">
        <f>VLOOKUP($A208,'Data Vlaue (Cr)'!$C:$FB,95)</f>
        <v>660</v>
      </c>
      <c r="L208" s="91">
        <f>VLOOKUP($A208,'Data Vlaue (Cr)'!$C:$FB,97)</f>
        <v>-18</v>
      </c>
      <c r="M208" s="92">
        <f>VLOOKUP($A208,'Data Vlaue (Cr)'!$C:$FB,98)</f>
        <v>-2.7099999999999999E-2</v>
      </c>
      <c r="N208" s="91">
        <f>VLOOKUP($A208,'Data Vlaue (Cr)'!$C:$FB,79)</f>
        <v>2829</v>
      </c>
      <c r="O208" s="92">
        <f>VLOOKUP($A208,'Data Vlaue (Cr)'!$C:$FB,82)</f>
        <v>-1.5800000000000002E-2</v>
      </c>
    </row>
    <row r="209" spans="1:15" x14ac:dyDescent="0.25">
      <c r="A209" s="97" t="str">
        <f>'Data Vlaue (Cr)'!C204</f>
        <v>UNIONBANK</v>
      </c>
      <c r="B209" s="142">
        <f>VLOOKUP(A209,'Data Vlaue (Cr)'!C204:CW416,99,0)</f>
        <v>2421</v>
      </c>
      <c r="C209" s="90">
        <f>VLOOKUP(A209,'Data Vlaue (Cr)'!C204:CY416,101,0)</f>
        <v>-34</v>
      </c>
      <c r="D209" s="139">
        <f>VLOOKUP(A209,'Data Vlaue (Cr)'!C204:CZ416,102,0)</f>
        <v>-1.37E-2</v>
      </c>
      <c r="E209" s="91">
        <f>VLOOKUP($A209,'Data Vlaue (Cr)'!$C:$FB,75)</f>
        <v>1116</v>
      </c>
      <c r="F209" s="91">
        <f>VLOOKUP($A209,'Data Vlaue (Cr)'!$C:$FB,77)</f>
        <v>-6</v>
      </c>
      <c r="G209" s="92">
        <f>VLOOKUP(A209,'Data Vlaue (Cr)'!C204:CB416,78,0)</f>
        <v>-4.8999999999999998E-3</v>
      </c>
      <c r="H209" s="91">
        <f>VLOOKUP($A209,'Data Vlaue (Cr)'!$C:$FB,91)</f>
        <v>795</v>
      </c>
      <c r="I209" s="91">
        <f>VLOOKUP($A209,'Data Vlaue (Cr)'!$C:$FB,93)</f>
        <v>-48</v>
      </c>
      <c r="J209" s="92">
        <f>VLOOKUP($A209,'Data Vlaue (Cr)'!$C:$FB,94)</f>
        <v>-5.7299999999999997E-2</v>
      </c>
      <c r="K209" s="91">
        <f>VLOOKUP($A209,'Data Vlaue (Cr)'!$C:$FB,95)</f>
        <v>510</v>
      </c>
      <c r="L209" s="91">
        <f>VLOOKUP($A209,'Data Vlaue (Cr)'!$C:$FB,97)</f>
        <v>20</v>
      </c>
      <c r="M209" s="92">
        <f>VLOOKUP($A209,'Data Vlaue (Cr)'!$C:$FB,98)</f>
        <v>4.1599999999999998E-2</v>
      </c>
      <c r="N209" s="91">
        <f>VLOOKUP($A209,'Data Vlaue (Cr)'!$C:$FB,79)</f>
        <v>1050</v>
      </c>
      <c r="O209" s="92">
        <f>VLOOKUP($A209,'Data Vlaue (Cr)'!$C:$FB,82)</f>
        <v>-1.0699999999999999E-2</v>
      </c>
    </row>
    <row r="210" spans="1:15" s="88" customFormat="1" ht="15.75" customHeight="1" x14ac:dyDescent="0.2">
      <c r="A210" s="97" t="str">
        <f>'Data Vlaue (Cr)'!C205</f>
        <v>UNITDSPR</v>
      </c>
      <c r="B210" s="142">
        <f>VLOOKUP(A210,'Data Vlaue (Cr)'!C205:CW417,99,0)</f>
        <v>2183</v>
      </c>
      <c r="C210" s="90">
        <f>VLOOKUP(A210,'Data Vlaue (Cr)'!C205:CY417,101,0)</f>
        <v>3</v>
      </c>
      <c r="D210" s="139">
        <f>VLOOKUP(A210,'Data Vlaue (Cr)'!C205:CZ417,102,0)</f>
        <v>1.1999999999999999E-3</v>
      </c>
      <c r="E210" s="91">
        <f>VLOOKUP($A210,'Data Vlaue (Cr)'!$C:$FB,75)</f>
        <v>1447</v>
      </c>
      <c r="F210" s="91">
        <f>VLOOKUP($A210,'Data Vlaue (Cr)'!$C:$FB,77)</f>
        <v>2</v>
      </c>
      <c r="G210" s="92">
        <f>VLOOKUP(A210,'Data Vlaue (Cr)'!C205:CB417,78,0)</f>
        <v>1.1999999999999999E-3</v>
      </c>
      <c r="H210" s="91">
        <f>VLOOKUP($A210,'Data Vlaue (Cr)'!$C:$FB,91)</f>
        <v>380</v>
      </c>
      <c r="I210" s="91">
        <f>VLOOKUP($A210,'Data Vlaue (Cr)'!$C:$FB,93)</f>
        <v>0</v>
      </c>
      <c r="J210" s="92">
        <f>VLOOKUP($A210,'Data Vlaue (Cr)'!$C:$FB,94)</f>
        <v>-5.9999999999999995E-4</v>
      </c>
      <c r="K210" s="91">
        <f>VLOOKUP($A210,'Data Vlaue (Cr)'!$C:$FB,95)</f>
        <v>356</v>
      </c>
      <c r="L210" s="91">
        <f>VLOOKUP($A210,'Data Vlaue (Cr)'!$C:$FB,97)</f>
        <v>1</v>
      </c>
      <c r="M210" s="92">
        <f>VLOOKUP($A210,'Data Vlaue (Cr)'!$C:$FB,98)</f>
        <v>3.3E-3</v>
      </c>
      <c r="N210" s="91">
        <f>VLOOKUP($A210,'Data Vlaue (Cr)'!$C:$FB,79)</f>
        <v>1420</v>
      </c>
      <c r="O210" s="92">
        <f>VLOOKUP($A210,'Data Vlaue (Cr)'!$C:$FB,82)</f>
        <v>-1E-4</v>
      </c>
    </row>
    <row r="211" spans="1:15" x14ac:dyDescent="0.25">
      <c r="A211" s="97" t="str">
        <f>'Data Vlaue (Cr)'!C206</f>
        <v>UNOMINDA</v>
      </c>
      <c r="B211" s="142">
        <f>VLOOKUP(A211,'Data Vlaue (Cr)'!C206:CW418,99,0)</f>
        <v>1201</v>
      </c>
      <c r="C211" s="90">
        <f>VLOOKUP(A211,'Data Vlaue (Cr)'!C206:CY418,101,0)</f>
        <v>-10</v>
      </c>
      <c r="D211" s="139">
        <f>VLOOKUP(A211,'Data Vlaue (Cr)'!C206:CZ418,102,0)</f>
        <v>-8.3000000000000001E-3</v>
      </c>
      <c r="E211" s="91">
        <f>VLOOKUP($A211,'Data Vlaue (Cr)'!$C:$FB,75)</f>
        <v>798</v>
      </c>
      <c r="F211" s="91">
        <f>VLOOKUP($A211,'Data Vlaue (Cr)'!$C:$FB,77)</f>
        <v>2</v>
      </c>
      <c r="G211" s="92">
        <f>VLOOKUP(A211,'Data Vlaue (Cr)'!C206:CB418,78,0)</f>
        <v>2E-3</v>
      </c>
      <c r="H211" s="91">
        <f>VLOOKUP($A211,'Data Vlaue (Cr)'!$C:$FB,91)</f>
        <v>222</v>
      </c>
      <c r="I211" s="91">
        <f>VLOOKUP($A211,'Data Vlaue (Cr)'!$C:$FB,93)</f>
        <v>-8</v>
      </c>
      <c r="J211" s="92">
        <f>VLOOKUP($A211,'Data Vlaue (Cr)'!$C:$FB,94)</f>
        <v>-3.6400000000000002E-2</v>
      </c>
      <c r="K211" s="91">
        <f>VLOOKUP($A211,'Data Vlaue (Cr)'!$C:$FB,95)</f>
        <v>181</v>
      </c>
      <c r="L211" s="91">
        <f>VLOOKUP($A211,'Data Vlaue (Cr)'!$C:$FB,97)</f>
        <v>-3</v>
      </c>
      <c r="M211" s="92">
        <f>VLOOKUP($A211,'Data Vlaue (Cr)'!$C:$FB,98)</f>
        <v>-1.7899999999999999E-2</v>
      </c>
      <c r="N211" s="91">
        <f>VLOOKUP($A211,'Data Vlaue (Cr)'!$C:$FB,79)</f>
        <v>783</v>
      </c>
      <c r="O211" s="92">
        <f>VLOOKUP($A211,'Data Vlaue (Cr)'!$C:$FB,82)</f>
        <v>1.2999999999999999E-3</v>
      </c>
    </row>
    <row r="212" spans="1:15" x14ac:dyDescent="0.25">
      <c r="A212" s="97" t="str">
        <f>'Data Vlaue (Cr)'!C207</f>
        <v>UPL</v>
      </c>
      <c r="B212" s="142">
        <f>VLOOKUP(A212,'Data Vlaue (Cr)'!C207:CW419,99,0)</f>
        <v>3778</v>
      </c>
      <c r="C212" s="90">
        <f>VLOOKUP(A212,'Data Vlaue (Cr)'!C207:CY419,101,0)</f>
        <v>-23</v>
      </c>
      <c r="D212" s="139">
        <f>VLOOKUP(A212,'Data Vlaue (Cr)'!C207:CZ419,102,0)</f>
        <v>-6.1000000000000004E-3</v>
      </c>
      <c r="E212" s="91">
        <f>VLOOKUP($A212,'Data Vlaue (Cr)'!$C:$FB,75)</f>
        <v>2197</v>
      </c>
      <c r="F212" s="91">
        <f>VLOOKUP($A212,'Data Vlaue (Cr)'!$C:$FB,77)</f>
        <v>-7</v>
      </c>
      <c r="G212" s="92">
        <f>VLOOKUP(A212,'Data Vlaue (Cr)'!C207:CB419,78,0)</f>
        <v>-3.3999999999999998E-3</v>
      </c>
      <c r="H212" s="91">
        <f>VLOOKUP($A212,'Data Vlaue (Cr)'!$C:$FB,91)</f>
        <v>995</v>
      </c>
      <c r="I212" s="91">
        <f>VLOOKUP($A212,'Data Vlaue (Cr)'!$C:$FB,93)</f>
        <v>-14</v>
      </c>
      <c r="J212" s="92">
        <f>VLOOKUP($A212,'Data Vlaue (Cr)'!$C:$FB,94)</f>
        <v>-1.35E-2</v>
      </c>
      <c r="K212" s="91">
        <f>VLOOKUP($A212,'Data Vlaue (Cr)'!$C:$FB,95)</f>
        <v>585</v>
      </c>
      <c r="L212" s="91">
        <f>VLOOKUP($A212,'Data Vlaue (Cr)'!$C:$FB,97)</f>
        <v>-2</v>
      </c>
      <c r="M212" s="92">
        <f>VLOOKUP($A212,'Data Vlaue (Cr)'!$C:$FB,98)</f>
        <v>-3.8E-3</v>
      </c>
      <c r="N212" s="91">
        <f>VLOOKUP($A212,'Data Vlaue (Cr)'!$C:$FB,79)</f>
        <v>2145</v>
      </c>
      <c r="O212" s="92">
        <f>VLOOKUP($A212,'Data Vlaue (Cr)'!$C:$FB,82)</f>
        <v>-7.4999999999999997E-3</v>
      </c>
    </row>
    <row r="213" spans="1:15" x14ac:dyDescent="0.25">
      <c r="A213" s="97" t="str">
        <f>'Data Vlaue (Cr)'!C208</f>
        <v>VBL</v>
      </c>
      <c r="B213" s="142">
        <f>VLOOKUP(A213,'Data Vlaue (Cr)'!C208:CW420,99,0)</f>
        <v>3678</v>
      </c>
      <c r="C213" s="90">
        <f>VLOOKUP(A213,'Data Vlaue (Cr)'!C208:CY420,101,0)</f>
        <v>-16</v>
      </c>
      <c r="D213" s="139">
        <f>VLOOKUP(A213,'Data Vlaue (Cr)'!C208:CZ420,102,0)</f>
        <v>-4.3E-3</v>
      </c>
      <c r="E213" s="91">
        <f>VLOOKUP($A213,'Data Vlaue (Cr)'!$C:$FB,75)</f>
        <v>2038</v>
      </c>
      <c r="F213" s="91">
        <f>VLOOKUP($A213,'Data Vlaue (Cr)'!$C:$FB,77)</f>
        <v>-7</v>
      </c>
      <c r="G213" s="92">
        <f>VLOOKUP(A213,'Data Vlaue (Cr)'!C208:CB420,78,0)</f>
        <v>-3.3999999999999998E-3</v>
      </c>
      <c r="H213" s="91">
        <f>VLOOKUP($A213,'Data Vlaue (Cr)'!$C:$FB,91)</f>
        <v>1067</v>
      </c>
      <c r="I213" s="91">
        <f>VLOOKUP($A213,'Data Vlaue (Cr)'!$C:$FB,93)</f>
        <v>8</v>
      </c>
      <c r="J213" s="92">
        <f>VLOOKUP($A213,'Data Vlaue (Cr)'!$C:$FB,94)</f>
        <v>7.4999999999999997E-3</v>
      </c>
      <c r="K213" s="91">
        <f>VLOOKUP($A213,'Data Vlaue (Cr)'!$C:$FB,95)</f>
        <v>574</v>
      </c>
      <c r="L213" s="91">
        <f>VLOOKUP($A213,'Data Vlaue (Cr)'!$C:$FB,97)</f>
        <v>-17</v>
      </c>
      <c r="M213" s="92">
        <f>VLOOKUP($A213,'Data Vlaue (Cr)'!$C:$FB,98)</f>
        <v>-2.8799999999999999E-2</v>
      </c>
      <c r="N213" s="91">
        <f>VLOOKUP($A213,'Data Vlaue (Cr)'!$C:$FB,79)</f>
        <v>1935</v>
      </c>
      <c r="O213" s="92">
        <f>VLOOKUP($A213,'Data Vlaue (Cr)'!$C:$FB,82)</f>
        <v>-4.1000000000000003E-3</v>
      </c>
    </row>
    <row r="214" spans="1:15" x14ac:dyDescent="0.25">
      <c r="A214" s="97" t="str">
        <f>'Data Vlaue (Cr)'!C209</f>
        <v>VEDL</v>
      </c>
      <c r="B214" s="142">
        <f>VLOOKUP(A214,'Data Vlaue (Cr)'!C209:CW421,99,0)</f>
        <v>12250</v>
      </c>
      <c r="C214" s="90">
        <f>VLOOKUP(A214,'Data Vlaue (Cr)'!C209:CY421,101,0)</f>
        <v>-159</v>
      </c>
      <c r="D214" s="139">
        <f>VLOOKUP(A214,'Data Vlaue (Cr)'!C209:CZ421,102,0)</f>
        <v>-1.2800000000000001E-2</v>
      </c>
      <c r="E214" s="91">
        <f>VLOOKUP($A214,'Data Vlaue (Cr)'!$C:$FB,75)</f>
        <v>5886</v>
      </c>
      <c r="F214" s="91">
        <f>VLOOKUP($A214,'Data Vlaue (Cr)'!$C:$FB,77)</f>
        <v>19</v>
      </c>
      <c r="G214" s="92">
        <f>VLOOKUP(A214,'Data Vlaue (Cr)'!C209:CB421,78,0)</f>
        <v>3.3E-3</v>
      </c>
      <c r="H214" s="91">
        <f>VLOOKUP($A214,'Data Vlaue (Cr)'!$C:$FB,91)</f>
        <v>3897</v>
      </c>
      <c r="I214" s="91">
        <f>VLOOKUP($A214,'Data Vlaue (Cr)'!$C:$FB,93)</f>
        <v>-159</v>
      </c>
      <c r="J214" s="92">
        <f>VLOOKUP($A214,'Data Vlaue (Cr)'!$C:$FB,94)</f>
        <v>-3.9300000000000002E-2</v>
      </c>
      <c r="K214" s="91">
        <f>VLOOKUP($A214,'Data Vlaue (Cr)'!$C:$FB,95)</f>
        <v>2467</v>
      </c>
      <c r="L214" s="91">
        <f>VLOOKUP($A214,'Data Vlaue (Cr)'!$C:$FB,97)</f>
        <v>-19</v>
      </c>
      <c r="M214" s="92">
        <f>VLOOKUP($A214,'Data Vlaue (Cr)'!$C:$FB,98)</f>
        <v>-7.6E-3</v>
      </c>
      <c r="N214" s="91">
        <f>VLOOKUP($A214,'Data Vlaue (Cr)'!$C:$FB,79)</f>
        <v>5398</v>
      </c>
      <c r="O214" s="92">
        <f>VLOOKUP($A214,'Data Vlaue (Cr)'!$C:$FB,82)</f>
        <v>8.0000000000000004E-4</v>
      </c>
    </row>
    <row r="215" spans="1:15" x14ac:dyDescent="0.25">
      <c r="A215" s="97" t="str">
        <f>'Data Vlaue (Cr)'!C210</f>
        <v>VOLTAS</v>
      </c>
      <c r="B215" s="142">
        <f>VLOOKUP(A215,'Data Vlaue (Cr)'!C210:CW422,99,0)</f>
        <v>2844</v>
      </c>
      <c r="C215" s="90">
        <f>VLOOKUP(A215,'Data Vlaue (Cr)'!C210:CY422,101,0)</f>
        <v>52</v>
      </c>
      <c r="D215" s="139">
        <f>VLOOKUP(A215,'Data Vlaue (Cr)'!C210:CZ422,102,0)</f>
        <v>1.8499999999999999E-2</v>
      </c>
      <c r="E215" s="91">
        <f>VLOOKUP($A215,'Data Vlaue (Cr)'!$C:$FB,75)</f>
        <v>1779</v>
      </c>
      <c r="F215" s="91">
        <f>VLOOKUP($A215,'Data Vlaue (Cr)'!$C:$FB,77)</f>
        <v>22</v>
      </c>
      <c r="G215" s="92">
        <f>VLOOKUP(A215,'Data Vlaue (Cr)'!C210:CB422,78,0)</f>
        <v>1.2500000000000001E-2</v>
      </c>
      <c r="H215" s="91">
        <f>VLOOKUP($A215,'Data Vlaue (Cr)'!$C:$FB,91)</f>
        <v>522</v>
      </c>
      <c r="I215" s="91">
        <f>VLOOKUP($A215,'Data Vlaue (Cr)'!$C:$FB,93)</f>
        <v>-3</v>
      </c>
      <c r="J215" s="92">
        <f>VLOOKUP($A215,'Data Vlaue (Cr)'!$C:$FB,94)</f>
        <v>-6.1999999999999998E-3</v>
      </c>
      <c r="K215" s="91">
        <f>VLOOKUP($A215,'Data Vlaue (Cr)'!$C:$FB,95)</f>
        <v>543</v>
      </c>
      <c r="L215" s="91">
        <f>VLOOKUP($A215,'Data Vlaue (Cr)'!$C:$FB,97)</f>
        <v>33</v>
      </c>
      <c r="M215" s="92">
        <f>VLOOKUP($A215,'Data Vlaue (Cr)'!$C:$FB,98)</f>
        <v>6.4399999999999999E-2</v>
      </c>
      <c r="N215" s="91">
        <f>VLOOKUP($A215,'Data Vlaue (Cr)'!$C:$FB,79)</f>
        <v>1625</v>
      </c>
      <c r="O215" s="92">
        <f>VLOOKUP($A215,'Data Vlaue (Cr)'!$C:$FB,82)</f>
        <v>-1.21E-2</v>
      </c>
    </row>
    <row r="216" spans="1:15" x14ac:dyDescent="0.25">
      <c r="A216" s="97" t="str">
        <f>'Data Vlaue (Cr)'!C211</f>
        <v>WAAREEENER</v>
      </c>
      <c r="B216" s="142">
        <f>VLOOKUP(A216,'Data Vlaue (Cr)'!C211:CW423,99,0)</f>
        <v>1574</v>
      </c>
      <c r="C216" s="90">
        <f>VLOOKUP(A216,'Data Vlaue (Cr)'!C211:CY423,101,0)</f>
        <v>57</v>
      </c>
      <c r="D216" s="139">
        <f>VLOOKUP(A216,'Data Vlaue (Cr)'!C211:CZ423,102,0)</f>
        <v>3.7900000000000003E-2</v>
      </c>
      <c r="E216" s="91">
        <f>VLOOKUP($A216,'Data Vlaue (Cr)'!$C:$FB,75)</f>
        <v>825</v>
      </c>
      <c r="F216" s="91">
        <f>VLOOKUP($A216,'Data Vlaue (Cr)'!$C:$FB,77)</f>
        <v>85</v>
      </c>
      <c r="G216" s="92">
        <f>VLOOKUP(A216,'Data Vlaue (Cr)'!C211:CB423,78,0)</f>
        <v>0.1154</v>
      </c>
      <c r="H216" s="91">
        <f>VLOOKUP($A216,'Data Vlaue (Cr)'!$C:$FB,91)</f>
        <v>447</v>
      </c>
      <c r="I216" s="91">
        <f>VLOOKUP($A216,'Data Vlaue (Cr)'!$C:$FB,93)</f>
        <v>-23</v>
      </c>
      <c r="J216" s="92">
        <f>VLOOKUP($A216,'Data Vlaue (Cr)'!$C:$FB,94)</f>
        <v>-4.9799999999999997E-2</v>
      </c>
      <c r="K216" s="91">
        <f>VLOOKUP($A216,'Data Vlaue (Cr)'!$C:$FB,95)</f>
        <v>301</v>
      </c>
      <c r="L216" s="91">
        <f>VLOOKUP($A216,'Data Vlaue (Cr)'!$C:$FB,97)</f>
        <v>-4</v>
      </c>
      <c r="M216" s="92">
        <f>VLOOKUP($A216,'Data Vlaue (Cr)'!$C:$FB,98)</f>
        <v>-1.46E-2</v>
      </c>
      <c r="N216" s="91">
        <f>VLOOKUP($A216,'Data Vlaue (Cr)'!$C:$FB,79)</f>
        <v>699</v>
      </c>
      <c r="O216" s="92">
        <f>VLOOKUP($A216,'Data Vlaue (Cr)'!$C:$FB,82)</f>
        <v>3.39E-2</v>
      </c>
    </row>
    <row r="217" spans="1:15" x14ac:dyDescent="0.25">
      <c r="A217" s="97" t="str">
        <f>'Data Vlaue (Cr)'!C212</f>
        <v>WIPRO</v>
      </c>
      <c r="B217" s="142">
        <f>VLOOKUP(A217,'Data Vlaue (Cr)'!C212:CW424,99,0)</f>
        <v>7273</v>
      </c>
      <c r="C217" s="90">
        <f>VLOOKUP(A217,'Data Vlaue (Cr)'!C212:CY424,101,0)</f>
        <v>82</v>
      </c>
      <c r="D217" s="139">
        <f>VLOOKUP(A217,'Data Vlaue (Cr)'!C212:CZ424,102,0)</f>
        <v>1.14E-2</v>
      </c>
      <c r="E217" s="91">
        <f>VLOOKUP($A217,'Data Vlaue (Cr)'!$C:$FB,75)</f>
        <v>3745</v>
      </c>
      <c r="F217" s="91">
        <f>VLOOKUP($A217,'Data Vlaue (Cr)'!$C:$FB,77)</f>
        <v>30</v>
      </c>
      <c r="G217" s="92">
        <f>VLOOKUP(A217,'Data Vlaue (Cr)'!C212:CB424,78,0)</f>
        <v>8.0999999999999996E-3</v>
      </c>
      <c r="H217" s="91">
        <f>VLOOKUP($A217,'Data Vlaue (Cr)'!$C:$FB,91)</f>
        <v>2271</v>
      </c>
      <c r="I217" s="91">
        <f>VLOOKUP($A217,'Data Vlaue (Cr)'!$C:$FB,93)</f>
        <v>24</v>
      </c>
      <c r="J217" s="92">
        <f>VLOOKUP($A217,'Data Vlaue (Cr)'!$C:$FB,94)</f>
        <v>1.0699999999999999E-2</v>
      </c>
      <c r="K217" s="91">
        <f>VLOOKUP($A217,'Data Vlaue (Cr)'!$C:$FB,95)</f>
        <v>1257</v>
      </c>
      <c r="L217" s="91">
        <f>VLOOKUP($A217,'Data Vlaue (Cr)'!$C:$FB,97)</f>
        <v>28</v>
      </c>
      <c r="M217" s="92">
        <f>VLOOKUP($A217,'Data Vlaue (Cr)'!$C:$FB,98)</f>
        <v>2.3E-2</v>
      </c>
      <c r="N217" s="91">
        <f>VLOOKUP($A217,'Data Vlaue (Cr)'!$C:$FB,79)</f>
        <v>2896</v>
      </c>
      <c r="O217" s="92">
        <f>VLOOKUP($A217,'Data Vlaue (Cr)'!$C:$FB,82)</f>
        <v>-9.1000000000000004E-3</v>
      </c>
    </row>
    <row r="218" spans="1:15" x14ac:dyDescent="0.25">
      <c r="A218" s="97" t="str">
        <f>'Data Vlaue (Cr)'!C213</f>
        <v>YESBANK</v>
      </c>
      <c r="B218" s="142">
        <f>VLOOKUP(A218,'Data Vlaue (Cr)'!C213:CW425,99,0)</f>
        <v>3787</v>
      </c>
      <c r="C218" s="90">
        <f>VLOOKUP(A218,'Data Vlaue (Cr)'!C213:CY425,101,0)</f>
        <v>-6</v>
      </c>
      <c r="D218" s="139">
        <f>VLOOKUP(A218,'Data Vlaue (Cr)'!C213:CZ425,102,0)</f>
        <v>-1.6999999999999999E-3</v>
      </c>
      <c r="E218" s="91">
        <f>VLOOKUP($A218,'Data Vlaue (Cr)'!$C:$FB,75)</f>
        <v>2234</v>
      </c>
      <c r="F218" s="91">
        <f>VLOOKUP($A218,'Data Vlaue (Cr)'!$C:$FB,77)</f>
        <v>-4</v>
      </c>
      <c r="G218" s="92">
        <f>VLOOKUP(A218,'Data Vlaue (Cr)'!C213:CB425,78,0)</f>
        <v>-1.8E-3</v>
      </c>
      <c r="H218" s="91">
        <f>VLOOKUP($A218,'Data Vlaue (Cr)'!$C:$FB,91)</f>
        <v>1031</v>
      </c>
      <c r="I218" s="91">
        <f>VLOOKUP($A218,'Data Vlaue (Cr)'!$C:$FB,93)</f>
        <v>5</v>
      </c>
      <c r="J218" s="92">
        <f>VLOOKUP($A218,'Data Vlaue (Cr)'!$C:$FB,94)</f>
        <v>4.8999999999999998E-3</v>
      </c>
      <c r="K218" s="91">
        <f>VLOOKUP($A218,'Data Vlaue (Cr)'!$C:$FB,95)</f>
        <v>522</v>
      </c>
      <c r="L218" s="91">
        <f>VLOOKUP($A218,'Data Vlaue (Cr)'!$C:$FB,97)</f>
        <v>-7</v>
      </c>
      <c r="M218" s="92">
        <f>VLOOKUP($A218,'Data Vlaue (Cr)'!$C:$FB,98)</f>
        <v>-1.3899999999999999E-2</v>
      </c>
      <c r="N218" s="91">
        <f>VLOOKUP($A218,'Data Vlaue (Cr)'!$C:$FB,79)</f>
        <v>1983</v>
      </c>
      <c r="O218" s="92">
        <f>VLOOKUP($A218,'Data Vlaue (Cr)'!$C:$FB,82)</f>
        <v>-9.5999999999999992E-3</v>
      </c>
    </row>
    <row r="219" spans="1:15" x14ac:dyDescent="0.25">
      <c r="A219" s="97"/>
      <c r="B219" s="142"/>
      <c r="C219" s="90"/>
      <c r="D219" s="139"/>
      <c r="E219" s="91"/>
      <c r="F219" s="91"/>
      <c r="G219" s="92"/>
      <c r="H219" s="91"/>
      <c r="I219" s="91"/>
      <c r="J219" s="92"/>
      <c r="K219" s="91"/>
      <c r="L219" s="91"/>
      <c r="M219" s="92"/>
      <c r="N219" s="91"/>
      <c r="O219" s="92"/>
    </row>
    <row r="220" spans="1:15" x14ac:dyDescent="0.25">
      <c r="A220" s="97" t="str">
        <f>'Data Vlaue (Cr)'!C214</f>
        <v>ZYDUSLIFE</v>
      </c>
      <c r="B220" s="142">
        <f>VLOOKUP(A220,'Data Vlaue (Cr)'!C214:CW427,99,0)</f>
        <v>2384</v>
      </c>
      <c r="C220" s="90">
        <f>VLOOKUP(A220,'Data Vlaue (Cr)'!C214:CY427,101,0)</f>
        <v>-170</v>
      </c>
      <c r="D220" s="139">
        <f>VLOOKUP(A220,'Data Vlaue (Cr)'!C214:CZ427,102,0)</f>
        <v>-6.6699999999999995E-2</v>
      </c>
      <c r="E220" s="91">
        <f>VLOOKUP($A220,'Data Vlaue (Cr)'!$C:$FB,75)</f>
        <v>1010</v>
      </c>
      <c r="F220" s="91">
        <f>VLOOKUP($A220,'Data Vlaue (Cr)'!$C:$FB,77)</f>
        <v>-17</v>
      </c>
      <c r="G220" s="92">
        <f>VLOOKUP(A220,'Data Vlaue (Cr)'!C214:CB427,78,0)</f>
        <v>-1.6500000000000001E-2</v>
      </c>
      <c r="H220" s="91">
        <f>VLOOKUP($A220,'Data Vlaue (Cr)'!$C:$FB,91)</f>
        <v>949</v>
      </c>
      <c r="I220" s="91">
        <f>VLOOKUP($A220,'Data Vlaue (Cr)'!$C:$FB,93)</f>
        <v>-125</v>
      </c>
      <c r="J220" s="92">
        <f>VLOOKUP($A220,'Data Vlaue (Cr)'!$C:$FB,94)</f>
        <v>-0.11609999999999999</v>
      </c>
      <c r="K220" s="91">
        <f>VLOOKUP($A220,'Data Vlaue (Cr)'!$C:$FB,95)</f>
        <v>425</v>
      </c>
      <c r="L220" s="91">
        <f>VLOOKUP($A220,'Data Vlaue (Cr)'!$C:$FB,97)</f>
        <v>-29</v>
      </c>
      <c r="M220" s="92">
        <f>VLOOKUP($A220,'Data Vlaue (Cr)'!$C:$FB,98)</f>
        <v>-6.3100000000000003E-2</v>
      </c>
      <c r="N220" s="91">
        <f>VLOOKUP($A220,'Data Vlaue (Cr)'!$C:$FB,79)</f>
        <v>944</v>
      </c>
      <c r="O220" s="92">
        <f>VLOOKUP($A220,'Data Vlaue (Cr)'!$C:$FB,82)</f>
        <v>-2.87E-2</v>
      </c>
    </row>
    <row r="221" spans="1:15" x14ac:dyDescent="0.25">
      <c r="A221" s="97"/>
      <c r="B221" s="142"/>
      <c r="C221" s="90"/>
      <c r="D221" s="139"/>
      <c r="E221" s="91"/>
      <c r="F221" s="91"/>
      <c r="G221" s="92"/>
      <c r="H221" s="91"/>
      <c r="I221" s="91"/>
      <c r="J221" s="92"/>
      <c r="K221" s="91"/>
      <c r="L221" s="91"/>
      <c r="M221" s="92"/>
      <c r="N221" s="91"/>
      <c r="O221" s="92"/>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102"/>
      <c r="B226" s="142"/>
      <c r="C226" s="90"/>
      <c r="D226" s="139"/>
      <c r="E226" s="91"/>
      <c r="F226" s="91"/>
      <c r="G226" s="92"/>
      <c r="H226" s="91"/>
      <c r="I226" s="91"/>
      <c r="J226" s="92"/>
      <c r="K226" s="91"/>
      <c r="L226" s="91"/>
      <c r="M226" s="92"/>
      <c r="N226" s="91"/>
      <c r="O226" s="92"/>
    </row>
    <row r="227" spans="1:15" x14ac:dyDescent="0.25">
      <c r="A227" s="122" t="s">
        <v>391</v>
      </c>
      <c r="B227" s="123">
        <f>SUM(B7:B221)</f>
        <v>2284717</v>
      </c>
      <c r="C227" s="123">
        <f>SUM(C7:C224)</f>
        <v>-611007</v>
      </c>
      <c r="D227" s="124">
        <f>'Snapshot (Value)'!K228</f>
        <v>-0.21112742546380114</v>
      </c>
      <c r="E227" s="123">
        <f>SUM(E7:E222)</f>
        <v>585868</v>
      </c>
      <c r="F227" s="123">
        <f>SUM(F7:F222)</f>
        <v>3785</v>
      </c>
      <c r="G227" s="149">
        <f>F227*100/(E227-F227)</f>
        <v>0.65025090923459372</v>
      </c>
      <c r="H227" s="123">
        <f>SUM(H7:H222)</f>
        <v>872722</v>
      </c>
      <c r="I227" s="123">
        <f>SUM(I7:I222)</f>
        <v>152138</v>
      </c>
      <c r="J227" s="149">
        <f>I227/(H227-I227)</f>
        <v>0.21113152665060561</v>
      </c>
      <c r="K227" s="123">
        <f>SUM(K7:K222)</f>
        <v>826135</v>
      </c>
      <c r="L227" s="123">
        <f>SUM(L7:L222)</f>
        <v>124764</v>
      </c>
      <c r="M227" s="149">
        <f>L227/(K227-L227)</f>
        <v>0.17788588350530604</v>
      </c>
      <c r="N227" s="123">
        <f>SUM(N7:N222)</f>
        <v>542677</v>
      </c>
      <c r="O227" s="149">
        <f>(N227-FII!V2)/N227</f>
        <v>1.4244200509695455E-3</v>
      </c>
    </row>
    <row r="232" spans="1:15" x14ac:dyDescent="0.25">
      <c r="A232" s="275" t="s">
        <v>408</v>
      </c>
      <c r="B232" s="275"/>
      <c r="C232" s="275"/>
      <c r="D232" s="275"/>
    </row>
    <row r="233" spans="1:15" x14ac:dyDescent="0.25">
      <c r="A233" s="35" t="s">
        <v>401</v>
      </c>
      <c r="B233" s="35" t="s">
        <v>402</v>
      </c>
      <c r="C233" s="35" t="s">
        <v>369</v>
      </c>
      <c r="D233" s="35" t="s">
        <v>407</v>
      </c>
    </row>
    <row r="234" spans="1:15" x14ac:dyDescent="0.25">
      <c r="A234" s="36" t="s">
        <v>403</v>
      </c>
      <c r="B234" s="37">
        <f>E227</f>
        <v>585868</v>
      </c>
      <c r="C234" s="37">
        <f>F227</f>
        <v>3785</v>
      </c>
      <c r="D234" s="39">
        <f>C234/B234</f>
        <v>6.460499634730007E-3</v>
      </c>
    </row>
    <row r="235" spans="1:15" x14ac:dyDescent="0.25">
      <c r="A235" s="36" t="s">
        <v>404</v>
      </c>
      <c r="B235" s="37">
        <f>H227</f>
        <v>872722</v>
      </c>
      <c r="C235" s="37">
        <f>I227</f>
        <v>152138</v>
      </c>
      <c r="D235" s="150">
        <f>C235/B235</f>
        <v>0.17432584488531286</v>
      </c>
    </row>
    <row r="236" spans="1:15" x14ac:dyDescent="0.25">
      <c r="A236" s="36" t="s">
        <v>405</v>
      </c>
      <c r="B236" s="37">
        <f>K227</f>
        <v>826135</v>
      </c>
      <c r="C236" s="37">
        <f>L227</f>
        <v>124764</v>
      </c>
      <c r="D236" s="150">
        <f>C236/B236</f>
        <v>0.15102132218099948</v>
      </c>
    </row>
    <row r="237" spans="1:15" x14ac:dyDescent="0.25">
      <c r="A237" s="36" t="s">
        <v>406</v>
      </c>
      <c r="B237" s="37">
        <f>B234+B235+B236</f>
        <v>2284725</v>
      </c>
      <c r="C237" s="37">
        <f>C234+C235+C236</f>
        <v>280687</v>
      </c>
      <c r="D237" s="150">
        <f>C237/B237</f>
        <v>0.12285373513223692</v>
      </c>
    </row>
  </sheetData>
  <autoFilter ref="A6:O6">
    <sortState ref="A7:O154">
      <sortCondition ref="A6"/>
    </sortState>
  </autoFilter>
  <mergeCells count="9">
    <mergeCell ref="A232:D232"/>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6" topLeftCell="A40" activePane="bottomLeft" state="frozen"/>
      <selection pane="bottomLeft" activeCell="G55" sqref="G55"/>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3" t="s">
        <v>343</v>
      </c>
      <c r="B3" s="294"/>
      <c r="C3" s="294"/>
      <c r="D3" s="294"/>
      <c r="E3" s="294"/>
      <c r="F3" s="294"/>
      <c r="G3" s="295"/>
      <c r="H3" s="295"/>
      <c r="I3" s="295"/>
      <c r="J3" s="296"/>
    </row>
    <row r="4" spans="1:10" s="93" customFormat="1" x14ac:dyDescent="0.25">
      <c r="A4" s="297" t="s">
        <v>330</v>
      </c>
      <c r="B4" s="297" t="s">
        <v>308</v>
      </c>
      <c r="C4" s="297"/>
      <c r="D4" s="297"/>
      <c r="E4" s="297" t="s">
        <v>340</v>
      </c>
      <c r="F4" s="297"/>
      <c r="G4" s="297"/>
      <c r="H4" s="297" t="s">
        <v>458</v>
      </c>
      <c r="I4" s="297"/>
      <c r="J4" s="297"/>
    </row>
    <row r="5" spans="1:10" s="93" customFormat="1" x14ac:dyDescent="0.25">
      <c r="A5" s="298"/>
      <c r="B5" s="94" t="s">
        <v>312</v>
      </c>
      <c r="C5" s="94" t="s">
        <v>313</v>
      </c>
      <c r="D5" s="94"/>
      <c r="E5" s="298" t="s">
        <v>314</v>
      </c>
      <c r="F5" s="298"/>
      <c r="G5" s="298"/>
      <c r="H5" s="298" t="s">
        <v>314</v>
      </c>
      <c r="I5" s="298"/>
      <c r="J5" s="298"/>
    </row>
    <row r="6" spans="1:10" s="93" customFormat="1" x14ac:dyDescent="0.25">
      <c r="A6" s="94" t="s">
        <v>318</v>
      </c>
      <c r="B6" s="3">
        <f>'OI(Volume)'!B6</f>
        <v>46064</v>
      </c>
      <c r="C6" s="3">
        <f>B6</f>
        <v>46064</v>
      </c>
      <c r="D6" s="94" t="s">
        <v>328</v>
      </c>
      <c r="E6" s="3">
        <f>B6</f>
        <v>46064</v>
      </c>
      <c r="F6" s="94" t="s">
        <v>322</v>
      </c>
      <c r="G6" s="94" t="s">
        <v>328</v>
      </c>
      <c r="H6" s="3">
        <f>E6</f>
        <v>46064</v>
      </c>
      <c r="I6" s="94" t="s">
        <v>322</v>
      </c>
      <c r="J6" s="94" t="s">
        <v>328</v>
      </c>
    </row>
    <row r="7" spans="1:10" x14ac:dyDescent="0.25">
      <c r="A7" s="101" t="str">
        <f>'NIFTY GRP'!C2</f>
        <v>ADANIENT</v>
      </c>
      <c r="B7" s="140">
        <f>VLOOKUP($A7,'Data shares'!$C:$FA,7)</f>
        <v>2234.4</v>
      </c>
      <c r="C7" s="140">
        <f>VLOOKUP($A7,'Data shares'!$C:$FA,3)</f>
        <v>2236.6999999999998</v>
      </c>
      <c r="D7" s="50">
        <f>VLOOKUP($A7,'Data shares'!$C:$FA,6)*100</f>
        <v>0.31</v>
      </c>
      <c r="E7" s="51">
        <f>VLOOKUP($A7,'Data shares'!$C:$FA,98)</f>
        <v>34864161</v>
      </c>
      <c r="F7" s="51">
        <f>VLOOKUP($A7,'Data shares'!$C:$FA,99)</f>
        <v>34732527</v>
      </c>
      <c r="G7" s="50">
        <f>VLOOKUP($A7,'Data shares'!$C:$FA,101)*100</f>
        <v>0.38</v>
      </c>
      <c r="H7" s="49">
        <f>VLOOKUP($A7,'Data Vlaue (Cr)'!$C:$FB,99)</f>
        <v>7798</v>
      </c>
      <c r="I7" s="49">
        <f>VLOOKUP($A7,'Data Vlaue (Cr)'!$C:$FB,100)</f>
        <v>7769</v>
      </c>
      <c r="J7" s="49">
        <f>VLOOKUP($A7,'Data Vlaue (Cr)'!$C:$FB,102)*100</f>
        <v>0.38</v>
      </c>
    </row>
    <row r="8" spans="1:10" x14ac:dyDescent="0.25">
      <c r="A8" s="101" t="str">
        <f>'NIFTY GRP'!C3</f>
        <v>ADANIPORTS</v>
      </c>
      <c r="B8" s="140">
        <f>VLOOKUP($A8,'Data shares'!$C:$FA,7)</f>
        <v>1553.4</v>
      </c>
      <c r="C8" s="140">
        <f>VLOOKUP($A8,'Data shares'!$C:$FA,3)</f>
        <v>1555.8</v>
      </c>
      <c r="D8" s="50">
        <f>VLOOKUP($A8,'Data shares'!$C:$FA,6)*100</f>
        <v>-0.22999999999999998</v>
      </c>
      <c r="E8" s="51">
        <f>VLOOKUP($A8,'Data shares'!$C:$FA,98)</f>
        <v>40068150</v>
      </c>
      <c r="F8" s="51">
        <f>VLOOKUP($A8,'Data shares'!$C:$FA,99)</f>
        <v>39695750</v>
      </c>
      <c r="G8" s="50">
        <f>VLOOKUP($A8,'Data shares'!$C:$FA,101)*100</f>
        <v>0.94000000000000006</v>
      </c>
      <c r="H8" s="49">
        <f>VLOOKUP($A8,'Data Vlaue (Cr)'!$C:$FB,99)</f>
        <v>6234</v>
      </c>
      <c r="I8" s="49">
        <f>VLOOKUP($A8,'Data Vlaue (Cr)'!$C:$FB,100)</f>
        <v>6176</v>
      </c>
      <c r="J8" s="49">
        <f>VLOOKUP($A8,'Data Vlaue (Cr)'!$C:$FB,102)*100</f>
        <v>0.94000000000000006</v>
      </c>
    </row>
    <row r="9" spans="1:10" x14ac:dyDescent="0.25">
      <c r="A9" s="101" t="str">
        <f>'NIFTY GRP'!C4</f>
        <v>APOLLOHOSP</v>
      </c>
      <c r="B9" s="140">
        <f>VLOOKUP($A9,'Data shares'!$C:$FA,7)</f>
        <v>7507</v>
      </c>
      <c r="C9" s="140">
        <f>VLOOKUP($A9,'Data shares'!$C:$FA,3)</f>
        <v>7520.5</v>
      </c>
      <c r="D9" s="50">
        <f>VLOOKUP($A9,'Data shares'!$C:$FA,6)*100</f>
        <v>4.26</v>
      </c>
      <c r="E9" s="51">
        <f>VLOOKUP($A9,'Data shares'!$C:$FA,98)</f>
        <v>7698500</v>
      </c>
      <c r="F9" s="51">
        <f>VLOOKUP($A9,'Data shares'!$C:$FA,99)</f>
        <v>6809625</v>
      </c>
      <c r="G9" s="50">
        <f>VLOOKUP($A9,'Data shares'!$C:$FA,101)*100</f>
        <v>13.05</v>
      </c>
      <c r="H9" s="49">
        <f>VLOOKUP($A9,'Data Vlaue (Cr)'!$C:$FB,99)</f>
        <v>5790</v>
      </c>
      <c r="I9" s="49">
        <f>VLOOKUP($A9,'Data Vlaue (Cr)'!$C:$FB,100)</f>
        <v>5121</v>
      </c>
      <c r="J9" s="49">
        <f>VLOOKUP($A9,'Data Vlaue (Cr)'!$C:$FB,102)*100</f>
        <v>13.05</v>
      </c>
    </row>
    <row r="10" spans="1:10" x14ac:dyDescent="0.25">
      <c r="A10" s="101" t="str">
        <f>'NIFTY GRP'!C5</f>
        <v>ASIANPAINT</v>
      </c>
      <c r="B10" s="140">
        <f>VLOOKUP($A10,'Data shares'!$C:$FA,7)</f>
        <v>2392.5</v>
      </c>
      <c r="C10" s="140">
        <f>VLOOKUP($A10,'Data shares'!$C:$FA,3)</f>
        <v>2401.5</v>
      </c>
      <c r="D10" s="50">
        <f>VLOOKUP($A10,'Data shares'!$C:$FA,6)*100</f>
        <v>-0.01</v>
      </c>
      <c r="E10" s="51">
        <f>VLOOKUP($A10,'Data shares'!$C:$FA,98)</f>
        <v>29619750</v>
      </c>
      <c r="F10" s="51">
        <f>VLOOKUP($A10,'Data shares'!$C:$FA,99)</f>
        <v>28464500</v>
      </c>
      <c r="G10" s="50">
        <f>VLOOKUP($A10,'Data shares'!$C:$FA,101)*100</f>
        <v>4.0599999999999996</v>
      </c>
      <c r="H10" s="49">
        <f>VLOOKUP($A10,'Data Vlaue (Cr)'!$C:$FB,99)</f>
        <v>7113</v>
      </c>
      <c r="I10" s="49">
        <f>VLOOKUP($A10,'Data Vlaue (Cr)'!$C:$FB,100)</f>
        <v>6836</v>
      </c>
      <c r="J10" s="49">
        <f>VLOOKUP($A10,'Data Vlaue (Cr)'!$C:$FB,102)*100</f>
        <v>4.0599999999999996</v>
      </c>
    </row>
    <row r="11" spans="1:10" x14ac:dyDescent="0.25">
      <c r="A11" s="101" t="str">
        <f>'NIFTY GRP'!C6</f>
        <v>AXISBANK</v>
      </c>
      <c r="B11" s="140">
        <f>VLOOKUP($A11,'Data shares'!$C:$FA,7)</f>
        <v>1347.3</v>
      </c>
      <c r="C11" s="140">
        <f>VLOOKUP($A11,'Data shares'!$C:$FA,3)</f>
        <v>1348</v>
      </c>
      <c r="D11" s="50">
        <f>VLOOKUP($A11,'Data shares'!$C:$FA,6)*100</f>
        <v>-0.67999999999999994</v>
      </c>
      <c r="E11" s="51">
        <f>VLOOKUP($A11,'Data shares'!$C:$FA,98)</f>
        <v>110110000</v>
      </c>
      <c r="F11" s="51">
        <f>VLOOKUP($A11,'Data shares'!$C:$FA,99)</f>
        <v>110224375</v>
      </c>
      <c r="G11" s="50">
        <f>VLOOKUP($A11,'Data shares'!$C:$FA,101)*100</f>
        <v>-0.1</v>
      </c>
      <c r="H11" s="49">
        <f>VLOOKUP($A11,'Data Vlaue (Cr)'!$C:$FB,99)</f>
        <v>14843</v>
      </c>
      <c r="I11" s="49">
        <f>VLOOKUP($A11,'Data Vlaue (Cr)'!$C:$FB,100)</f>
        <v>14858</v>
      </c>
      <c r="J11" s="49">
        <f>VLOOKUP($A11,'Data Vlaue (Cr)'!$C:$FB,102)*100</f>
        <v>-0.1</v>
      </c>
    </row>
    <row r="12" spans="1:10" x14ac:dyDescent="0.25">
      <c r="A12" s="101" t="str">
        <f>'NIFTY GRP'!C7</f>
        <v>BAJAJ-AUTO</v>
      </c>
      <c r="B12" s="140">
        <f>VLOOKUP($A12,'Data shares'!$C:$FA,7)</f>
        <v>9869.5</v>
      </c>
      <c r="C12" s="140">
        <f>VLOOKUP($A12,'Data shares'!$C:$FA,3)</f>
        <v>9869.5</v>
      </c>
      <c r="D12" s="50">
        <f>VLOOKUP($A12,'Data shares'!$C:$FA,6)*100</f>
        <v>0.66</v>
      </c>
      <c r="E12" s="51">
        <f>VLOOKUP($A12,'Data shares'!$C:$FA,98)</f>
        <v>5519175</v>
      </c>
      <c r="F12" s="51">
        <f>VLOOKUP($A12,'Data shares'!$C:$FA,99)</f>
        <v>5380650</v>
      </c>
      <c r="G12" s="50">
        <f>VLOOKUP($A12,'Data shares'!$C:$FA,101)*100</f>
        <v>2.5700000000000003</v>
      </c>
      <c r="H12" s="49">
        <f>VLOOKUP($A12,'Data Vlaue (Cr)'!$C:$FB,99)</f>
        <v>5447</v>
      </c>
      <c r="I12" s="49">
        <f>VLOOKUP($A12,'Data Vlaue (Cr)'!$C:$FB,100)</f>
        <v>5310</v>
      </c>
      <c r="J12" s="49">
        <f>VLOOKUP($A12,'Data Vlaue (Cr)'!$C:$FB,102)*100</f>
        <v>2.5700000000000003</v>
      </c>
    </row>
    <row r="13" spans="1:10" x14ac:dyDescent="0.25">
      <c r="A13" s="101" t="str">
        <f>'NIFTY GRP'!C8</f>
        <v>BAJAJFINSV</v>
      </c>
      <c r="B13" s="140">
        <f>VLOOKUP($A13,'Data shares'!$C:$FA,7)</f>
        <v>2027</v>
      </c>
      <c r="C13" s="140">
        <f>VLOOKUP($A13,'Data shares'!$C:$FA,3)</f>
        <v>2028.5</v>
      </c>
      <c r="D13" s="50">
        <f>VLOOKUP($A13,'Data shares'!$C:$FA,6)*100</f>
        <v>-0.04</v>
      </c>
      <c r="E13" s="51">
        <f>VLOOKUP($A13,'Data shares'!$C:$FA,98)</f>
        <v>22548250</v>
      </c>
      <c r="F13" s="51">
        <f>VLOOKUP($A13,'Data shares'!$C:$FA,99)</f>
        <v>22591750</v>
      </c>
      <c r="G13" s="50">
        <f>VLOOKUP($A13,'Data shares'!$C:$FA,101)*100</f>
        <v>-0.19</v>
      </c>
      <c r="H13" s="49">
        <f>VLOOKUP($A13,'Data Vlaue (Cr)'!$C:$FB,99)</f>
        <v>4574</v>
      </c>
      <c r="I13" s="49">
        <f>VLOOKUP($A13,'Data Vlaue (Cr)'!$C:$FB,100)</f>
        <v>4583</v>
      </c>
      <c r="J13" s="49">
        <f>VLOOKUP($A13,'Data Vlaue (Cr)'!$C:$FB,102)*100</f>
        <v>-0.19</v>
      </c>
    </row>
    <row r="14" spans="1:10" x14ac:dyDescent="0.25">
      <c r="A14" s="101" t="str">
        <f>'NIFTY GRP'!C9</f>
        <v>BAJFINANCE</v>
      </c>
      <c r="B14" s="140">
        <f>VLOOKUP($A14,'Data shares'!$C:$FA,7)</f>
        <v>968.95</v>
      </c>
      <c r="C14" s="140">
        <f>VLOOKUP($A14,'Data shares'!$C:$FA,3)</f>
        <v>969.35</v>
      </c>
      <c r="D14" s="50">
        <f>VLOOKUP($A14,'Data shares'!$C:$FA,6)*100</f>
        <v>0.09</v>
      </c>
      <c r="E14" s="51">
        <f>VLOOKUP($A14,'Data shares'!$C:$FA,98)</f>
        <v>123766500</v>
      </c>
      <c r="F14" s="51">
        <f>VLOOKUP($A14,'Data shares'!$C:$FA,99)</f>
        <v>125115000</v>
      </c>
      <c r="G14" s="50">
        <f>VLOOKUP($A14,'Data shares'!$C:$FA,101)*100</f>
        <v>-1.08</v>
      </c>
      <c r="H14" s="49">
        <f>VLOOKUP($A14,'Data Vlaue (Cr)'!$C:$FB,99)</f>
        <v>11997</v>
      </c>
      <c r="I14" s="49">
        <f>VLOOKUP($A14,'Data Vlaue (Cr)'!$C:$FB,100)</f>
        <v>12128</v>
      </c>
      <c r="J14" s="49">
        <f>VLOOKUP($A14,'Data Vlaue (Cr)'!$C:$FB,102)*100</f>
        <v>-1.08</v>
      </c>
    </row>
    <row r="15" spans="1:10" x14ac:dyDescent="0.25">
      <c r="A15" s="101" t="str">
        <f>'NIFTY GRP'!C10</f>
        <v>BEL</v>
      </c>
      <c r="B15" s="140">
        <f>VLOOKUP($A15,'Data shares'!$C:$FA,7)</f>
        <v>437.55</v>
      </c>
      <c r="C15" s="140">
        <f>VLOOKUP($A15,'Data shares'!$C:$FA,3)</f>
        <v>437.7</v>
      </c>
      <c r="D15" s="50">
        <f>VLOOKUP($A15,'Data shares'!$C:$FA,6)*100</f>
        <v>0.06</v>
      </c>
      <c r="E15" s="51">
        <f>VLOOKUP($A15,'Data shares'!$C:$FA,98)</f>
        <v>259092075</v>
      </c>
      <c r="F15" s="51">
        <f>VLOOKUP($A15,'Data shares'!$C:$FA,99)</f>
        <v>263291550</v>
      </c>
      <c r="G15" s="50">
        <f>VLOOKUP($A15,'Data shares'!$C:$FA,101)*100</f>
        <v>-1.59</v>
      </c>
      <c r="H15" s="49">
        <f>VLOOKUP($A15,'Data Vlaue (Cr)'!$C:$FB,99)</f>
        <v>11340</v>
      </c>
      <c r="I15" s="49">
        <f>VLOOKUP($A15,'Data Vlaue (Cr)'!$C:$FB,100)</f>
        <v>11524</v>
      </c>
      <c r="J15" s="49">
        <f>VLOOKUP($A15,'Data Vlaue (Cr)'!$C:$FB,102)*100</f>
        <v>-1.59</v>
      </c>
    </row>
    <row r="16" spans="1:10" x14ac:dyDescent="0.25">
      <c r="A16" s="101" t="str">
        <f>'NIFTY GRP'!C11</f>
        <v>BHARTIARTL</v>
      </c>
      <c r="B16" s="140">
        <f>VLOOKUP($A16,'Data shares'!$C:$FA,7)</f>
        <v>2012.1</v>
      </c>
      <c r="C16" s="140">
        <f>VLOOKUP($A16,'Data shares'!$C:$FA,3)</f>
        <v>2018.1</v>
      </c>
      <c r="D16" s="50">
        <f>VLOOKUP($A16,'Data shares'!$C:$FA,6)*100</f>
        <v>0.06</v>
      </c>
      <c r="E16" s="51">
        <f>VLOOKUP($A16,'Data shares'!$C:$FA,98)</f>
        <v>76190950</v>
      </c>
      <c r="F16" s="51">
        <f>VLOOKUP($A16,'Data shares'!$C:$FA,99)</f>
        <v>74646725</v>
      </c>
      <c r="G16" s="50">
        <f>VLOOKUP($A16,'Data shares'!$C:$FA,101)*100</f>
        <v>2.0699999999999998</v>
      </c>
      <c r="H16" s="49">
        <f>VLOOKUP($A16,'Data Vlaue (Cr)'!$C:$FB,99)</f>
        <v>15376</v>
      </c>
      <c r="I16" s="49">
        <f>VLOOKUP($A16,'Data Vlaue (Cr)'!$C:$FB,100)</f>
        <v>15064</v>
      </c>
      <c r="J16" s="49">
        <f>VLOOKUP($A16,'Data Vlaue (Cr)'!$C:$FB,102)*100</f>
        <v>2.0699999999999998</v>
      </c>
    </row>
    <row r="17" spans="1:10" x14ac:dyDescent="0.25">
      <c r="A17" s="101" t="str">
        <f>'NIFTY GRP'!C12</f>
        <v>CIPLA</v>
      </c>
      <c r="B17" s="140">
        <f>VLOOKUP($A17,'Data shares'!$C:$FA,7)</f>
        <v>1349.9</v>
      </c>
      <c r="C17" s="140">
        <f>VLOOKUP($A17,'Data shares'!$C:$FA,3)</f>
        <v>1350.8</v>
      </c>
      <c r="D17" s="50">
        <f>VLOOKUP($A17,'Data shares'!$C:$FA,6)*100</f>
        <v>0.33</v>
      </c>
      <c r="E17" s="51">
        <f>VLOOKUP($A17,'Data shares'!$C:$FA,98)</f>
        <v>24924375</v>
      </c>
      <c r="F17" s="51">
        <f>VLOOKUP($A17,'Data shares'!$C:$FA,99)</f>
        <v>25125750</v>
      </c>
      <c r="G17" s="50">
        <f>VLOOKUP($A17,'Data shares'!$C:$FA,101)*100</f>
        <v>-0.8</v>
      </c>
      <c r="H17" s="49">
        <f>VLOOKUP($A17,'Data Vlaue (Cr)'!$C:$FB,99)</f>
        <v>3367</v>
      </c>
      <c r="I17" s="49">
        <f>VLOOKUP($A17,'Data Vlaue (Cr)'!$C:$FB,100)</f>
        <v>3394</v>
      </c>
      <c r="J17" s="49">
        <f>VLOOKUP($A17,'Data Vlaue (Cr)'!$C:$FB,102)*100</f>
        <v>-0.8</v>
      </c>
    </row>
    <row r="18" spans="1:10" x14ac:dyDescent="0.25">
      <c r="A18" s="101" t="str">
        <f>'NIFTY GRP'!C13</f>
        <v>COALINDIA</v>
      </c>
      <c r="B18" s="140">
        <f>VLOOKUP($A18,'Data shares'!$C:$FA,7)</f>
        <v>423.25</v>
      </c>
      <c r="C18" s="140">
        <f>VLOOKUP($A18,'Data shares'!$C:$FA,3)</f>
        <v>417.5</v>
      </c>
      <c r="D18" s="50">
        <f>VLOOKUP($A18,'Data shares'!$C:$FA,6)*100</f>
        <v>-2.2999999999999998</v>
      </c>
      <c r="E18" s="51">
        <f>VLOOKUP($A18,'Data shares'!$C:$FA,98)</f>
        <v>117194850</v>
      </c>
      <c r="F18" s="51">
        <f>VLOOKUP($A18,'Data shares'!$C:$FA,99)</f>
        <v>113256900</v>
      </c>
      <c r="G18" s="50">
        <f>VLOOKUP($A18,'Data shares'!$C:$FA,101)*100</f>
        <v>3.4799999999999995</v>
      </c>
      <c r="H18" s="49">
        <f>VLOOKUP($A18,'Data Vlaue (Cr)'!$C:$FB,99)</f>
        <v>4893</v>
      </c>
      <c r="I18" s="49">
        <f>VLOOKUP($A18,'Data Vlaue (Cr)'!$C:$FB,100)</f>
        <v>4728</v>
      </c>
      <c r="J18" s="49">
        <f>VLOOKUP($A18,'Data Vlaue (Cr)'!$C:$FB,102)*100</f>
        <v>3.4799999999999995</v>
      </c>
    </row>
    <row r="19" spans="1:10" x14ac:dyDescent="0.25">
      <c r="A19" s="101" t="str">
        <f>'NIFTY GRP'!C14</f>
        <v>DRREDDY</v>
      </c>
      <c r="B19" s="140">
        <f>VLOOKUP($A19,'Data shares'!$C:$FA,7)</f>
        <v>1270.3</v>
      </c>
      <c r="C19" s="140">
        <f>VLOOKUP($A19,'Data shares'!$C:$FA,3)</f>
        <v>1271</v>
      </c>
      <c r="D19" s="50">
        <f>VLOOKUP($A19,'Data shares'!$C:$FA,6)*100</f>
        <v>0.95</v>
      </c>
      <c r="E19" s="51">
        <f>VLOOKUP($A19,'Data shares'!$C:$FA,98)</f>
        <v>27778750</v>
      </c>
      <c r="F19" s="51">
        <f>VLOOKUP($A19,'Data shares'!$C:$FA,99)</f>
        <v>28153750</v>
      </c>
      <c r="G19" s="50">
        <f>VLOOKUP($A19,'Data shares'!$C:$FA,101)*100</f>
        <v>-1.3299999999999998</v>
      </c>
      <c r="H19" s="49">
        <f>VLOOKUP($A19,'Data Vlaue (Cr)'!$C:$FB,99)</f>
        <v>3531</v>
      </c>
      <c r="I19" s="49">
        <f>VLOOKUP($A19,'Data Vlaue (Cr)'!$C:$FB,100)</f>
        <v>3578</v>
      </c>
      <c r="J19" s="49">
        <f>VLOOKUP($A19,'Data Vlaue (Cr)'!$C:$FB,102)*100</f>
        <v>-1.3299999999999998</v>
      </c>
    </row>
    <row r="20" spans="1:10" x14ac:dyDescent="0.25">
      <c r="A20" s="101" t="str">
        <f>'NIFTY GRP'!C15</f>
        <v>EICHERMOT</v>
      </c>
      <c r="B20" s="140">
        <f>VLOOKUP($A20,'Data shares'!$C:$FA,7)</f>
        <v>7771</v>
      </c>
      <c r="C20" s="140">
        <f>VLOOKUP($A20,'Data shares'!$C:$FA,3)</f>
        <v>7795.5</v>
      </c>
      <c r="D20" s="50">
        <f>VLOOKUP($A20,'Data shares'!$C:$FA,6)*100</f>
        <v>6.7100000000000009</v>
      </c>
      <c r="E20" s="51">
        <f>VLOOKUP($A20,'Data shares'!$C:$FA,98)</f>
        <v>8754100</v>
      </c>
      <c r="F20" s="51">
        <f>VLOOKUP($A20,'Data shares'!$C:$FA,99)</f>
        <v>6373200</v>
      </c>
      <c r="G20" s="50">
        <f>VLOOKUP($A20,'Data shares'!$C:$FA,101)*100</f>
        <v>37.36</v>
      </c>
      <c r="H20" s="49">
        <f>VLOOKUP($A20,'Data Vlaue (Cr)'!$C:$FB,99)</f>
        <v>6824</v>
      </c>
      <c r="I20" s="49">
        <f>VLOOKUP($A20,'Data Vlaue (Cr)'!$C:$FB,100)</f>
        <v>4968</v>
      </c>
      <c r="J20" s="49">
        <f>VLOOKUP($A20,'Data Vlaue (Cr)'!$C:$FB,102)*100</f>
        <v>37.36</v>
      </c>
    </row>
    <row r="21" spans="1:10" x14ac:dyDescent="0.25">
      <c r="A21" s="101" t="str">
        <f>'NIFTY GRP'!C16</f>
        <v>ETERNAL</v>
      </c>
      <c r="B21" s="140">
        <f>VLOOKUP($A21,'Data shares'!$C:$FA,7)</f>
        <v>300.7</v>
      </c>
      <c r="C21" s="140">
        <f>VLOOKUP($A21,'Data shares'!$C:$FA,3)</f>
        <v>301.64999999999998</v>
      </c>
      <c r="D21" s="50">
        <f>VLOOKUP($A21,'Data shares'!$C:$FA,6)*100</f>
        <v>-0.80999999999999994</v>
      </c>
      <c r="E21" s="51">
        <f>VLOOKUP($A21,'Data shares'!$C:$FA,98)</f>
        <v>386331600</v>
      </c>
      <c r="F21" s="51">
        <f>VLOOKUP($A21,'Data shares'!$C:$FA,99)</f>
        <v>389471975</v>
      </c>
      <c r="G21" s="50">
        <f>VLOOKUP($A21,'Data shares'!$C:$FA,101)*100</f>
        <v>-0.80999999999999994</v>
      </c>
      <c r="H21" s="49">
        <f>VLOOKUP($A21,'Data Vlaue (Cr)'!$C:$FB,99)</f>
        <v>11654</v>
      </c>
      <c r="I21" s="49">
        <f>VLOOKUP($A21,'Data Vlaue (Cr)'!$C:$FB,100)</f>
        <v>11748</v>
      </c>
      <c r="J21" s="49">
        <f>VLOOKUP($A21,'Data Vlaue (Cr)'!$C:$FB,102)*100</f>
        <v>-0.80999999999999994</v>
      </c>
    </row>
    <row r="22" spans="1:10" x14ac:dyDescent="0.25">
      <c r="A22" s="101" t="str">
        <f>'NIFTY GRP'!C17</f>
        <v>GRASIM</v>
      </c>
      <c r="B22" s="140">
        <f>VLOOKUP($A22,'Data shares'!$C:$FA,7)</f>
        <v>2932.6</v>
      </c>
      <c r="C22" s="140">
        <f>VLOOKUP($A22,'Data shares'!$C:$FA,3)</f>
        <v>2935.8</v>
      </c>
      <c r="D22" s="50">
        <f>VLOOKUP($A22,'Data shares'!$C:$FA,6)*100</f>
        <v>-0.75</v>
      </c>
      <c r="E22" s="51">
        <f>VLOOKUP($A22,'Data shares'!$C:$FA,98)</f>
        <v>21209000</v>
      </c>
      <c r="F22" s="51">
        <f>VLOOKUP($A22,'Data shares'!$C:$FA,99)</f>
        <v>21333500</v>
      </c>
      <c r="G22" s="50">
        <f>VLOOKUP($A22,'Data shares'!$C:$FA,101)*100</f>
        <v>-0.57999999999999996</v>
      </c>
      <c r="H22" s="49">
        <f>VLOOKUP($A22,'Data Vlaue (Cr)'!$C:$FB,99)</f>
        <v>6227</v>
      </c>
      <c r="I22" s="49">
        <f>VLOOKUP($A22,'Data Vlaue (Cr)'!$C:$FB,100)</f>
        <v>6263</v>
      </c>
      <c r="J22" s="49">
        <f>VLOOKUP($A22,'Data Vlaue (Cr)'!$C:$FB,102)*100</f>
        <v>-0.57999999999999996</v>
      </c>
    </row>
    <row r="23" spans="1:10" x14ac:dyDescent="0.25">
      <c r="A23" s="101" t="str">
        <f>'NIFTY GRP'!C18</f>
        <v>HCLTECH</v>
      </c>
      <c r="B23" s="140">
        <f>VLOOKUP($A23,'Data shares'!$C:$FA,7)</f>
        <v>1551.6</v>
      </c>
      <c r="C23" s="140">
        <f>VLOOKUP($A23,'Data shares'!$C:$FA,3)</f>
        <v>1553.5</v>
      </c>
      <c r="D23" s="50">
        <f>VLOOKUP($A23,'Data shares'!$C:$FA,6)*100</f>
        <v>-1.5699999999999998</v>
      </c>
      <c r="E23" s="51">
        <f>VLOOKUP($A23,'Data shares'!$C:$FA,98)</f>
        <v>35658000</v>
      </c>
      <c r="F23" s="51">
        <f>VLOOKUP($A23,'Data shares'!$C:$FA,99)</f>
        <v>34394150</v>
      </c>
      <c r="G23" s="50">
        <f>VLOOKUP($A23,'Data shares'!$C:$FA,101)*100</f>
        <v>3.6700000000000004</v>
      </c>
      <c r="H23" s="49">
        <f>VLOOKUP($A23,'Data Vlaue (Cr)'!$C:$FB,99)</f>
        <v>5539</v>
      </c>
      <c r="I23" s="49">
        <f>VLOOKUP($A23,'Data Vlaue (Cr)'!$C:$FB,100)</f>
        <v>5343</v>
      </c>
      <c r="J23" s="49">
        <f>VLOOKUP($A23,'Data Vlaue (Cr)'!$C:$FB,102)*100</f>
        <v>3.6700000000000004</v>
      </c>
    </row>
    <row r="24" spans="1:10" x14ac:dyDescent="0.25">
      <c r="A24" s="101" t="str">
        <f>'NIFTY GRP'!C19</f>
        <v>HDFCBANK</v>
      </c>
      <c r="B24" s="140">
        <f>VLOOKUP($A24,'Data shares'!$C:$FA,7)</f>
        <v>927.1</v>
      </c>
      <c r="C24" s="140">
        <f>VLOOKUP($A24,'Data shares'!$C:$FA,3)</f>
        <v>930.7</v>
      </c>
      <c r="D24" s="50">
        <f>VLOOKUP($A24,'Data shares'!$C:$FA,6)*100</f>
        <v>-0.54</v>
      </c>
      <c r="E24" s="51">
        <f>VLOOKUP($A24,'Data shares'!$C:$FA,98)</f>
        <v>363347050</v>
      </c>
      <c r="F24" s="51">
        <f>VLOOKUP($A24,'Data shares'!$C:$FA,99)</f>
        <v>352744700</v>
      </c>
      <c r="G24" s="50">
        <f>VLOOKUP($A24,'Data shares'!$C:$FA,101)*100</f>
        <v>3.01</v>
      </c>
      <c r="H24" s="49">
        <f>VLOOKUP($A24,'Data Vlaue (Cr)'!$C:$FB,99)</f>
        <v>33817</v>
      </c>
      <c r="I24" s="49">
        <f>VLOOKUP($A24,'Data Vlaue (Cr)'!$C:$FB,100)</f>
        <v>32830</v>
      </c>
      <c r="J24" s="49">
        <f>VLOOKUP($A24,'Data Vlaue (Cr)'!$C:$FB,102)*100</f>
        <v>3.01</v>
      </c>
    </row>
    <row r="25" spans="1:10" x14ac:dyDescent="0.25">
      <c r="A25" s="101" t="str">
        <f>'NIFTY GRP'!C20</f>
        <v>HDFCLIFE</v>
      </c>
      <c r="B25" s="140">
        <f>VLOOKUP($A25,'Data shares'!$C:$FA,7)</f>
        <v>701.1</v>
      </c>
      <c r="C25" s="140">
        <f>VLOOKUP($A25,'Data shares'!$C:$FA,3)</f>
        <v>702.95</v>
      </c>
      <c r="D25" s="50">
        <f>VLOOKUP($A25,'Data shares'!$C:$FA,6)*100</f>
        <v>-0.48</v>
      </c>
      <c r="E25" s="51">
        <f>VLOOKUP($A25,'Data shares'!$C:$FA,98)</f>
        <v>61413000</v>
      </c>
      <c r="F25" s="51">
        <f>VLOOKUP($A25,'Data shares'!$C:$FA,99)</f>
        <v>60097400</v>
      </c>
      <c r="G25" s="50">
        <f>VLOOKUP($A25,'Data shares'!$C:$FA,101)*100</f>
        <v>2.19</v>
      </c>
      <c r="H25" s="49">
        <f>VLOOKUP($A25,'Data Vlaue (Cr)'!$C:$FB,99)</f>
        <v>4317</v>
      </c>
      <c r="I25" s="49">
        <f>VLOOKUP($A25,'Data Vlaue (Cr)'!$C:$FB,100)</f>
        <v>4225</v>
      </c>
      <c r="J25" s="49">
        <f>VLOOKUP($A25,'Data Vlaue (Cr)'!$C:$FB,102)*100</f>
        <v>2.19</v>
      </c>
    </row>
    <row r="26" spans="1:10" x14ac:dyDescent="0.25">
      <c r="A26" s="101" t="str">
        <f>'NIFTY GRP'!C21</f>
        <v>HINDALCO</v>
      </c>
      <c r="B26" s="140">
        <f>VLOOKUP($A26,'Data shares'!$C:$FA,7)</f>
        <v>965.95</v>
      </c>
      <c r="C26" s="140">
        <f>VLOOKUP($A26,'Data shares'!$C:$FA,3)</f>
        <v>964.85</v>
      </c>
      <c r="D26" s="50">
        <f>VLOOKUP($A26,'Data shares'!$C:$FA,6)*100</f>
        <v>-0.35000000000000003</v>
      </c>
      <c r="E26" s="51">
        <f>VLOOKUP($A26,'Data shares'!$C:$FA,98)</f>
        <v>70389900</v>
      </c>
      <c r="F26" s="51">
        <f>VLOOKUP($A26,'Data shares'!$C:$FA,99)</f>
        <v>67406500</v>
      </c>
      <c r="G26" s="50">
        <f>VLOOKUP($A26,'Data shares'!$C:$FA,101)*100</f>
        <v>4.43</v>
      </c>
      <c r="H26" s="49">
        <f>VLOOKUP($A26,'Data Vlaue (Cr)'!$C:$FB,99)</f>
        <v>6792</v>
      </c>
      <c r="I26" s="49">
        <f>VLOOKUP($A26,'Data Vlaue (Cr)'!$C:$FB,100)</f>
        <v>6504</v>
      </c>
      <c r="J26" s="49">
        <f>VLOOKUP($A26,'Data Vlaue (Cr)'!$C:$FB,102)*100</f>
        <v>4.43</v>
      </c>
    </row>
    <row r="27" spans="1:10" x14ac:dyDescent="0.25">
      <c r="A27" s="101" t="str">
        <f>'NIFTY GRP'!C22</f>
        <v>HINDUNILVR</v>
      </c>
      <c r="B27" s="140">
        <f>VLOOKUP($A27,'Data shares'!$C:$FA,7)</f>
        <v>2462.9</v>
      </c>
      <c r="C27" s="140">
        <f>VLOOKUP($A27,'Data shares'!$C:$FA,3)</f>
        <v>2469.1999999999998</v>
      </c>
      <c r="D27" s="50">
        <f>VLOOKUP($A27,'Data shares'!$C:$FA,6)*100</f>
        <v>0.61</v>
      </c>
      <c r="E27" s="51">
        <f>VLOOKUP($A27,'Data shares'!$C:$FA,98)</f>
        <v>24653400</v>
      </c>
      <c r="F27" s="51">
        <f>VLOOKUP($A27,'Data shares'!$C:$FA,99)</f>
        <v>24034800</v>
      </c>
      <c r="G27" s="50">
        <f>VLOOKUP($A27,'Data shares'!$C:$FA,101)*100</f>
        <v>2.5700000000000003</v>
      </c>
      <c r="H27" s="49">
        <f>VLOOKUP($A27,'Data Vlaue (Cr)'!$C:$FB,99)</f>
        <v>6087</v>
      </c>
      <c r="I27" s="49">
        <f>VLOOKUP($A27,'Data Vlaue (Cr)'!$C:$FB,100)</f>
        <v>5935</v>
      </c>
      <c r="J27" s="49">
        <f>VLOOKUP($A27,'Data Vlaue (Cr)'!$C:$FB,102)*100</f>
        <v>2.5700000000000003</v>
      </c>
    </row>
    <row r="28" spans="1:10" x14ac:dyDescent="0.25">
      <c r="A28" s="101" t="str">
        <f>'NIFTY GRP'!C23</f>
        <v>ICICIBANK</v>
      </c>
      <c r="B28" s="140">
        <f>VLOOKUP($A28,'Data shares'!$C:$FA,7)</f>
        <v>1406.1</v>
      </c>
      <c r="C28" s="140">
        <f>VLOOKUP($A28,'Data shares'!$C:$FA,3)</f>
        <v>1409.6</v>
      </c>
      <c r="D28" s="50">
        <f>VLOOKUP($A28,'Data shares'!$C:$FA,6)*100</f>
        <v>0.09</v>
      </c>
      <c r="E28" s="51">
        <f>VLOOKUP($A28,'Data shares'!$C:$FA,98)</f>
        <v>183897000</v>
      </c>
      <c r="F28" s="51">
        <f>VLOOKUP($A28,'Data shares'!$C:$FA,99)</f>
        <v>181811000</v>
      </c>
      <c r="G28" s="50">
        <f>VLOOKUP($A28,'Data shares'!$C:$FA,101)*100</f>
        <v>1.1499999999999999</v>
      </c>
      <c r="H28" s="49">
        <f>VLOOKUP($A28,'Data Vlaue (Cr)'!$C:$FB,99)</f>
        <v>25922</v>
      </c>
      <c r="I28" s="49">
        <f>VLOOKUP($A28,'Data Vlaue (Cr)'!$C:$FB,100)</f>
        <v>25628</v>
      </c>
      <c r="J28" s="49">
        <f>VLOOKUP($A28,'Data Vlaue (Cr)'!$C:$FB,102)*100</f>
        <v>1.1499999999999999</v>
      </c>
    </row>
    <row r="29" spans="1:10" x14ac:dyDescent="0.25">
      <c r="A29" s="101" t="str">
        <f>'NIFTY GRP'!C24</f>
        <v>INDIGO</v>
      </c>
      <c r="B29" s="140">
        <f>VLOOKUP($A29,'Data shares'!$C:$FA,7)</f>
        <v>5013.8</v>
      </c>
      <c r="C29" s="140">
        <f>VLOOKUP($A29,'Data shares'!$C:$FA,3)</f>
        <v>5017.6000000000004</v>
      </c>
      <c r="D29" s="50">
        <f>VLOOKUP($A29,'Data shares'!$C:$FA,6)*100</f>
        <v>0.79</v>
      </c>
      <c r="E29" s="51">
        <f>VLOOKUP($A29,'Data shares'!$C:$FA,98)</f>
        <v>15203550</v>
      </c>
      <c r="F29" s="51">
        <f>VLOOKUP($A29,'Data shares'!$C:$FA,99)</f>
        <v>14958300</v>
      </c>
      <c r="G29" s="50">
        <f>VLOOKUP($A29,'Data shares'!$C:$FA,101)*100</f>
        <v>1.6400000000000001</v>
      </c>
      <c r="H29" s="49">
        <f>VLOOKUP($A29,'Data Vlaue (Cr)'!$C:$FB,99)</f>
        <v>7629</v>
      </c>
      <c r="I29" s="49">
        <f>VLOOKUP($A29,'Data Vlaue (Cr)'!$C:$FB,100)</f>
        <v>7505</v>
      </c>
      <c r="J29" s="49">
        <f>VLOOKUP($A29,'Data Vlaue (Cr)'!$C:$FB,102)*100</f>
        <v>1.6400000000000001</v>
      </c>
    </row>
    <row r="30" spans="1:10" x14ac:dyDescent="0.25">
      <c r="A30" s="101" t="str">
        <f>'NIFTY GRP'!C25</f>
        <v>INFY</v>
      </c>
      <c r="B30" s="140">
        <f>VLOOKUP($A30,'Data shares'!$C:$FA,7)</f>
        <v>1471.9</v>
      </c>
      <c r="C30" s="140">
        <f>VLOOKUP($A30,'Data shares'!$C:$FA,3)</f>
        <v>1472.4</v>
      </c>
      <c r="D30" s="50">
        <f>VLOOKUP($A30,'Data shares'!$C:$FA,6)*100</f>
        <v>-1.95</v>
      </c>
      <c r="E30" s="51">
        <f>VLOOKUP($A30,'Data shares'!$C:$FA,98)</f>
        <v>149304400</v>
      </c>
      <c r="F30" s="51">
        <f>VLOOKUP($A30,'Data shares'!$C:$FA,99)</f>
        <v>147216400</v>
      </c>
      <c r="G30" s="50">
        <f>VLOOKUP($A30,'Data shares'!$C:$FA,101)*100</f>
        <v>1.4200000000000002</v>
      </c>
      <c r="H30" s="49">
        <f>VLOOKUP($A30,'Data Vlaue (Cr)'!$C:$FB,99)</f>
        <v>21984</v>
      </c>
      <c r="I30" s="49">
        <f>VLOOKUP($A30,'Data Vlaue (Cr)'!$C:$FB,100)</f>
        <v>21676</v>
      </c>
      <c r="J30" s="49">
        <f>VLOOKUP($A30,'Data Vlaue (Cr)'!$C:$FB,102)*100</f>
        <v>1.4200000000000002</v>
      </c>
    </row>
    <row r="31" spans="1:10" x14ac:dyDescent="0.25">
      <c r="A31" s="101" t="str">
        <f>'NIFTY GRP'!C26</f>
        <v>ITC</v>
      </c>
      <c r="B31" s="140">
        <f>VLOOKUP($A31,'Data shares'!$C:$FA,7)</f>
        <v>318.25</v>
      </c>
      <c r="C31" s="140">
        <f>VLOOKUP($A31,'Data shares'!$C:$FA,3)</f>
        <v>319.14999999999998</v>
      </c>
      <c r="D31" s="50">
        <f>VLOOKUP($A31,'Data shares'!$C:$FA,6)*100</f>
        <v>-0.85000000000000009</v>
      </c>
      <c r="E31" s="51">
        <f>VLOOKUP($A31,'Data shares'!$C:$FA,98)</f>
        <v>486958400</v>
      </c>
      <c r="F31" s="51">
        <f>VLOOKUP($A31,'Data shares'!$C:$FA,99)</f>
        <v>476147200</v>
      </c>
      <c r="G31" s="50">
        <f>VLOOKUP($A31,'Data shares'!$C:$FA,101)*100</f>
        <v>2.27</v>
      </c>
      <c r="H31" s="49">
        <f>VLOOKUP($A31,'Data Vlaue (Cr)'!$C:$FB,99)</f>
        <v>15541</v>
      </c>
      <c r="I31" s="49">
        <f>VLOOKUP($A31,'Data Vlaue (Cr)'!$C:$FB,100)</f>
        <v>15196</v>
      </c>
      <c r="J31" s="49">
        <f>VLOOKUP($A31,'Data Vlaue (Cr)'!$C:$FB,102)*100</f>
        <v>2.27</v>
      </c>
    </row>
    <row r="32" spans="1:10" x14ac:dyDescent="0.25">
      <c r="A32" s="101" t="str">
        <f>'NIFTY GRP'!C27</f>
        <v>JIOFIN</v>
      </c>
      <c r="B32" s="140">
        <f>VLOOKUP($A32,'Data shares'!$C:$FA,7)</f>
        <v>270.3</v>
      </c>
      <c r="C32" s="140">
        <f>VLOOKUP($A32,'Data shares'!$C:$FA,3)</f>
        <v>270.85000000000002</v>
      </c>
      <c r="D32" s="50">
        <f>VLOOKUP($A32,'Data shares'!$C:$FA,6)*100</f>
        <v>0</v>
      </c>
      <c r="E32" s="51">
        <f>VLOOKUP($A32,'Data shares'!$C:$FA,98)</f>
        <v>299907000</v>
      </c>
      <c r="F32" s="51">
        <f>VLOOKUP($A32,'Data shares'!$C:$FA,99)</f>
        <v>304489500</v>
      </c>
      <c r="G32" s="50">
        <f>VLOOKUP($A32,'Data shares'!$C:$FA,101)*100</f>
        <v>-1.5</v>
      </c>
      <c r="H32" s="49">
        <f>VLOOKUP($A32,'Data Vlaue (Cr)'!$C:$FB,99)</f>
        <v>8123</v>
      </c>
      <c r="I32" s="49">
        <f>VLOOKUP($A32,'Data Vlaue (Cr)'!$C:$FB,100)</f>
        <v>8247</v>
      </c>
      <c r="J32" s="49">
        <f>VLOOKUP($A32,'Data Vlaue (Cr)'!$C:$FB,102)*100</f>
        <v>-1.5</v>
      </c>
    </row>
    <row r="33" spans="1:10" x14ac:dyDescent="0.25">
      <c r="A33" s="101" t="str">
        <f>'NIFTY GRP'!C28</f>
        <v>JSWSTEEL</v>
      </c>
      <c r="B33" s="140">
        <f>VLOOKUP($A33,'Data shares'!$C:$FA,7)</f>
        <v>1249.2</v>
      </c>
      <c r="C33" s="140">
        <f>VLOOKUP($A33,'Data shares'!$C:$FA,3)</f>
        <v>1250.5</v>
      </c>
      <c r="D33" s="50">
        <f>VLOOKUP($A33,'Data shares'!$C:$FA,6)*100</f>
        <v>0.18</v>
      </c>
      <c r="E33" s="51">
        <f>VLOOKUP($A33,'Data shares'!$C:$FA,98)</f>
        <v>65612700</v>
      </c>
      <c r="F33" s="51">
        <f>VLOOKUP($A33,'Data shares'!$C:$FA,99)</f>
        <v>65943450</v>
      </c>
      <c r="G33" s="50">
        <f>VLOOKUP($A33,'Data shares'!$C:$FA,101)*100</f>
        <v>-0.5</v>
      </c>
      <c r="H33" s="49">
        <f>VLOOKUP($A33,'Data Vlaue (Cr)'!$C:$FB,99)</f>
        <v>8205</v>
      </c>
      <c r="I33" s="49">
        <f>VLOOKUP($A33,'Data Vlaue (Cr)'!$C:$FB,100)</f>
        <v>8246</v>
      </c>
      <c r="J33" s="49">
        <f>VLOOKUP($A33,'Data Vlaue (Cr)'!$C:$FB,102)*100</f>
        <v>-0.5</v>
      </c>
    </row>
    <row r="34" spans="1:10" x14ac:dyDescent="0.25">
      <c r="A34" s="101" t="str">
        <f>'NIFTY GRP'!C29</f>
        <v>KOTAKBANK</v>
      </c>
      <c r="B34" s="140">
        <f>VLOOKUP($A34,'Data shares'!$C:$FA,7)</f>
        <v>429.55</v>
      </c>
      <c r="C34" s="140">
        <f>VLOOKUP($A34,'Data shares'!$C:$FA,3)</f>
        <v>429.9</v>
      </c>
      <c r="D34" s="50">
        <f>VLOOKUP($A34,'Data shares'!$C:$FA,6)*100</f>
        <v>0.02</v>
      </c>
      <c r="E34" s="51">
        <f>VLOOKUP($A34,'Data shares'!$C:$FA,98)</f>
        <v>274856000</v>
      </c>
      <c r="F34" s="51">
        <f>VLOOKUP($A34,'Data shares'!$C:$FA,99)</f>
        <v>279042000</v>
      </c>
      <c r="G34" s="50">
        <f>VLOOKUP($A34,'Data shares'!$C:$FA,101)*100</f>
        <v>-1.5</v>
      </c>
      <c r="H34" s="49">
        <f>VLOOKUP($A34,'Data Vlaue (Cr)'!$C:$FB,99)</f>
        <v>11816</v>
      </c>
      <c r="I34" s="49">
        <f>VLOOKUP($A34,'Data Vlaue (Cr)'!$C:$FB,100)</f>
        <v>11996</v>
      </c>
      <c r="J34" s="49">
        <f>VLOOKUP($A34,'Data Vlaue (Cr)'!$C:$FB,102)*100</f>
        <v>-1.5</v>
      </c>
    </row>
    <row r="35" spans="1:10" x14ac:dyDescent="0.25">
      <c r="A35" s="101" t="str">
        <f>'NIFTY GRP'!C30</f>
        <v>LT</v>
      </c>
      <c r="B35" s="140">
        <f>VLOOKUP($A35,'Data shares'!$C:$FA,7)</f>
        <v>4170.3999999999996</v>
      </c>
      <c r="C35" s="140">
        <f>VLOOKUP($A35,'Data shares'!$C:$FA,3)</f>
        <v>4170.8999999999996</v>
      </c>
      <c r="D35" s="50">
        <f>VLOOKUP($A35,'Data shares'!$C:$FA,6)*100</f>
        <v>0.02</v>
      </c>
      <c r="E35" s="51">
        <f>VLOOKUP($A35,'Data shares'!$C:$FA,98)</f>
        <v>30440375</v>
      </c>
      <c r="F35" s="51">
        <f>VLOOKUP($A35,'Data shares'!$C:$FA,99)</f>
        <v>29974175</v>
      </c>
      <c r="G35" s="50">
        <f>VLOOKUP($A35,'Data shares'!$C:$FA,101)*100</f>
        <v>1.5599999999999998</v>
      </c>
      <c r="H35" s="49">
        <f>VLOOKUP($A35,'Data Vlaue (Cr)'!$C:$FB,99)</f>
        <v>12696</v>
      </c>
      <c r="I35" s="49">
        <f>VLOOKUP($A35,'Data Vlaue (Cr)'!$C:$FB,100)</f>
        <v>12502</v>
      </c>
      <c r="J35" s="49">
        <f>VLOOKUP($A35,'Data Vlaue (Cr)'!$C:$FB,102)*100</f>
        <v>1.5599999999999998</v>
      </c>
    </row>
    <row r="36" spans="1:10" x14ac:dyDescent="0.25">
      <c r="A36" s="101" t="str">
        <f>'NIFTY GRP'!C31</f>
        <v>M&amp;M</v>
      </c>
      <c r="B36" s="140">
        <f>VLOOKUP($A36,'Data shares'!$C:$FA,7)</f>
        <v>3674.9</v>
      </c>
      <c r="C36" s="140">
        <f>VLOOKUP($A36,'Data shares'!$C:$FA,3)</f>
        <v>3680.7</v>
      </c>
      <c r="D36" s="50">
        <f>VLOOKUP($A36,'Data shares'!$C:$FA,6)*100</f>
        <v>0</v>
      </c>
      <c r="E36" s="51">
        <f>VLOOKUP($A36,'Data shares'!$C:$FA,98)</f>
        <v>33439600</v>
      </c>
      <c r="F36" s="51">
        <f>VLOOKUP($A36,'Data shares'!$C:$FA,99)</f>
        <v>28180800</v>
      </c>
      <c r="G36" s="50">
        <f>VLOOKUP($A36,'Data shares'!$C:$FA,101)*100</f>
        <v>18.66</v>
      </c>
      <c r="H36" s="49">
        <f>VLOOKUP($A36,'Data Vlaue (Cr)'!$C:$FB,99)</f>
        <v>12308</v>
      </c>
      <c r="I36" s="49">
        <f>VLOOKUP($A36,'Data Vlaue (Cr)'!$C:$FB,100)</f>
        <v>10373</v>
      </c>
      <c r="J36" s="49">
        <f>VLOOKUP($A36,'Data Vlaue (Cr)'!$C:$FB,102)*100</f>
        <v>18.66</v>
      </c>
    </row>
    <row r="37" spans="1:10" x14ac:dyDescent="0.25">
      <c r="A37" s="101" t="str">
        <f>'NIFTY GRP'!C32</f>
        <v>MARUTI</v>
      </c>
      <c r="B37" s="140">
        <f>VLOOKUP($A37,'Data shares'!$C:$FA,7)</f>
        <v>15412</v>
      </c>
      <c r="C37" s="140">
        <f>VLOOKUP($A37,'Data shares'!$C:$FA,3)</f>
        <v>15418</v>
      </c>
      <c r="D37" s="50">
        <f>VLOOKUP($A37,'Data shares'!$C:$FA,6)*100</f>
        <v>1.4500000000000002</v>
      </c>
      <c r="E37" s="51">
        <f>VLOOKUP($A37,'Data shares'!$C:$FA,98)</f>
        <v>7710050</v>
      </c>
      <c r="F37" s="51">
        <f>VLOOKUP($A37,'Data shares'!$C:$FA,99)</f>
        <v>7661300</v>
      </c>
      <c r="G37" s="50">
        <f>VLOOKUP($A37,'Data shares'!$C:$FA,101)*100</f>
        <v>0.64</v>
      </c>
      <c r="H37" s="49">
        <f>VLOOKUP($A37,'Data Vlaue (Cr)'!$C:$FB,99)</f>
        <v>11887</v>
      </c>
      <c r="I37" s="49">
        <f>VLOOKUP($A37,'Data Vlaue (Cr)'!$C:$FB,100)</f>
        <v>11812</v>
      </c>
      <c r="J37" s="49">
        <f>VLOOKUP($A37,'Data Vlaue (Cr)'!$C:$FB,102)*100</f>
        <v>0.64</v>
      </c>
    </row>
    <row r="38" spans="1:10" x14ac:dyDescent="0.25">
      <c r="A38" s="101" t="str">
        <f>'NIFTY GRP'!C33</f>
        <v>MAXHEALTH</v>
      </c>
      <c r="B38" s="140">
        <f>VLOOKUP($A38,'Data shares'!$C:$FA,7)</f>
        <v>1055.1500000000001</v>
      </c>
      <c r="C38" s="140">
        <f>VLOOKUP($A38,'Data shares'!$C:$FA,3)</f>
        <v>1055.7</v>
      </c>
      <c r="D38" s="50">
        <f>VLOOKUP($A38,'Data shares'!$C:$FA,6)*100</f>
        <v>2.9899999999999998</v>
      </c>
      <c r="E38" s="51">
        <f>VLOOKUP($A38,'Data shares'!$C:$FA,98)</f>
        <v>23437575</v>
      </c>
      <c r="F38" s="51">
        <f>VLOOKUP($A38,'Data shares'!$C:$FA,99)</f>
        <v>22098825</v>
      </c>
      <c r="G38" s="50">
        <f>VLOOKUP($A38,'Data shares'!$C:$FA,101)*100</f>
        <v>6.0600000000000005</v>
      </c>
      <c r="H38" s="49">
        <f>VLOOKUP($A38,'Data Vlaue (Cr)'!$C:$FB,99)</f>
        <v>2474</v>
      </c>
      <c r="I38" s="49">
        <f>VLOOKUP($A38,'Data Vlaue (Cr)'!$C:$FB,100)</f>
        <v>2333</v>
      </c>
      <c r="J38" s="49">
        <f>VLOOKUP($A38,'Data Vlaue (Cr)'!$C:$FB,102)*100</f>
        <v>6.0600000000000005</v>
      </c>
    </row>
    <row r="39" spans="1:10" x14ac:dyDescent="0.25">
      <c r="A39" s="101" t="str">
        <f>'NIFTY GRP'!C34</f>
        <v>NESTLEIND</v>
      </c>
      <c r="B39" s="140">
        <f>VLOOKUP($A39,'Data shares'!$C:$FA,7)</f>
        <v>1305.3</v>
      </c>
      <c r="C39" s="140">
        <f>VLOOKUP($A39,'Data shares'!$C:$FA,3)</f>
        <v>1305.9000000000001</v>
      </c>
      <c r="D39" s="50">
        <f>VLOOKUP($A39,'Data shares'!$C:$FA,6)*100</f>
        <v>-0.27</v>
      </c>
      <c r="E39" s="51">
        <f>VLOOKUP($A39,'Data shares'!$C:$FA,98)</f>
        <v>24767000</v>
      </c>
      <c r="F39" s="51">
        <f>VLOOKUP($A39,'Data shares'!$C:$FA,99)</f>
        <v>24883000</v>
      </c>
      <c r="G39" s="50">
        <f>VLOOKUP($A39,'Data shares'!$C:$FA,101)*100</f>
        <v>-0.47000000000000003</v>
      </c>
      <c r="H39" s="49">
        <f>VLOOKUP($A39,'Data Vlaue (Cr)'!$C:$FB,99)</f>
        <v>3234</v>
      </c>
      <c r="I39" s="49">
        <f>VLOOKUP($A39,'Data Vlaue (Cr)'!$C:$FB,100)</f>
        <v>3249</v>
      </c>
      <c r="J39" s="49">
        <f>VLOOKUP($A39,'Data Vlaue (Cr)'!$C:$FB,102)*100</f>
        <v>-0.47000000000000003</v>
      </c>
    </row>
    <row r="40" spans="1:10" x14ac:dyDescent="0.25">
      <c r="A40" s="101" t="str">
        <f>'NIFTY GRP'!C35</f>
        <v>NTPC</v>
      </c>
      <c r="B40" s="140">
        <f>VLOOKUP($A40,'Data shares'!$C:$FA,7)</f>
        <v>368.45</v>
      </c>
      <c r="C40" s="140">
        <f>VLOOKUP($A40,'Data shares'!$C:$FA,3)</f>
        <v>368.4</v>
      </c>
      <c r="D40" s="50">
        <f>VLOOKUP($A40,'Data shares'!$C:$FA,6)*100</f>
        <v>0.33999999999999997</v>
      </c>
      <c r="E40" s="51">
        <f>VLOOKUP($A40,'Data shares'!$C:$FA,98)</f>
        <v>220537500</v>
      </c>
      <c r="F40" s="51">
        <f>VLOOKUP($A40,'Data shares'!$C:$FA,99)</f>
        <v>215449500</v>
      </c>
      <c r="G40" s="50">
        <f>VLOOKUP($A40,'Data shares'!$C:$FA,101)*100</f>
        <v>2.36</v>
      </c>
      <c r="H40" s="49">
        <f>VLOOKUP($A40,'Data Vlaue (Cr)'!$C:$FB,99)</f>
        <v>8125</v>
      </c>
      <c r="I40" s="49">
        <f>VLOOKUP($A40,'Data Vlaue (Cr)'!$C:$FB,100)</f>
        <v>7937</v>
      </c>
      <c r="J40" s="49">
        <f>VLOOKUP($A40,'Data Vlaue (Cr)'!$C:$FB,102)*100</f>
        <v>2.36</v>
      </c>
    </row>
    <row r="41" spans="1:10" x14ac:dyDescent="0.25">
      <c r="A41" s="101" t="str">
        <f>'NIFTY GRP'!C36</f>
        <v>ONGC</v>
      </c>
      <c r="B41" s="140">
        <f>VLOOKUP($A41,'Data shares'!$C:$FA,7)</f>
        <v>274.60000000000002</v>
      </c>
      <c r="C41" s="140">
        <f>VLOOKUP($A41,'Data shares'!$C:$FA,3)</f>
        <v>272</v>
      </c>
      <c r="D41" s="50">
        <f>VLOOKUP($A41,'Data shares'!$C:$FA,6)*100</f>
        <v>0.8</v>
      </c>
      <c r="E41" s="51">
        <f>VLOOKUP($A41,'Data shares'!$C:$FA,98)</f>
        <v>232605000</v>
      </c>
      <c r="F41" s="51">
        <f>VLOOKUP($A41,'Data shares'!$C:$FA,99)</f>
        <v>222223500</v>
      </c>
      <c r="G41" s="50">
        <f>VLOOKUP($A41,'Data shares'!$C:$FA,101)*100</f>
        <v>4.67</v>
      </c>
      <c r="H41" s="49">
        <f>VLOOKUP($A41,'Data Vlaue (Cr)'!$C:$FB,99)</f>
        <v>6327</v>
      </c>
      <c r="I41" s="49">
        <f>VLOOKUP($A41,'Data Vlaue (Cr)'!$C:$FB,100)</f>
        <v>6044</v>
      </c>
      <c r="J41" s="49">
        <f>VLOOKUP($A41,'Data Vlaue (Cr)'!$C:$FB,102)*100</f>
        <v>4.67</v>
      </c>
    </row>
    <row r="42" spans="1:10" x14ac:dyDescent="0.25">
      <c r="A42" s="101" t="str">
        <f>'NIFTY GRP'!C37</f>
        <v>POWERGRID</v>
      </c>
      <c r="B42" s="140">
        <f>VLOOKUP($A42,'Data shares'!$C:$FA,7)</f>
        <v>294.45</v>
      </c>
      <c r="C42" s="140">
        <f>VLOOKUP($A42,'Data shares'!$C:$FA,3)</f>
        <v>294.55</v>
      </c>
      <c r="D42" s="50">
        <f>VLOOKUP($A42,'Data shares'!$C:$FA,6)*100</f>
        <v>0.05</v>
      </c>
      <c r="E42" s="51">
        <f>VLOOKUP($A42,'Data shares'!$C:$FA,98)</f>
        <v>193389600</v>
      </c>
      <c r="F42" s="51">
        <f>VLOOKUP($A42,'Data shares'!$C:$FA,99)</f>
        <v>194664500</v>
      </c>
      <c r="G42" s="50">
        <f>VLOOKUP($A42,'Data shares'!$C:$FA,101)*100</f>
        <v>-0.65</v>
      </c>
      <c r="H42" s="49">
        <f>VLOOKUP($A42,'Data Vlaue (Cr)'!$C:$FB,99)</f>
        <v>5696</v>
      </c>
      <c r="I42" s="49">
        <f>VLOOKUP($A42,'Data Vlaue (Cr)'!$C:$FB,100)</f>
        <v>5734</v>
      </c>
      <c r="J42" s="49">
        <f>VLOOKUP($A42,'Data Vlaue (Cr)'!$C:$FB,102)*100</f>
        <v>-0.65</v>
      </c>
    </row>
    <row r="43" spans="1:10" x14ac:dyDescent="0.25">
      <c r="A43" s="101" t="str">
        <f>'NIFTY GRP'!C38</f>
        <v>RELIANCE</v>
      </c>
      <c r="B43" s="140">
        <f>VLOOKUP($A43,'Data shares'!$C:$FA,7)</f>
        <v>1468.7</v>
      </c>
      <c r="C43" s="140">
        <f>VLOOKUP($A43,'Data shares'!$C:$FA,3)</f>
        <v>1470.2</v>
      </c>
      <c r="D43" s="50">
        <f>VLOOKUP($A43,'Data shares'!$C:$FA,6)*100</f>
        <v>0.65</v>
      </c>
      <c r="E43" s="51">
        <f>VLOOKUP($A43,'Data shares'!$C:$FA,98)</f>
        <v>194997500</v>
      </c>
      <c r="F43" s="51">
        <f>VLOOKUP($A43,'Data shares'!$C:$FA,99)</f>
        <v>195790000</v>
      </c>
      <c r="G43" s="50">
        <f>VLOOKUP($A43,'Data shares'!$C:$FA,101)*100</f>
        <v>-0.4</v>
      </c>
      <c r="H43" s="49">
        <f>VLOOKUP($A43,'Data Vlaue (Cr)'!$C:$FB,99)</f>
        <v>28669</v>
      </c>
      <c r="I43" s="49">
        <f>VLOOKUP($A43,'Data Vlaue (Cr)'!$C:$FB,100)</f>
        <v>28785</v>
      </c>
      <c r="J43" s="49">
        <f>VLOOKUP($A43,'Data Vlaue (Cr)'!$C:$FB,102)*100</f>
        <v>-0.4</v>
      </c>
    </row>
    <row r="44" spans="1:10" x14ac:dyDescent="0.25">
      <c r="A44" s="101" t="str">
        <f>'NIFTY GRP'!C39</f>
        <v>SBILIFE</v>
      </c>
      <c r="B44" s="140">
        <f>VLOOKUP($A44,'Data shares'!$C:$FA,7)</f>
        <v>2026.3</v>
      </c>
      <c r="C44" s="140">
        <f>VLOOKUP($A44,'Data shares'!$C:$FA,3)</f>
        <v>2028.8</v>
      </c>
      <c r="D44" s="50">
        <f>VLOOKUP($A44,'Data shares'!$C:$FA,6)*100</f>
        <v>0.27</v>
      </c>
      <c r="E44" s="51">
        <f>VLOOKUP($A44,'Data shares'!$C:$FA,98)</f>
        <v>17445750</v>
      </c>
      <c r="F44" s="51">
        <f>VLOOKUP($A44,'Data shares'!$C:$FA,99)</f>
        <v>17662875</v>
      </c>
      <c r="G44" s="50">
        <f>VLOOKUP($A44,'Data shares'!$C:$FA,101)*100</f>
        <v>-1.23</v>
      </c>
      <c r="H44" s="49">
        <f>VLOOKUP($A44,'Data Vlaue (Cr)'!$C:$FB,99)</f>
        <v>3539</v>
      </c>
      <c r="I44" s="49">
        <f>VLOOKUP($A44,'Data Vlaue (Cr)'!$C:$FB,100)</f>
        <v>3583</v>
      </c>
      <c r="J44" s="49">
        <f>VLOOKUP($A44,'Data Vlaue (Cr)'!$C:$FB,102)*100</f>
        <v>-1.23</v>
      </c>
    </row>
    <row r="45" spans="1:10" x14ac:dyDescent="0.25">
      <c r="A45" s="101" t="str">
        <f>'NIFTY GRP'!C40</f>
        <v>SBIN</v>
      </c>
      <c r="B45" s="140">
        <f>VLOOKUP($A45,'Data shares'!$C:$FA,7)</f>
        <v>1182.9000000000001</v>
      </c>
      <c r="C45" s="140">
        <f>VLOOKUP($A45,'Data shares'!$C:$FA,3)</f>
        <v>1180.0999999999999</v>
      </c>
      <c r="D45" s="50">
        <f>VLOOKUP($A45,'Data shares'!$C:$FA,6)*100</f>
        <v>3.3000000000000003</v>
      </c>
      <c r="E45" s="51">
        <f>VLOOKUP($A45,'Data shares'!$C:$FA,98)</f>
        <v>214354500</v>
      </c>
      <c r="F45" s="51">
        <f>VLOOKUP($A45,'Data shares'!$C:$FA,99)</f>
        <v>192343500</v>
      </c>
      <c r="G45" s="50">
        <f>VLOOKUP($A45,'Data shares'!$C:$FA,101)*100</f>
        <v>11.44</v>
      </c>
      <c r="H45" s="49">
        <f>VLOOKUP($A45,'Data Vlaue (Cr)'!$C:$FB,99)</f>
        <v>25296</v>
      </c>
      <c r="I45" s="49">
        <f>VLOOKUP($A45,'Data Vlaue (Cr)'!$C:$FB,100)</f>
        <v>22698</v>
      </c>
      <c r="J45" s="49">
        <f>VLOOKUP($A45,'Data Vlaue (Cr)'!$C:$FB,102)*100</f>
        <v>11.44</v>
      </c>
    </row>
    <row r="46" spans="1:10" x14ac:dyDescent="0.25">
      <c r="A46" s="101" t="str">
        <f>'NIFTY GRP'!C41</f>
        <v>SHRIRAMFIN</v>
      </c>
      <c r="B46" s="140">
        <f>VLOOKUP($A46,'Data shares'!$C:$FA,7)</f>
        <v>1056.8</v>
      </c>
      <c r="C46" s="140">
        <f>VLOOKUP($A46,'Data shares'!$C:$FA,3)</f>
        <v>1057.5</v>
      </c>
      <c r="D46" s="50">
        <f>VLOOKUP($A46,'Data shares'!$C:$FA,6)*100</f>
        <v>0.82000000000000006</v>
      </c>
      <c r="E46" s="51">
        <f>VLOOKUP($A46,'Data shares'!$C:$FA,98)</f>
        <v>58011525</v>
      </c>
      <c r="F46" s="51">
        <f>VLOOKUP($A46,'Data shares'!$C:$FA,99)</f>
        <v>58740825</v>
      </c>
      <c r="G46" s="50">
        <f>VLOOKUP($A46,'Data shares'!$C:$FA,101)*100</f>
        <v>-1.24</v>
      </c>
      <c r="H46" s="49">
        <f>VLOOKUP($A46,'Data Vlaue (Cr)'!$C:$FB,99)</f>
        <v>6135</v>
      </c>
      <c r="I46" s="49">
        <f>VLOOKUP($A46,'Data Vlaue (Cr)'!$C:$FB,100)</f>
        <v>6212</v>
      </c>
      <c r="J46" s="49">
        <f>VLOOKUP($A46,'Data Vlaue (Cr)'!$C:$FB,102)*100</f>
        <v>-1.24</v>
      </c>
    </row>
    <row r="47" spans="1:10" x14ac:dyDescent="0.25">
      <c r="A47" s="101" t="str">
        <f>'NIFTY GRP'!C42</f>
        <v>SUNPHARMA</v>
      </c>
      <c r="B47" s="140">
        <f>VLOOKUP($A47,'Data shares'!$C:$FA,7)</f>
        <v>1711.1</v>
      </c>
      <c r="C47" s="140">
        <f>VLOOKUP($A47,'Data shares'!$C:$FA,3)</f>
        <v>1712</v>
      </c>
      <c r="D47" s="50">
        <f>VLOOKUP($A47,'Data shares'!$C:$FA,6)*100</f>
        <v>0.18</v>
      </c>
      <c r="E47" s="51">
        <f>VLOOKUP($A47,'Data shares'!$C:$FA,98)</f>
        <v>45627400</v>
      </c>
      <c r="F47" s="51">
        <f>VLOOKUP($A47,'Data shares'!$C:$FA,99)</f>
        <v>45811850</v>
      </c>
      <c r="G47" s="50">
        <f>VLOOKUP($A47,'Data shares'!$C:$FA,101)*100</f>
        <v>-0.4</v>
      </c>
      <c r="H47" s="49">
        <f>VLOOKUP($A47,'Data Vlaue (Cr)'!$C:$FB,99)</f>
        <v>7811</v>
      </c>
      <c r="I47" s="49">
        <f>VLOOKUP($A47,'Data Vlaue (Cr)'!$C:$FB,100)</f>
        <v>7843</v>
      </c>
      <c r="J47" s="49">
        <f>VLOOKUP($A47,'Data Vlaue (Cr)'!$C:$FB,102)*100</f>
        <v>-0.4</v>
      </c>
    </row>
    <row r="48" spans="1:10" x14ac:dyDescent="0.25">
      <c r="A48" s="101" t="str">
        <f>'NIFTY GRP'!C43</f>
        <v>TATACONSUM</v>
      </c>
      <c r="B48" s="140">
        <f>VLOOKUP($A48,'Data shares'!$C:$FA,7)</f>
        <v>1152.5999999999999</v>
      </c>
      <c r="C48" s="140">
        <f>VLOOKUP($A48,'Data shares'!$C:$FA,3)</f>
        <v>1155.7</v>
      </c>
      <c r="D48" s="50">
        <f>VLOOKUP($A48,'Data shares'!$C:$FA,6)*100</f>
        <v>-0.04</v>
      </c>
      <c r="E48" s="51">
        <f>VLOOKUP($A48,'Data shares'!$C:$FA,98)</f>
        <v>21486850</v>
      </c>
      <c r="F48" s="51">
        <f>VLOOKUP($A48,'Data shares'!$C:$FA,99)</f>
        <v>21430750</v>
      </c>
      <c r="G48" s="50">
        <f>VLOOKUP($A48,'Data shares'!$C:$FA,101)*100</f>
        <v>0.26</v>
      </c>
      <c r="H48" s="49">
        <f>VLOOKUP($A48,'Data Vlaue (Cr)'!$C:$FB,99)</f>
        <v>2483</v>
      </c>
      <c r="I48" s="49">
        <f>VLOOKUP($A48,'Data Vlaue (Cr)'!$C:$FB,100)</f>
        <v>2477</v>
      </c>
      <c r="J48" s="49">
        <f>VLOOKUP($A48,'Data Vlaue (Cr)'!$C:$FB,102)*100</f>
        <v>0.26</v>
      </c>
    </row>
    <row r="49" spans="1:10" x14ac:dyDescent="0.25">
      <c r="A49" s="101" t="str">
        <f>'NIFTY GRP'!C44</f>
        <v>TATASTEEL</v>
      </c>
      <c r="B49" s="140">
        <f>VLOOKUP($A49,'Data shares'!$C:$FA,7)</f>
        <v>207.59</v>
      </c>
      <c r="C49" s="140">
        <f>VLOOKUP($A49,'Data shares'!$C:$FA,3)</f>
        <v>208.13</v>
      </c>
      <c r="D49" s="50">
        <f>VLOOKUP($A49,'Data shares'!$C:$FA,6)*100</f>
        <v>0.02</v>
      </c>
      <c r="E49" s="51">
        <f>VLOOKUP($A49,'Data shares'!$C:$FA,98)</f>
        <v>475156000</v>
      </c>
      <c r="F49" s="51">
        <f>VLOOKUP($A49,'Data shares'!$C:$FA,99)</f>
        <v>477526500</v>
      </c>
      <c r="G49" s="50">
        <f>VLOOKUP($A49,'Data shares'!$C:$FA,101)*100</f>
        <v>-0.5</v>
      </c>
      <c r="H49" s="49">
        <f>VLOOKUP($A49,'Data Vlaue (Cr)'!$C:$FB,99)</f>
        <v>9889</v>
      </c>
      <c r="I49" s="49">
        <f>VLOOKUP($A49,'Data Vlaue (Cr)'!$C:$FB,100)</f>
        <v>9939</v>
      </c>
      <c r="J49" s="49">
        <f>VLOOKUP($A49,'Data Vlaue (Cr)'!$C:$FB,102)*100</f>
        <v>-0.5</v>
      </c>
    </row>
    <row r="50" spans="1:10" x14ac:dyDescent="0.25">
      <c r="A50" s="101" t="str">
        <f>'NIFTY GRP'!C45</f>
        <v>TCS</v>
      </c>
      <c r="B50" s="140">
        <f>VLOOKUP($A50,'Data shares'!$C:$FA,7)</f>
        <v>2909.8</v>
      </c>
      <c r="C50" s="140">
        <f>VLOOKUP($A50,'Data shares'!$C:$FA,3)</f>
        <v>2918.3</v>
      </c>
      <c r="D50" s="50">
        <f>VLOOKUP($A50,'Data shares'!$C:$FA,6)*100</f>
        <v>-2.4500000000000002</v>
      </c>
      <c r="E50" s="51">
        <f>VLOOKUP($A50,'Data shares'!$C:$FA,98)</f>
        <v>61510400</v>
      </c>
      <c r="F50" s="51">
        <f>VLOOKUP($A50,'Data shares'!$C:$FA,99)</f>
        <v>57831725</v>
      </c>
      <c r="G50" s="50">
        <f>VLOOKUP($A50,'Data shares'!$C:$FA,101)*100</f>
        <v>6.36</v>
      </c>
      <c r="H50" s="49">
        <f>VLOOKUP($A50,'Data Vlaue (Cr)'!$C:$FB,99)</f>
        <v>17951</v>
      </c>
      <c r="I50" s="49">
        <f>VLOOKUP($A50,'Data Vlaue (Cr)'!$C:$FB,100)</f>
        <v>16877</v>
      </c>
      <c r="J50" s="49">
        <f>VLOOKUP($A50,'Data Vlaue (Cr)'!$C:$FB,102)*100</f>
        <v>6.36</v>
      </c>
    </row>
    <row r="51" spans="1:10" x14ac:dyDescent="0.25">
      <c r="A51" s="101" t="str">
        <f>'NIFTY GRP'!C46</f>
        <v>TECHM</v>
      </c>
      <c r="B51" s="140">
        <f>VLOOKUP($A51,'Data shares'!$C:$FA,7)</f>
        <v>1634.4</v>
      </c>
      <c r="C51" s="140">
        <f>VLOOKUP($A51,'Data shares'!$C:$FA,3)</f>
        <v>1633.9</v>
      </c>
      <c r="D51" s="50">
        <f>VLOOKUP($A51,'Data shares'!$C:$FA,6)*100</f>
        <v>-0.70000000000000007</v>
      </c>
      <c r="E51" s="51">
        <f>VLOOKUP($A51,'Data shares'!$C:$FA,98)</f>
        <v>32502600</v>
      </c>
      <c r="F51" s="51">
        <f>VLOOKUP($A51,'Data shares'!$C:$FA,99)</f>
        <v>32535000</v>
      </c>
      <c r="G51" s="50">
        <f>VLOOKUP($A51,'Data shares'!$C:$FA,101)*100</f>
        <v>-0.1</v>
      </c>
      <c r="H51" s="49">
        <f>VLOOKUP($A51,'Data Vlaue (Cr)'!$C:$FB,99)</f>
        <v>5311</v>
      </c>
      <c r="I51" s="49">
        <f>VLOOKUP($A51,'Data Vlaue (Cr)'!$C:$FB,100)</f>
        <v>5316</v>
      </c>
      <c r="J51" s="49">
        <f>VLOOKUP($A51,'Data Vlaue (Cr)'!$C:$FB,102)*100</f>
        <v>-0.1</v>
      </c>
    </row>
    <row r="52" spans="1:10" x14ac:dyDescent="0.25">
      <c r="A52" s="101" t="str">
        <f>'NIFTY GRP'!C47</f>
        <v>TITAN</v>
      </c>
      <c r="B52" s="140">
        <f>VLOOKUP($A52,'Data shares'!$C:$FA,7)</f>
        <v>4249.1000000000004</v>
      </c>
      <c r="C52" s="140">
        <f>VLOOKUP($A52,'Data shares'!$C:$FA,3)</f>
        <v>4252.5</v>
      </c>
      <c r="D52" s="50">
        <f>VLOOKUP($A52,'Data shares'!$C:$FA,6)*100</f>
        <v>-0.71000000000000008</v>
      </c>
      <c r="E52" s="51">
        <f>VLOOKUP($A52,'Data shares'!$C:$FA,98)</f>
        <v>23079175</v>
      </c>
      <c r="F52" s="51">
        <f>VLOOKUP($A52,'Data shares'!$C:$FA,99)</f>
        <v>19763975</v>
      </c>
      <c r="G52" s="50">
        <f>VLOOKUP($A52,'Data shares'!$C:$FA,101)*100</f>
        <v>16.77</v>
      </c>
      <c r="H52" s="49">
        <f>VLOOKUP($A52,'Data Vlaue (Cr)'!$C:$FB,99)</f>
        <v>9814</v>
      </c>
      <c r="I52" s="49">
        <f>VLOOKUP($A52,'Data Vlaue (Cr)'!$C:$FB,100)</f>
        <v>8405</v>
      </c>
      <c r="J52" s="49">
        <f>VLOOKUP($A52,'Data Vlaue (Cr)'!$C:$FB,102)*100</f>
        <v>16.77</v>
      </c>
    </row>
    <row r="53" spans="1:10" x14ac:dyDescent="0.25">
      <c r="A53" s="101" t="str">
        <f>'NIFTY GRP'!C48</f>
        <v>TMPV</v>
      </c>
      <c r="B53" s="140">
        <f>VLOOKUP($A53,'Data shares'!$C:$FA,7)</f>
        <v>384.7</v>
      </c>
      <c r="C53" s="140">
        <f>VLOOKUP($A53,'Data shares'!$C:$FA,3)</f>
        <v>385.75</v>
      </c>
      <c r="D53" s="50">
        <f>VLOOKUP($A53,'Data shares'!$C:$FA,6)*100</f>
        <v>1.37</v>
      </c>
      <c r="E53" s="51">
        <f>VLOOKUP($A53,'Data shares'!$C:$FA,98)</f>
        <v>152654400</v>
      </c>
      <c r="F53" s="51">
        <f>VLOOKUP($A53,'Data shares'!$C:$FA,99)</f>
        <v>154205600</v>
      </c>
      <c r="G53" s="50">
        <f>VLOOKUP($A53,'Data shares'!$C:$FA,101)*100</f>
        <v>-1.01</v>
      </c>
      <c r="H53" s="49">
        <f>VLOOKUP($A53,'Data Vlaue (Cr)'!$C:$FB,99)</f>
        <v>5889</v>
      </c>
      <c r="I53" s="49">
        <f>VLOOKUP($A53,'Data Vlaue (Cr)'!$C:$FB,100)</f>
        <v>5948</v>
      </c>
      <c r="J53" s="49">
        <f>VLOOKUP($A53,'Data Vlaue (Cr)'!$C:$FB,102)*100</f>
        <v>-1.01</v>
      </c>
    </row>
    <row r="54" spans="1:10" x14ac:dyDescent="0.25">
      <c r="A54" s="101" t="str">
        <f>'NIFTY GRP'!C49</f>
        <v>TRENT</v>
      </c>
      <c r="B54" s="140">
        <f>VLOOKUP($A54,'Data shares'!$C:$FA,7)</f>
        <v>4218.8999999999996</v>
      </c>
      <c r="C54" s="140">
        <f>VLOOKUP($A54,'Data shares'!$C:$FA,3)</f>
        <v>4224</v>
      </c>
      <c r="D54" s="50">
        <f>VLOOKUP($A54,'Data shares'!$C:$FA,6)*100</f>
        <v>0.89999999999999991</v>
      </c>
      <c r="E54" s="51">
        <f>VLOOKUP($A54,'Data shares'!$C:$FA,98)</f>
        <v>14467900</v>
      </c>
      <c r="F54" s="51">
        <f>VLOOKUP($A54,'Data shares'!$C:$FA,99)</f>
        <v>14585600</v>
      </c>
      <c r="G54" s="50">
        <f>VLOOKUP($A54,'Data shares'!$C:$FA,101)*100</f>
        <v>-0.80999999999999994</v>
      </c>
      <c r="H54" s="49">
        <f>VLOOKUP($A54,'Data Vlaue (Cr)'!$C:$FB,99)</f>
        <v>6111</v>
      </c>
      <c r="I54" s="49">
        <f>VLOOKUP($A54,'Data Vlaue (Cr)'!$C:$FB,100)</f>
        <v>6161</v>
      </c>
      <c r="J54" s="49">
        <f>VLOOKUP($A54,'Data Vlaue (Cr)'!$C:$FB,102)*100</f>
        <v>-0.80999999999999994</v>
      </c>
    </row>
    <row r="55" spans="1:10" x14ac:dyDescent="0.25">
      <c r="A55" s="101" t="str">
        <f>'NIFTY GRP'!C50</f>
        <v>ULTRACEMCO</v>
      </c>
      <c r="B55" s="140">
        <f>VLOOKUP($A55,'Data shares'!$C:$FA,7)</f>
        <v>12969</v>
      </c>
      <c r="C55" s="140">
        <f>VLOOKUP($A55,'Data shares'!$C:$FA,3)</f>
        <v>12976</v>
      </c>
      <c r="D55" s="50">
        <f>VLOOKUP($A55,'Data shares'!$C:$FA,6)*100</f>
        <v>-0.41000000000000003</v>
      </c>
      <c r="E55" s="51">
        <f>VLOOKUP($A55,'Data shares'!$C:$FA,98)</f>
        <v>3634900</v>
      </c>
      <c r="F55" s="51">
        <f>VLOOKUP($A55,'Data shares'!$C:$FA,99)</f>
        <v>3651650</v>
      </c>
      <c r="G55" s="50">
        <f>VLOOKUP($A55,'Data shares'!$C:$FA,101)*100</f>
        <v>-0.45999999999999996</v>
      </c>
      <c r="H55" s="49">
        <f>VLOOKUP($A55,'Data Vlaue (Cr)'!$C:$FB,99)</f>
        <v>4717</v>
      </c>
      <c r="I55" s="49">
        <f>VLOOKUP($A55,'Data Vlaue (Cr)'!$C:$FB,100)</f>
        <v>4738</v>
      </c>
      <c r="J55" s="49">
        <f>VLOOKUP($A55,'Data Vlaue (Cr)'!$C:$FB,102)*100</f>
        <v>-0.45999999999999996</v>
      </c>
    </row>
    <row r="56" spans="1:10" x14ac:dyDescent="0.25">
      <c r="A56" s="101" t="str">
        <f>'NIFTY GRP'!C51</f>
        <v>WIPRO</v>
      </c>
      <c r="B56" s="140">
        <f>VLOOKUP($A56,'Data shares'!$C:$FA,7)</f>
        <v>229.81</v>
      </c>
      <c r="C56" s="140">
        <f>VLOOKUP($A56,'Data shares'!$C:$FA,3)</f>
        <v>229.9</v>
      </c>
      <c r="D56" s="50">
        <f>VLOOKUP($A56,'Data shares'!$C:$FA,6)*100</f>
        <v>-0.69</v>
      </c>
      <c r="E56" s="51">
        <f>VLOOKUP($A56,'Data shares'!$C:$FA,98)</f>
        <v>316347000</v>
      </c>
      <c r="F56" s="51">
        <f>VLOOKUP($A56,'Data shares'!$C:$FA,99)</f>
        <v>312768000</v>
      </c>
      <c r="G56" s="50">
        <f>VLOOKUP($A56,'Data shares'!$C:$FA,101)*100</f>
        <v>1.1400000000000001</v>
      </c>
      <c r="H56" s="49">
        <f>VLOOKUP($A56,'Data Vlaue (Cr)'!$C:$FB,99)</f>
        <v>7273</v>
      </c>
      <c r="I56" s="49">
        <f>VLOOKUP($A56,'Data Vlaue (Cr)'!$C:$FB,100)</f>
        <v>7191</v>
      </c>
      <c r="J56" s="49">
        <f>VLOOKUP($A56,'Data Vlaue (Cr)'!$C:$FB,102)*100</f>
        <v>1.1400000000000001</v>
      </c>
    </row>
    <row r="57" spans="1:10" x14ac:dyDescent="0.25">
      <c r="A57" s="101"/>
      <c r="B57" s="140"/>
      <c r="C57" s="140"/>
      <c r="D57" s="50"/>
      <c r="E57" s="51"/>
      <c r="F57" s="51"/>
      <c r="G57" s="50"/>
      <c r="H57" s="49"/>
      <c r="I57" s="49"/>
      <c r="J57" s="49"/>
    </row>
    <row r="58" spans="1:10" x14ac:dyDescent="0.25">
      <c r="A58" s="102"/>
      <c r="B58" s="17"/>
      <c r="C58" s="17"/>
      <c r="D58" s="17"/>
      <c r="E58" s="17"/>
      <c r="F58" s="17"/>
      <c r="G58" s="17"/>
      <c r="H58" s="17"/>
      <c r="I58" s="17"/>
      <c r="J58" s="17"/>
    </row>
    <row r="59" spans="1:10" x14ac:dyDescent="0.25">
      <c r="A59" s="102"/>
      <c r="B59" s="17"/>
      <c r="C59" s="17"/>
      <c r="D59" s="17"/>
      <c r="E59" s="17"/>
      <c r="F59" s="17"/>
      <c r="G59" s="17"/>
      <c r="H59" s="17"/>
      <c r="I59" s="17"/>
      <c r="J59" s="17"/>
    </row>
    <row r="60" spans="1:10" x14ac:dyDescent="0.25">
      <c r="A60" s="126" t="s">
        <v>391</v>
      </c>
      <c r="B60" s="122"/>
      <c r="C60" s="122"/>
      <c r="D60" s="122"/>
      <c r="E60" s="127">
        <f>SUM(E7:E58)</f>
        <v>5724473186</v>
      </c>
      <c r="F60" s="127">
        <f>SUM(F7:F58)</f>
        <v>5652736377</v>
      </c>
      <c r="G60" s="128">
        <f>(E60-F60)/F60</f>
        <v>1.2690634095707096E-2</v>
      </c>
      <c r="H60" s="127">
        <f>SUM(H7:H58)</f>
        <v>486415</v>
      </c>
      <c r="I60" s="127">
        <f>SUM(I7:I58)</f>
        <v>473536</v>
      </c>
      <c r="J60" s="128">
        <f>(H60-I60)/I60</f>
        <v>2.7197509798621435E-2</v>
      </c>
    </row>
    <row r="61" spans="1:10" x14ac:dyDescent="0.25">
      <c r="A61" s="126" t="s">
        <v>398</v>
      </c>
      <c r="B61" s="122"/>
      <c r="C61" s="122"/>
      <c r="D61" s="122"/>
      <c r="E61" s="125">
        <f>E60/10000000</f>
        <v>572.44731860000002</v>
      </c>
      <c r="F61" s="125">
        <f>F60/10000000</f>
        <v>565.27363769999999</v>
      </c>
      <c r="G61" s="128">
        <f>(E61-F61)/F61</f>
        <v>1.2690634095707136E-2</v>
      </c>
      <c r="H61" s="129">
        <f>H60/10000000</f>
        <v>4.8641499999999997E-2</v>
      </c>
      <c r="I61" s="129">
        <f>I60/10000000</f>
        <v>4.7353600000000003E-2</v>
      </c>
      <c r="J61" s="128">
        <f>(H61-I61)/I61</f>
        <v>2.719750979862132E-2</v>
      </c>
    </row>
    <row r="66" spans="1:3" x14ac:dyDescent="0.25">
      <c r="A66" s="43"/>
      <c r="B66" s="43"/>
      <c r="C66" s="44"/>
    </row>
    <row r="67" spans="1:3" ht="34.5" x14ac:dyDescent="0.25">
      <c r="A67" s="95" t="s">
        <v>411</v>
      </c>
      <c r="B67" s="45"/>
      <c r="C67" s="45" t="s">
        <v>385</v>
      </c>
    </row>
    <row r="68" spans="1:3" x14ac:dyDescent="0.25">
      <c r="A68" s="22" t="s">
        <v>412</v>
      </c>
      <c r="B68" s="22" t="s">
        <v>413</v>
      </c>
      <c r="C68" s="22" t="s">
        <v>414</v>
      </c>
    </row>
    <row r="69" spans="1:3" x14ac:dyDescent="0.25">
      <c r="A69" s="38">
        <f>H60</f>
        <v>486415</v>
      </c>
      <c r="B69" s="38">
        <f>I60</f>
        <v>473536</v>
      </c>
      <c r="C69" s="42">
        <f>J60</f>
        <v>2.7197509798621435E-2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222" activePane="bottomLeft" state="frozen"/>
      <selection pane="bottomLeft" activeCell="L253" sqref="L253"/>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9" t="s">
        <v>356</v>
      </c>
      <c r="B3" s="300"/>
      <c r="C3" s="300"/>
      <c r="D3" s="300"/>
      <c r="E3" s="300"/>
      <c r="F3" s="300"/>
      <c r="G3" s="300"/>
      <c r="H3" s="300"/>
      <c r="I3" s="300"/>
      <c r="J3" s="300"/>
      <c r="K3" s="300"/>
      <c r="L3" s="300"/>
      <c r="M3" s="300"/>
      <c r="N3" s="300"/>
      <c r="O3" s="301"/>
    </row>
    <row r="4" spans="1:15" s="93" customFormat="1" x14ac:dyDescent="0.25">
      <c r="A4" s="286" t="s">
        <v>330</v>
      </c>
      <c r="B4" s="288" t="s">
        <v>308</v>
      </c>
      <c r="C4" s="290"/>
      <c r="D4" s="288" t="s">
        <v>357</v>
      </c>
      <c r="E4" s="289"/>
      <c r="F4" s="289"/>
      <c r="G4" s="289"/>
      <c r="H4" s="289"/>
      <c r="I4" s="289"/>
      <c r="J4" s="289"/>
      <c r="K4" s="289"/>
      <c r="L4" s="289"/>
      <c r="M4" s="289"/>
      <c r="N4" s="289"/>
      <c r="O4" s="290"/>
    </row>
    <row r="5" spans="1:15" s="93" customFormat="1" x14ac:dyDescent="0.25">
      <c r="A5" s="287"/>
      <c r="B5" s="302" t="s">
        <v>312</v>
      </c>
      <c r="C5" s="292"/>
      <c r="D5" s="302" t="s">
        <v>357</v>
      </c>
      <c r="E5" s="291"/>
      <c r="F5" s="292"/>
      <c r="G5" s="302" t="s">
        <v>358</v>
      </c>
      <c r="H5" s="291"/>
      <c r="I5" s="292"/>
      <c r="J5" s="302" t="s">
        <v>359</v>
      </c>
      <c r="K5" s="291"/>
      <c r="L5" s="292"/>
      <c r="M5" s="302" t="s">
        <v>360</v>
      </c>
      <c r="N5" s="291"/>
      <c r="O5" s="292"/>
    </row>
    <row r="6" spans="1:15" s="93" customFormat="1" x14ac:dyDescent="0.25">
      <c r="A6" s="76" t="s">
        <v>318</v>
      </c>
      <c r="B6" s="3">
        <f>'Nifty Baskets'!B6</f>
        <v>46064</v>
      </c>
      <c r="C6" s="76" t="s">
        <v>328</v>
      </c>
      <c r="D6" s="3">
        <f>B6</f>
        <v>46064</v>
      </c>
      <c r="E6" s="76" t="s">
        <v>322</v>
      </c>
      <c r="F6" s="76" t="s">
        <v>328</v>
      </c>
      <c r="G6" s="3">
        <f>D6</f>
        <v>46064</v>
      </c>
      <c r="H6" s="76" t="s">
        <v>322</v>
      </c>
      <c r="I6" s="76" t="s">
        <v>328</v>
      </c>
      <c r="J6" s="3">
        <f>D6</f>
        <v>46064</v>
      </c>
      <c r="K6" s="76" t="s">
        <v>322</v>
      </c>
      <c r="L6" s="76" t="s">
        <v>328</v>
      </c>
      <c r="M6" s="3">
        <f>D6</f>
        <v>46064</v>
      </c>
      <c r="N6" s="76" t="s">
        <v>322</v>
      </c>
      <c r="O6" s="76" t="s">
        <v>328</v>
      </c>
    </row>
    <row r="7" spans="1:15" x14ac:dyDescent="0.25">
      <c r="A7" s="101" t="str">
        <f>'Data Vlaue (Cr)'!C2</f>
        <v>360ONE</v>
      </c>
      <c r="B7" s="50">
        <f>VLOOKUP($A7,'Data Vlaue (Cr)'!$C:$FB,8)</f>
        <v>1138.4000000000001</v>
      </c>
      <c r="C7" s="50">
        <f>VLOOKUP($A7,'Data Vlaue (Cr)'!$C:$FB,11)*100</f>
        <v>-2.06</v>
      </c>
      <c r="D7" s="50">
        <f>VLOOKUP($A7,'Data Vlaue (Cr)'!$C:$FB,143)</f>
        <v>664.41</v>
      </c>
      <c r="E7" s="50">
        <f>VLOOKUP($A7,'Data Vlaue (Cr)'!$C:$FB,144)</f>
        <v>1130.72</v>
      </c>
      <c r="F7" s="50">
        <f>VLOOKUP($A7,'Data Vlaue (Cr)'!$C:$FB,146)*100</f>
        <v>-41.24</v>
      </c>
      <c r="G7" s="49">
        <f>VLOOKUP($A7,'Data Vlaue (Cr)'!$C:$FB,43)</f>
        <v>128</v>
      </c>
      <c r="H7" s="49">
        <f>VLOOKUP($A7,'Data Vlaue (Cr)'!$C:$FB,44)</f>
        <v>193</v>
      </c>
      <c r="I7" s="49">
        <f>VLOOKUP($A7,'Data Vlaue (Cr)'!$C:$FB,46)*100</f>
        <v>-33.51</v>
      </c>
      <c r="J7" s="51">
        <f>VLOOKUP($A7,'Data Vlaue (Cr)'!$C:$FB,59)</f>
        <v>353</v>
      </c>
      <c r="K7" s="51">
        <f>VLOOKUP($A7,'Data Vlaue (Cr)'!$C:$FB,60)</f>
        <v>680</v>
      </c>
      <c r="L7" s="51">
        <f>VLOOKUP($A7,'Data Vlaue (Cr)'!$C:$FB,62)*100</f>
        <v>-48.08</v>
      </c>
      <c r="M7" s="51">
        <f>VLOOKUP($A7,'Data Vlaue (Cr)'!$C:$FB,63)</f>
        <v>171</v>
      </c>
      <c r="N7" s="51">
        <f>VLOOKUP($A7,'Data Vlaue (Cr)'!$C:$FB,64)</f>
        <v>228</v>
      </c>
      <c r="O7" s="51">
        <f>VLOOKUP($A7,'Data Vlaue (Cr)'!$C:$FB,66)*100</f>
        <v>-25.240000000000002</v>
      </c>
    </row>
    <row r="8" spans="1:15" x14ac:dyDescent="0.25">
      <c r="A8" s="101" t="str">
        <f>'Data Vlaue (Cr)'!C3</f>
        <v>ABB</v>
      </c>
      <c r="B8" s="50">
        <f>VLOOKUP($A8,'Data Vlaue (Cr)'!$C:$FB,8)</f>
        <v>5825.5</v>
      </c>
      <c r="C8" s="50">
        <f>VLOOKUP($A8,'Data Vlaue (Cr)'!$C:$FB,11)*100</f>
        <v>-0.76</v>
      </c>
      <c r="D8" s="50">
        <f>VLOOKUP($A8,'Data Vlaue (Cr)'!$C:$FB,143)</f>
        <v>1039.32</v>
      </c>
      <c r="E8" s="50">
        <f>VLOOKUP($A8,'Data Vlaue (Cr)'!$C:$FB,144)</f>
        <v>1065.94</v>
      </c>
      <c r="F8" s="50">
        <f>VLOOKUP($A8,'Data Vlaue (Cr)'!$C:$FB,146)*100</f>
        <v>-2.5</v>
      </c>
      <c r="G8" s="49">
        <f>VLOOKUP($A8,'Data Vlaue (Cr)'!$C:$FB,43)</f>
        <v>163</v>
      </c>
      <c r="H8" s="49">
        <f>VLOOKUP($A8,'Data Vlaue (Cr)'!$C:$FB,44)</f>
        <v>205</v>
      </c>
      <c r="I8" s="49">
        <f>VLOOKUP($A8,'Data Vlaue (Cr)'!$C:$FB,46)*100</f>
        <v>-20.669999999999998</v>
      </c>
      <c r="J8" s="51">
        <f>VLOOKUP($A8,'Data Vlaue (Cr)'!$C:$FB,59)</f>
        <v>431</v>
      </c>
      <c r="K8" s="51">
        <f>VLOOKUP($A8,'Data Vlaue (Cr)'!$C:$FB,60)</f>
        <v>591</v>
      </c>
      <c r="L8" s="51">
        <f>VLOOKUP($A8,'Data Vlaue (Cr)'!$C:$FB,62)*100</f>
        <v>-27.189999999999998</v>
      </c>
      <c r="M8" s="51">
        <f>VLOOKUP($A8,'Data Vlaue (Cr)'!$C:$FB,63)</f>
        <v>437</v>
      </c>
      <c r="N8" s="51">
        <f>VLOOKUP($A8,'Data Vlaue (Cr)'!$C:$FB,64)</f>
        <v>253</v>
      </c>
      <c r="O8" s="51">
        <f>VLOOKUP($A8,'Data Vlaue (Cr)'!$C:$FB,66)*100</f>
        <v>72.75</v>
      </c>
    </row>
    <row r="9" spans="1:15" x14ac:dyDescent="0.25">
      <c r="A9" s="101" t="str">
        <f>'Data Vlaue (Cr)'!C4</f>
        <v>ABCAPITAL</v>
      </c>
      <c r="B9" s="50">
        <f>VLOOKUP($A9,'Data Vlaue (Cr)'!$C:$FB,8)</f>
        <v>344.25</v>
      </c>
      <c r="C9" s="50">
        <f>VLOOKUP($A9,'Data Vlaue (Cr)'!$C:$FB,11)*100</f>
        <v>-2.69</v>
      </c>
      <c r="D9" s="50">
        <f>VLOOKUP($A9,'Data Vlaue (Cr)'!$C:$FB,143)</f>
        <v>2611.2399999999998</v>
      </c>
      <c r="E9" s="50">
        <f>VLOOKUP($A9,'Data Vlaue (Cr)'!$C:$FB,144)</f>
        <v>1933.35</v>
      </c>
      <c r="F9" s="50">
        <f>VLOOKUP($A9,'Data Vlaue (Cr)'!$C:$FB,146)*100</f>
        <v>35.06</v>
      </c>
      <c r="G9" s="49">
        <f>VLOOKUP($A9,'Data Vlaue (Cr)'!$C:$FB,43)</f>
        <v>573</v>
      </c>
      <c r="H9" s="49">
        <f>VLOOKUP($A9,'Data Vlaue (Cr)'!$C:$FB,44)</f>
        <v>366</v>
      </c>
      <c r="I9" s="49">
        <f>VLOOKUP($A9,'Data Vlaue (Cr)'!$C:$FB,46)*100</f>
        <v>56.410000000000004</v>
      </c>
      <c r="J9" s="51">
        <f>VLOOKUP($A9,'Data Vlaue (Cr)'!$C:$FB,59)</f>
        <v>1317</v>
      </c>
      <c r="K9" s="51">
        <f>VLOOKUP($A9,'Data Vlaue (Cr)'!$C:$FB,60)</f>
        <v>1000</v>
      </c>
      <c r="L9" s="51">
        <f>VLOOKUP($A9,'Data Vlaue (Cr)'!$C:$FB,62)*100</f>
        <v>31.66</v>
      </c>
      <c r="M9" s="51">
        <f>VLOOKUP($A9,'Data Vlaue (Cr)'!$C:$FB,63)</f>
        <v>639</v>
      </c>
      <c r="N9" s="51">
        <f>VLOOKUP($A9,'Data Vlaue (Cr)'!$C:$FB,64)</f>
        <v>483</v>
      </c>
      <c r="O9" s="51">
        <f>VLOOKUP($A9,'Data Vlaue (Cr)'!$C:$FB,66)*100</f>
        <v>32.18</v>
      </c>
    </row>
    <row r="10" spans="1:15" x14ac:dyDescent="0.25">
      <c r="A10" s="101" t="str">
        <f>'Data Vlaue (Cr)'!C5</f>
        <v>ADANIENSOL</v>
      </c>
      <c r="B10" s="50">
        <f>VLOOKUP($A10,'Data Vlaue (Cr)'!$C:$FB,8)</f>
        <v>1033.8</v>
      </c>
      <c r="C10" s="50">
        <f>VLOOKUP($A10,'Data Vlaue (Cr)'!$C:$FB,11)*100</f>
        <v>1.68</v>
      </c>
      <c r="D10" s="50">
        <f>VLOOKUP($A10,'Data Vlaue (Cr)'!$C:$FB,143)</f>
        <v>553.61</v>
      </c>
      <c r="E10" s="50">
        <f>VLOOKUP($A10,'Data Vlaue (Cr)'!$C:$FB,144)</f>
        <v>561.38</v>
      </c>
      <c r="F10" s="50">
        <f>VLOOKUP($A10,'Data Vlaue (Cr)'!$C:$FB,146)*100</f>
        <v>-1.38</v>
      </c>
      <c r="G10" s="49">
        <f>VLOOKUP($A10,'Data Vlaue (Cr)'!$C:$FB,43)</f>
        <v>198</v>
      </c>
      <c r="H10" s="49">
        <f>VLOOKUP($A10,'Data Vlaue (Cr)'!$C:$FB,44)</f>
        <v>178</v>
      </c>
      <c r="I10" s="49">
        <f>VLOOKUP($A10,'Data Vlaue (Cr)'!$C:$FB,46)*100</f>
        <v>11.14</v>
      </c>
      <c r="J10" s="51">
        <f>VLOOKUP($A10,'Data Vlaue (Cr)'!$C:$FB,59)</f>
        <v>208</v>
      </c>
      <c r="K10" s="51">
        <f>VLOOKUP($A10,'Data Vlaue (Cr)'!$C:$FB,60)</f>
        <v>180</v>
      </c>
      <c r="L10" s="51">
        <f>VLOOKUP($A10,'Data Vlaue (Cr)'!$C:$FB,62)*100</f>
        <v>15.58</v>
      </c>
      <c r="M10" s="51">
        <f>VLOOKUP($A10,'Data Vlaue (Cr)'!$C:$FB,63)</f>
        <v>150</v>
      </c>
      <c r="N10" s="51">
        <f>VLOOKUP($A10,'Data Vlaue (Cr)'!$C:$FB,64)</f>
        <v>212</v>
      </c>
      <c r="O10" s="51">
        <f>VLOOKUP($A10,'Data Vlaue (Cr)'!$C:$FB,66)*100</f>
        <v>-29.07</v>
      </c>
    </row>
    <row r="11" spans="1:15" x14ac:dyDescent="0.25">
      <c r="A11" s="101" t="str">
        <f>'Data Vlaue (Cr)'!C6</f>
        <v>ADANIENT</v>
      </c>
      <c r="B11" s="50">
        <f>VLOOKUP($A11,'Data Vlaue (Cr)'!$C:$FB,8)</f>
        <v>2234.4</v>
      </c>
      <c r="C11" s="50">
        <f>VLOOKUP($A11,'Data Vlaue (Cr)'!$C:$FB,11)*100</f>
        <v>0.27</v>
      </c>
      <c r="D11" s="50">
        <f>VLOOKUP($A11,'Data Vlaue (Cr)'!$C:$FB,143)</f>
        <v>2335.21</v>
      </c>
      <c r="E11" s="50">
        <f>VLOOKUP($A11,'Data Vlaue (Cr)'!$C:$FB,144)</f>
        <v>7865.35</v>
      </c>
      <c r="F11" s="50">
        <f>VLOOKUP($A11,'Data Vlaue (Cr)'!$C:$FB,146)*100</f>
        <v>-70.309999999999988</v>
      </c>
      <c r="G11" s="49">
        <f>VLOOKUP($A11,'Data Vlaue (Cr)'!$C:$FB,43)</f>
        <v>512</v>
      </c>
      <c r="H11" s="49">
        <f>VLOOKUP($A11,'Data Vlaue (Cr)'!$C:$FB,44)</f>
        <v>1118</v>
      </c>
      <c r="I11" s="49">
        <f>VLOOKUP($A11,'Data Vlaue (Cr)'!$C:$FB,46)*100</f>
        <v>-54.230000000000004</v>
      </c>
      <c r="J11" s="51">
        <f>VLOOKUP($A11,'Data Vlaue (Cr)'!$C:$FB,59)</f>
        <v>1031</v>
      </c>
      <c r="K11" s="51">
        <f>VLOOKUP($A11,'Data Vlaue (Cr)'!$C:$FB,60)</f>
        <v>3173</v>
      </c>
      <c r="L11" s="51">
        <f>VLOOKUP($A11,'Data Vlaue (Cr)'!$C:$FB,62)*100</f>
        <v>-67.5</v>
      </c>
      <c r="M11" s="51">
        <f>VLOOKUP($A11,'Data Vlaue (Cr)'!$C:$FB,63)</f>
        <v>771</v>
      </c>
      <c r="N11" s="51">
        <f>VLOOKUP($A11,'Data Vlaue (Cr)'!$C:$FB,64)</f>
        <v>3532</v>
      </c>
      <c r="O11" s="51">
        <f>VLOOKUP($A11,'Data Vlaue (Cr)'!$C:$FB,66)*100</f>
        <v>-78.16</v>
      </c>
    </row>
    <row r="12" spans="1:15" x14ac:dyDescent="0.25">
      <c r="A12" s="101" t="str">
        <f>'Data Vlaue (Cr)'!C7</f>
        <v>ADANIGREEN</v>
      </c>
      <c r="B12" s="50">
        <f>VLOOKUP($A12,'Data Vlaue (Cr)'!$C:$FB,8)</f>
        <v>994.75</v>
      </c>
      <c r="C12" s="50">
        <f>VLOOKUP($A12,'Data Vlaue (Cr)'!$C:$FB,11)*100</f>
        <v>1.68</v>
      </c>
      <c r="D12" s="50">
        <f>VLOOKUP($A12,'Data Vlaue (Cr)'!$C:$FB,143)</f>
        <v>1571.37</v>
      </c>
      <c r="E12" s="50">
        <f>VLOOKUP($A12,'Data Vlaue (Cr)'!$C:$FB,144)</f>
        <v>1720.54</v>
      </c>
      <c r="F12" s="50">
        <f>VLOOKUP($A12,'Data Vlaue (Cr)'!$C:$FB,146)*100</f>
        <v>-8.67</v>
      </c>
      <c r="G12" s="49">
        <f>VLOOKUP($A12,'Data Vlaue (Cr)'!$C:$FB,43)</f>
        <v>294</v>
      </c>
      <c r="H12" s="49">
        <f>VLOOKUP($A12,'Data Vlaue (Cr)'!$C:$FB,44)</f>
        <v>284</v>
      </c>
      <c r="I12" s="49">
        <f>VLOOKUP($A12,'Data Vlaue (Cr)'!$C:$FB,46)*100</f>
        <v>3.82</v>
      </c>
      <c r="J12" s="51">
        <f>VLOOKUP($A12,'Data Vlaue (Cr)'!$C:$FB,59)</f>
        <v>860</v>
      </c>
      <c r="K12" s="51">
        <f>VLOOKUP($A12,'Data Vlaue (Cr)'!$C:$FB,60)</f>
        <v>811</v>
      </c>
      <c r="L12" s="51">
        <f>VLOOKUP($A12,'Data Vlaue (Cr)'!$C:$FB,62)*100</f>
        <v>6</v>
      </c>
      <c r="M12" s="51">
        <f>VLOOKUP($A12,'Data Vlaue (Cr)'!$C:$FB,63)</f>
        <v>410</v>
      </c>
      <c r="N12" s="51">
        <f>VLOOKUP($A12,'Data Vlaue (Cr)'!$C:$FB,64)</f>
        <v>642</v>
      </c>
      <c r="O12" s="51">
        <f>VLOOKUP($A12,'Data Vlaue (Cr)'!$C:$FB,66)*100</f>
        <v>-36.22</v>
      </c>
    </row>
    <row r="13" spans="1:15" x14ac:dyDescent="0.25">
      <c r="A13" s="101" t="str">
        <f>'Data Vlaue (Cr)'!C8</f>
        <v>ADANIPORTS</v>
      </c>
      <c r="B13" s="50">
        <f>VLOOKUP($A13,'Data Vlaue (Cr)'!$C:$FB,8)</f>
        <v>1553.4</v>
      </c>
      <c r="C13" s="50">
        <f>VLOOKUP($A13,'Data Vlaue (Cr)'!$C:$FB,11)*100</f>
        <v>-0.08</v>
      </c>
      <c r="D13" s="50">
        <f>VLOOKUP($A13,'Data Vlaue (Cr)'!$C:$FB,143)</f>
        <v>2079.0100000000002</v>
      </c>
      <c r="E13" s="50">
        <f>VLOOKUP($A13,'Data Vlaue (Cr)'!$C:$FB,144)</f>
        <v>4706.58</v>
      </c>
      <c r="F13" s="50">
        <f>VLOOKUP($A13,'Data Vlaue (Cr)'!$C:$FB,146)*100</f>
        <v>-55.83</v>
      </c>
      <c r="G13" s="49">
        <f>VLOOKUP($A13,'Data Vlaue (Cr)'!$C:$FB,43)</f>
        <v>225</v>
      </c>
      <c r="H13" s="49">
        <f>VLOOKUP($A13,'Data Vlaue (Cr)'!$C:$FB,44)</f>
        <v>598</v>
      </c>
      <c r="I13" s="49">
        <f>VLOOKUP($A13,'Data Vlaue (Cr)'!$C:$FB,46)*100</f>
        <v>-62.32</v>
      </c>
      <c r="J13" s="51">
        <f>VLOOKUP($A13,'Data Vlaue (Cr)'!$C:$FB,59)</f>
        <v>965</v>
      </c>
      <c r="K13" s="51">
        <f>VLOOKUP($A13,'Data Vlaue (Cr)'!$C:$FB,60)</f>
        <v>2063</v>
      </c>
      <c r="L13" s="51">
        <f>VLOOKUP($A13,'Data Vlaue (Cr)'!$C:$FB,62)*100</f>
        <v>-53.22</v>
      </c>
      <c r="M13" s="51">
        <f>VLOOKUP($A13,'Data Vlaue (Cr)'!$C:$FB,63)</f>
        <v>877</v>
      </c>
      <c r="N13" s="51">
        <f>VLOOKUP($A13,'Data Vlaue (Cr)'!$C:$FB,64)</f>
        <v>2038</v>
      </c>
      <c r="O13" s="51">
        <f>VLOOKUP($A13,'Data Vlaue (Cr)'!$C:$FB,66)*100</f>
        <v>-56.97</v>
      </c>
    </row>
    <row r="14" spans="1:15" x14ac:dyDescent="0.25">
      <c r="A14" s="101" t="str">
        <f>'Data Vlaue (Cr)'!C9</f>
        <v>ALKEM</v>
      </c>
      <c r="B14" s="50">
        <f>VLOOKUP($A14,'Data Vlaue (Cr)'!$C:$FB,8)</f>
        <v>5890</v>
      </c>
      <c r="C14" s="50">
        <f>VLOOKUP($A14,'Data Vlaue (Cr)'!$C:$FB,11)*100</f>
        <v>1.35</v>
      </c>
      <c r="D14" s="50">
        <f>VLOOKUP($A14,'Data Vlaue (Cr)'!$C:$FB,143)</f>
        <v>757.19</v>
      </c>
      <c r="E14" s="50">
        <f>VLOOKUP($A14,'Data Vlaue (Cr)'!$C:$FB,144)</f>
        <v>310.29000000000002</v>
      </c>
      <c r="F14" s="50">
        <f>VLOOKUP($A14,'Data Vlaue (Cr)'!$C:$FB,146)*100</f>
        <v>144.03</v>
      </c>
      <c r="G14" s="49">
        <f>VLOOKUP($A14,'Data Vlaue (Cr)'!$C:$FB,43)</f>
        <v>141</v>
      </c>
      <c r="H14" s="49">
        <f>VLOOKUP($A14,'Data Vlaue (Cr)'!$C:$FB,44)</f>
        <v>77</v>
      </c>
      <c r="I14" s="49">
        <f>VLOOKUP($A14,'Data Vlaue (Cr)'!$C:$FB,46)*100</f>
        <v>82.809999999999988</v>
      </c>
      <c r="J14" s="51">
        <f>VLOOKUP($A14,'Data Vlaue (Cr)'!$C:$FB,59)</f>
        <v>425</v>
      </c>
      <c r="K14" s="51">
        <f>VLOOKUP($A14,'Data Vlaue (Cr)'!$C:$FB,60)</f>
        <v>139</v>
      </c>
      <c r="L14" s="51">
        <f>VLOOKUP($A14,'Data Vlaue (Cr)'!$C:$FB,62)*100</f>
        <v>206.54</v>
      </c>
      <c r="M14" s="51">
        <f>VLOOKUP($A14,'Data Vlaue (Cr)'!$C:$FB,63)</f>
        <v>196</v>
      </c>
      <c r="N14" s="51">
        <f>VLOOKUP($A14,'Data Vlaue (Cr)'!$C:$FB,64)</f>
        <v>105</v>
      </c>
      <c r="O14" s="51">
        <f>VLOOKUP($A14,'Data Vlaue (Cr)'!$C:$FB,66)*100</f>
        <v>87.68</v>
      </c>
    </row>
    <row r="15" spans="1:15" x14ac:dyDescent="0.25">
      <c r="A15" s="101" t="str">
        <f>'Data Vlaue (Cr)'!C10</f>
        <v>AMBER</v>
      </c>
      <c r="B15" s="50">
        <f>VLOOKUP($A15,'Data Vlaue (Cr)'!$C:$FB,8)</f>
        <v>7696</v>
      </c>
      <c r="C15" s="50">
        <f>VLOOKUP($A15,'Data Vlaue (Cr)'!$C:$FB,11)*100</f>
        <v>2.4699999999999998</v>
      </c>
      <c r="D15" s="50">
        <f>VLOOKUP($A15,'Data Vlaue (Cr)'!$C:$FB,143)</f>
        <v>5004.0200000000004</v>
      </c>
      <c r="E15" s="50">
        <f>VLOOKUP($A15,'Data Vlaue (Cr)'!$C:$FB,144)</f>
        <v>12143.95</v>
      </c>
      <c r="F15" s="50">
        <f>VLOOKUP($A15,'Data Vlaue (Cr)'!$C:$FB,146)*100</f>
        <v>-58.79</v>
      </c>
      <c r="G15" s="49">
        <f>VLOOKUP($A15,'Data Vlaue (Cr)'!$C:$FB,43)</f>
        <v>419</v>
      </c>
      <c r="H15" s="49">
        <f>VLOOKUP($A15,'Data Vlaue (Cr)'!$C:$FB,44)</f>
        <v>1150</v>
      </c>
      <c r="I15" s="49">
        <f>VLOOKUP($A15,'Data Vlaue (Cr)'!$C:$FB,46)*100</f>
        <v>-63.570000000000007</v>
      </c>
      <c r="J15" s="51">
        <f>VLOOKUP($A15,'Data Vlaue (Cr)'!$C:$FB,59)</f>
        <v>2784</v>
      </c>
      <c r="K15" s="51">
        <f>VLOOKUP($A15,'Data Vlaue (Cr)'!$C:$FB,60)</f>
        <v>7622</v>
      </c>
      <c r="L15" s="51">
        <f>VLOOKUP($A15,'Data Vlaue (Cr)'!$C:$FB,62)*100</f>
        <v>-63.470000000000006</v>
      </c>
      <c r="M15" s="51">
        <f>VLOOKUP($A15,'Data Vlaue (Cr)'!$C:$FB,63)</f>
        <v>1853</v>
      </c>
      <c r="N15" s="51">
        <f>VLOOKUP($A15,'Data Vlaue (Cr)'!$C:$FB,64)</f>
        <v>3610</v>
      </c>
      <c r="O15" s="51">
        <f>VLOOKUP($A15,'Data Vlaue (Cr)'!$C:$FB,66)*100</f>
        <v>-48.66</v>
      </c>
    </row>
    <row r="16" spans="1:15" x14ac:dyDescent="0.25">
      <c r="A16" s="101" t="str">
        <f>'Data Vlaue (Cr)'!C11</f>
        <v>AMBUJACEM</v>
      </c>
      <c r="B16" s="50">
        <f>VLOOKUP($A16,'Data Vlaue (Cr)'!$C:$FB,8)</f>
        <v>541.25</v>
      </c>
      <c r="C16" s="50">
        <f>VLOOKUP($A16,'Data Vlaue (Cr)'!$C:$FB,11)*100</f>
        <v>0.51</v>
      </c>
      <c r="D16" s="50">
        <f>VLOOKUP($A16,'Data Vlaue (Cr)'!$C:$FB,143)</f>
        <v>679.34</v>
      </c>
      <c r="E16" s="50">
        <f>VLOOKUP($A16,'Data Vlaue (Cr)'!$C:$FB,144)</f>
        <v>1553.31</v>
      </c>
      <c r="F16" s="50">
        <f>VLOOKUP($A16,'Data Vlaue (Cr)'!$C:$FB,146)*100</f>
        <v>-56.26</v>
      </c>
      <c r="G16" s="49">
        <f>VLOOKUP($A16,'Data Vlaue (Cr)'!$C:$FB,43)</f>
        <v>142</v>
      </c>
      <c r="H16" s="49">
        <f>VLOOKUP($A16,'Data Vlaue (Cr)'!$C:$FB,44)</f>
        <v>271</v>
      </c>
      <c r="I16" s="49">
        <f>VLOOKUP($A16,'Data Vlaue (Cr)'!$C:$FB,46)*100</f>
        <v>-47.73</v>
      </c>
      <c r="J16" s="51">
        <f>VLOOKUP($A16,'Data Vlaue (Cr)'!$C:$FB,59)</f>
        <v>379</v>
      </c>
      <c r="K16" s="51">
        <f>VLOOKUP($A16,'Data Vlaue (Cr)'!$C:$FB,60)</f>
        <v>770</v>
      </c>
      <c r="L16" s="51">
        <f>VLOOKUP($A16,'Data Vlaue (Cr)'!$C:$FB,62)*100</f>
        <v>-50.81</v>
      </c>
      <c r="M16" s="51">
        <f>VLOOKUP($A16,'Data Vlaue (Cr)'!$C:$FB,63)</f>
        <v>148</v>
      </c>
      <c r="N16" s="51">
        <f>VLOOKUP($A16,'Data Vlaue (Cr)'!$C:$FB,64)</f>
        <v>502</v>
      </c>
      <c r="O16" s="51">
        <f>VLOOKUP($A16,'Data Vlaue (Cr)'!$C:$FB,66)*100</f>
        <v>-70.62</v>
      </c>
    </row>
    <row r="17" spans="1:15" x14ac:dyDescent="0.25">
      <c r="A17" s="101" t="str">
        <f>'Data Vlaue (Cr)'!C12</f>
        <v>ANGELONE</v>
      </c>
      <c r="B17" s="50">
        <f>VLOOKUP($A17,'Data Vlaue (Cr)'!$C:$FB,8)</f>
        <v>2781.1</v>
      </c>
      <c r="C17" s="50">
        <f>VLOOKUP($A17,'Data Vlaue (Cr)'!$C:$FB,11)*100</f>
        <v>-6.9999999999999993E-2</v>
      </c>
      <c r="D17" s="50">
        <f>VLOOKUP($A17,'Data Vlaue (Cr)'!$C:$FB,143)</f>
        <v>1299.3399999999999</v>
      </c>
      <c r="E17" s="50">
        <f>VLOOKUP($A17,'Data Vlaue (Cr)'!$C:$FB,144)</f>
        <v>4311.29</v>
      </c>
      <c r="F17" s="50">
        <f>VLOOKUP($A17,'Data Vlaue (Cr)'!$C:$FB,146)*100</f>
        <v>-69.86</v>
      </c>
      <c r="G17" s="49">
        <f>VLOOKUP($A17,'Data Vlaue (Cr)'!$C:$FB,43)</f>
        <v>221</v>
      </c>
      <c r="H17" s="49">
        <f>VLOOKUP($A17,'Data Vlaue (Cr)'!$C:$FB,44)</f>
        <v>396</v>
      </c>
      <c r="I17" s="49">
        <f>VLOOKUP($A17,'Data Vlaue (Cr)'!$C:$FB,46)*100</f>
        <v>-44.190000000000005</v>
      </c>
      <c r="J17" s="51">
        <f>VLOOKUP($A17,'Data Vlaue (Cr)'!$C:$FB,59)</f>
        <v>670</v>
      </c>
      <c r="K17" s="51">
        <f>VLOOKUP($A17,'Data Vlaue (Cr)'!$C:$FB,60)</f>
        <v>2763</v>
      </c>
      <c r="L17" s="51">
        <f>VLOOKUP($A17,'Data Vlaue (Cr)'!$C:$FB,62)*100</f>
        <v>-75.760000000000005</v>
      </c>
      <c r="M17" s="51">
        <f>VLOOKUP($A17,'Data Vlaue (Cr)'!$C:$FB,63)</f>
        <v>391</v>
      </c>
      <c r="N17" s="51">
        <f>VLOOKUP($A17,'Data Vlaue (Cr)'!$C:$FB,64)</f>
        <v>1083</v>
      </c>
      <c r="O17" s="51">
        <f>VLOOKUP($A17,'Data Vlaue (Cr)'!$C:$FB,66)*100</f>
        <v>-63.91</v>
      </c>
    </row>
    <row r="18" spans="1:15" x14ac:dyDescent="0.25">
      <c r="A18" s="101" t="str">
        <f>'Data Vlaue (Cr)'!C13</f>
        <v>APLAPOLLO</v>
      </c>
      <c r="B18" s="50">
        <f>VLOOKUP($A18,'Data Vlaue (Cr)'!$C:$FB,8)</f>
        <v>2280.8000000000002</v>
      </c>
      <c r="C18" s="50">
        <f>VLOOKUP($A18,'Data Vlaue (Cr)'!$C:$FB,11)*100</f>
        <v>1.8800000000000001</v>
      </c>
      <c r="D18" s="50">
        <f>VLOOKUP($A18,'Data Vlaue (Cr)'!$C:$FB,143)</f>
        <v>1050.8900000000001</v>
      </c>
      <c r="E18" s="50">
        <f>VLOOKUP($A18,'Data Vlaue (Cr)'!$C:$FB,144)</f>
        <v>875.37</v>
      </c>
      <c r="F18" s="50">
        <f>VLOOKUP($A18,'Data Vlaue (Cr)'!$C:$FB,146)*100</f>
        <v>20.05</v>
      </c>
      <c r="G18" s="49">
        <f>VLOOKUP($A18,'Data Vlaue (Cr)'!$C:$FB,43)</f>
        <v>191</v>
      </c>
      <c r="H18" s="49">
        <f>VLOOKUP($A18,'Data Vlaue (Cr)'!$C:$FB,44)</f>
        <v>235</v>
      </c>
      <c r="I18" s="49">
        <f>VLOOKUP($A18,'Data Vlaue (Cr)'!$C:$FB,46)*100</f>
        <v>-18.78</v>
      </c>
      <c r="J18" s="51">
        <f>VLOOKUP($A18,'Data Vlaue (Cr)'!$C:$FB,59)</f>
        <v>505</v>
      </c>
      <c r="K18" s="51">
        <f>VLOOKUP($A18,'Data Vlaue (Cr)'!$C:$FB,60)</f>
        <v>384</v>
      </c>
      <c r="L18" s="51">
        <f>VLOOKUP($A18,'Data Vlaue (Cr)'!$C:$FB,62)*100</f>
        <v>31.5</v>
      </c>
      <c r="M18" s="51">
        <f>VLOOKUP($A18,'Data Vlaue (Cr)'!$C:$FB,63)</f>
        <v>361</v>
      </c>
      <c r="N18" s="51">
        <f>VLOOKUP($A18,'Data Vlaue (Cr)'!$C:$FB,64)</f>
        <v>267</v>
      </c>
      <c r="O18" s="51">
        <f>VLOOKUP($A18,'Data Vlaue (Cr)'!$C:$FB,66)*100</f>
        <v>35.06</v>
      </c>
    </row>
    <row r="19" spans="1:15" x14ac:dyDescent="0.25">
      <c r="A19" s="101" t="str">
        <f>'Data Vlaue (Cr)'!C14</f>
        <v>APOLLOHOSP</v>
      </c>
      <c r="B19" s="50">
        <f>VLOOKUP($A19,'Data Vlaue (Cr)'!$C:$FB,8)</f>
        <v>7507</v>
      </c>
      <c r="C19" s="50">
        <f>VLOOKUP($A19,'Data Vlaue (Cr)'!$C:$FB,11)*100</f>
        <v>3.9899999999999998</v>
      </c>
      <c r="D19" s="50">
        <f>VLOOKUP($A19,'Data Vlaue (Cr)'!$C:$FB,143)</f>
        <v>23753.94</v>
      </c>
      <c r="E19" s="50">
        <f>VLOOKUP($A19,'Data Vlaue (Cr)'!$C:$FB,144)</f>
        <v>4866.07</v>
      </c>
      <c r="F19" s="50">
        <f>VLOOKUP($A19,'Data Vlaue (Cr)'!$C:$FB,146)*100</f>
        <v>388.15</v>
      </c>
      <c r="G19" s="49">
        <f>VLOOKUP($A19,'Data Vlaue (Cr)'!$C:$FB,43)</f>
        <v>1398</v>
      </c>
      <c r="H19" s="49">
        <f>VLOOKUP($A19,'Data Vlaue (Cr)'!$C:$FB,44)</f>
        <v>497</v>
      </c>
      <c r="I19" s="49">
        <f>VLOOKUP($A19,'Data Vlaue (Cr)'!$C:$FB,46)*100</f>
        <v>181.34</v>
      </c>
      <c r="J19" s="51">
        <f>VLOOKUP($A19,'Data Vlaue (Cr)'!$C:$FB,59)</f>
        <v>15452</v>
      </c>
      <c r="K19" s="51">
        <f>VLOOKUP($A19,'Data Vlaue (Cr)'!$C:$FB,60)</f>
        <v>3206</v>
      </c>
      <c r="L19" s="51">
        <f>VLOOKUP($A19,'Data Vlaue (Cr)'!$C:$FB,62)*100</f>
        <v>382</v>
      </c>
      <c r="M19" s="51">
        <f>VLOOKUP($A19,'Data Vlaue (Cr)'!$C:$FB,63)</f>
        <v>6487</v>
      </c>
      <c r="N19" s="51">
        <f>VLOOKUP($A19,'Data Vlaue (Cr)'!$C:$FB,64)</f>
        <v>1234</v>
      </c>
      <c r="O19" s="51">
        <f>VLOOKUP($A19,'Data Vlaue (Cr)'!$C:$FB,66)*100</f>
        <v>425.79</v>
      </c>
    </row>
    <row r="20" spans="1:15" x14ac:dyDescent="0.25">
      <c r="A20" s="101" t="str">
        <f>'Data Vlaue (Cr)'!C15</f>
        <v>ASHOKLEY</v>
      </c>
      <c r="B20" s="50">
        <f>VLOOKUP($A20,'Data Vlaue (Cr)'!$C:$FB,8)</f>
        <v>206.35</v>
      </c>
      <c r="C20" s="50">
        <f>VLOOKUP($A20,'Data Vlaue (Cr)'!$C:$FB,11)*100</f>
        <v>-1.6099999999999999</v>
      </c>
      <c r="D20" s="50">
        <f>VLOOKUP($A20,'Data Vlaue (Cr)'!$C:$FB,143)</f>
        <v>22434.240000000002</v>
      </c>
      <c r="E20" s="50">
        <f>VLOOKUP($A20,'Data Vlaue (Cr)'!$C:$FB,144)</f>
        <v>4054.17</v>
      </c>
      <c r="F20" s="50">
        <f>VLOOKUP($A20,'Data Vlaue (Cr)'!$C:$FB,146)*100</f>
        <v>453.36</v>
      </c>
      <c r="G20" s="49">
        <f>VLOOKUP($A20,'Data Vlaue (Cr)'!$C:$FB,43)</f>
        <v>2602</v>
      </c>
      <c r="H20" s="49">
        <f>VLOOKUP($A20,'Data Vlaue (Cr)'!$C:$FB,44)</f>
        <v>681</v>
      </c>
      <c r="I20" s="49">
        <f>VLOOKUP($A20,'Data Vlaue (Cr)'!$C:$FB,46)*100</f>
        <v>281.97000000000003</v>
      </c>
      <c r="J20" s="51">
        <f>VLOOKUP($A20,'Data Vlaue (Cr)'!$C:$FB,59)</f>
        <v>12646</v>
      </c>
      <c r="K20" s="51">
        <f>VLOOKUP($A20,'Data Vlaue (Cr)'!$C:$FB,60)</f>
        <v>2477</v>
      </c>
      <c r="L20" s="51">
        <f>VLOOKUP($A20,'Data Vlaue (Cr)'!$C:$FB,62)*100</f>
        <v>410.50000000000006</v>
      </c>
      <c r="M20" s="51">
        <f>VLOOKUP($A20,'Data Vlaue (Cr)'!$C:$FB,63)</f>
        <v>6318</v>
      </c>
      <c r="N20" s="51">
        <f>VLOOKUP($A20,'Data Vlaue (Cr)'!$C:$FB,64)</f>
        <v>782</v>
      </c>
      <c r="O20" s="51">
        <f>VLOOKUP($A20,'Data Vlaue (Cr)'!$C:$FB,66)*100</f>
        <v>707.7</v>
      </c>
    </row>
    <row r="21" spans="1:15" x14ac:dyDescent="0.25">
      <c r="A21" s="101" t="str">
        <f>'Data Vlaue (Cr)'!C16</f>
        <v>ASIANPAINT</v>
      </c>
      <c r="B21" s="50">
        <f>VLOOKUP($A21,'Data Vlaue (Cr)'!$C:$FB,8)</f>
        <v>2392.5</v>
      </c>
      <c r="C21" s="50">
        <f>VLOOKUP($A21,'Data Vlaue (Cr)'!$C:$FB,11)*100</f>
        <v>-0.05</v>
      </c>
      <c r="D21" s="50">
        <f>VLOOKUP($A21,'Data Vlaue (Cr)'!$C:$FB,143)</f>
        <v>3856.63</v>
      </c>
      <c r="E21" s="50">
        <f>VLOOKUP($A21,'Data Vlaue (Cr)'!$C:$FB,144)</f>
        <v>3672.61</v>
      </c>
      <c r="F21" s="50">
        <f>VLOOKUP($A21,'Data Vlaue (Cr)'!$C:$FB,146)*100</f>
        <v>5.01</v>
      </c>
      <c r="G21" s="49">
        <f>VLOOKUP($A21,'Data Vlaue (Cr)'!$C:$FB,43)</f>
        <v>662</v>
      </c>
      <c r="H21" s="49">
        <f>VLOOKUP($A21,'Data Vlaue (Cr)'!$C:$FB,44)</f>
        <v>472</v>
      </c>
      <c r="I21" s="49">
        <f>VLOOKUP($A21,'Data Vlaue (Cr)'!$C:$FB,46)*100</f>
        <v>40.18</v>
      </c>
      <c r="J21" s="51">
        <f>VLOOKUP($A21,'Data Vlaue (Cr)'!$C:$FB,59)</f>
        <v>2200</v>
      </c>
      <c r="K21" s="51">
        <f>VLOOKUP($A21,'Data Vlaue (Cr)'!$C:$FB,60)</f>
        <v>2164</v>
      </c>
      <c r="L21" s="51">
        <f>VLOOKUP($A21,'Data Vlaue (Cr)'!$C:$FB,62)*100</f>
        <v>1.66</v>
      </c>
      <c r="M21" s="51">
        <f>VLOOKUP($A21,'Data Vlaue (Cr)'!$C:$FB,63)</f>
        <v>903</v>
      </c>
      <c r="N21" s="51">
        <f>VLOOKUP($A21,'Data Vlaue (Cr)'!$C:$FB,64)</f>
        <v>913</v>
      </c>
      <c r="O21" s="51">
        <f>VLOOKUP($A21,'Data Vlaue (Cr)'!$C:$FB,66)*100</f>
        <v>-1.0900000000000001</v>
      </c>
    </row>
    <row r="22" spans="1:15" x14ac:dyDescent="0.25">
      <c r="A22" s="101" t="str">
        <f>'Data Vlaue (Cr)'!C17</f>
        <v>ASTRAL</v>
      </c>
      <c r="B22" s="50">
        <f>VLOOKUP($A22,'Data Vlaue (Cr)'!$C:$FB,8)</f>
        <v>1592.1</v>
      </c>
      <c r="C22" s="50">
        <f>VLOOKUP($A22,'Data Vlaue (Cr)'!$C:$FB,11)*100</f>
        <v>3.91</v>
      </c>
      <c r="D22" s="50">
        <f>VLOOKUP($A22,'Data Vlaue (Cr)'!$C:$FB,143)</f>
        <v>4280.8</v>
      </c>
      <c r="E22" s="50">
        <f>VLOOKUP($A22,'Data Vlaue (Cr)'!$C:$FB,144)</f>
        <v>2994</v>
      </c>
      <c r="F22" s="50">
        <f>VLOOKUP($A22,'Data Vlaue (Cr)'!$C:$FB,146)*100</f>
        <v>42.980000000000004</v>
      </c>
      <c r="G22" s="49">
        <f>VLOOKUP($A22,'Data Vlaue (Cr)'!$C:$FB,43)</f>
        <v>606</v>
      </c>
      <c r="H22" s="49">
        <f>VLOOKUP($A22,'Data Vlaue (Cr)'!$C:$FB,44)</f>
        <v>561</v>
      </c>
      <c r="I22" s="49">
        <f>VLOOKUP($A22,'Data Vlaue (Cr)'!$C:$FB,46)*100</f>
        <v>7.9699999999999989</v>
      </c>
      <c r="J22" s="51">
        <f>VLOOKUP($A22,'Data Vlaue (Cr)'!$C:$FB,59)</f>
        <v>2857</v>
      </c>
      <c r="K22" s="51">
        <f>VLOOKUP($A22,'Data Vlaue (Cr)'!$C:$FB,60)</f>
        <v>1963</v>
      </c>
      <c r="L22" s="51">
        <f>VLOOKUP($A22,'Data Vlaue (Cr)'!$C:$FB,62)*100</f>
        <v>45.550000000000004</v>
      </c>
      <c r="M22" s="51">
        <f>VLOOKUP($A22,'Data Vlaue (Cr)'!$C:$FB,63)</f>
        <v>804</v>
      </c>
      <c r="N22" s="51">
        <f>VLOOKUP($A22,'Data Vlaue (Cr)'!$C:$FB,64)</f>
        <v>544</v>
      </c>
      <c r="O22" s="51">
        <f>VLOOKUP($A22,'Data Vlaue (Cr)'!$C:$FB,66)*100</f>
        <v>47.949999999999996</v>
      </c>
    </row>
    <row r="23" spans="1:15" x14ac:dyDescent="0.25">
      <c r="A23" s="101" t="str">
        <f>'Data Vlaue (Cr)'!C18</f>
        <v>AUBANK</v>
      </c>
      <c r="B23" s="50">
        <f>VLOOKUP($A23,'Data Vlaue (Cr)'!$C:$FB,8)</f>
        <v>990.25</v>
      </c>
      <c r="C23" s="50">
        <f>VLOOKUP($A23,'Data Vlaue (Cr)'!$C:$FB,11)*100</f>
        <v>-1.0900000000000001</v>
      </c>
      <c r="D23" s="50">
        <f>VLOOKUP($A23,'Data Vlaue (Cr)'!$C:$FB,143)</f>
        <v>1390.27</v>
      </c>
      <c r="E23" s="50">
        <f>VLOOKUP($A23,'Data Vlaue (Cr)'!$C:$FB,144)</f>
        <v>1394.12</v>
      </c>
      <c r="F23" s="50">
        <f>VLOOKUP($A23,'Data Vlaue (Cr)'!$C:$FB,146)*100</f>
        <v>-0.27999999999999997</v>
      </c>
      <c r="G23" s="49">
        <f>VLOOKUP($A23,'Data Vlaue (Cr)'!$C:$FB,43)</f>
        <v>377</v>
      </c>
      <c r="H23" s="49">
        <f>VLOOKUP($A23,'Data Vlaue (Cr)'!$C:$FB,44)</f>
        <v>309</v>
      </c>
      <c r="I23" s="49">
        <f>VLOOKUP($A23,'Data Vlaue (Cr)'!$C:$FB,46)*100</f>
        <v>21.790000000000003</v>
      </c>
      <c r="J23" s="51">
        <f>VLOOKUP($A23,'Data Vlaue (Cr)'!$C:$FB,59)</f>
        <v>653</v>
      </c>
      <c r="K23" s="51">
        <f>VLOOKUP($A23,'Data Vlaue (Cr)'!$C:$FB,60)</f>
        <v>672</v>
      </c>
      <c r="L23" s="51">
        <f>VLOOKUP($A23,'Data Vlaue (Cr)'!$C:$FB,62)*100</f>
        <v>-2.85</v>
      </c>
      <c r="M23" s="51">
        <f>VLOOKUP($A23,'Data Vlaue (Cr)'!$C:$FB,63)</f>
        <v>333</v>
      </c>
      <c r="N23" s="51">
        <f>VLOOKUP($A23,'Data Vlaue (Cr)'!$C:$FB,64)</f>
        <v>381</v>
      </c>
      <c r="O23" s="51">
        <f>VLOOKUP($A23,'Data Vlaue (Cr)'!$C:$FB,66)*100</f>
        <v>-12.65</v>
      </c>
    </row>
    <row r="24" spans="1:15" x14ac:dyDescent="0.25">
      <c r="A24" s="101" t="str">
        <f>'Data Vlaue (Cr)'!C19</f>
        <v>AUROPHARMA</v>
      </c>
      <c r="B24" s="50">
        <f>VLOOKUP($A24,'Data Vlaue (Cr)'!$C:$FB,8)</f>
        <v>1146.5999999999999</v>
      </c>
      <c r="C24" s="50">
        <f>VLOOKUP($A24,'Data Vlaue (Cr)'!$C:$FB,11)*100</f>
        <v>2</v>
      </c>
      <c r="D24" s="50">
        <f>VLOOKUP($A24,'Data Vlaue (Cr)'!$C:$FB,143)</f>
        <v>7435.54</v>
      </c>
      <c r="E24" s="50">
        <f>VLOOKUP($A24,'Data Vlaue (Cr)'!$C:$FB,144)</f>
        <v>13713.86</v>
      </c>
      <c r="F24" s="50">
        <f>VLOOKUP($A24,'Data Vlaue (Cr)'!$C:$FB,146)*100</f>
        <v>-45.78</v>
      </c>
      <c r="G24" s="49">
        <f>VLOOKUP($A24,'Data Vlaue (Cr)'!$C:$FB,43)</f>
        <v>841</v>
      </c>
      <c r="H24" s="49">
        <f>VLOOKUP($A24,'Data Vlaue (Cr)'!$C:$FB,44)</f>
        <v>1693</v>
      </c>
      <c r="I24" s="49">
        <f>VLOOKUP($A24,'Data Vlaue (Cr)'!$C:$FB,46)*100</f>
        <v>-50.360000000000007</v>
      </c>
      <c r="J24" s="51">
        <f>VLOOKUP($A24,'Data Vlaue (Cr)'!$C:$FB,59)</f>
        <v>4308</v>
      </c>
      <c r="K24" s="51">
        <f>VLOOKUP($A24,'Data Vlaue (Cr)'!$C:$FB,60)</f>
        <v>6612</v>
      </c>
      <c r="L24" s="51">
        <f>VLOOKUP($A24,'Data Vlaue (Cr)'!$C:$FB,62)*100</f>
        <v>-34.849999999999994</v>
      </c>
      <c r="M24" s="51">
        <f>VLOOKUP($A24,'Data Vlaue (Cr)'!$C:$FB,63)</f>
        <v>2110</v>
      </c>
      <c r="N24" s="51">
        <f>VLOOKUP($A24,'Data Vlaue (Cr)'!$C:$FB,64)</f>
        <v>4972</v>
      </c>
      <c r="O24" s="51">
        <f>VLOOKUP($A24,'Data Vlaue (Cr)'!$C:$FB,66)*100</f>
        <v>-57.56</v>
      </c>
    </row>
    <row r="25" spans="1:15" x14ac:dyDescent="0.25">
      <c r="A25" s="101" t="str">
        <f>'Data Vlaue (Cr)'!C20</f>
        <v>AXISBANK</v>
      </c>
      <c r="B25" s="50">
        <f>VLOOKUP($A25,'Data Vlaue (Cr)'!$C:$FB,8)</f>
        <v>1347.3</v>
      </c>
      <c r="C25" s="50">
        <f>VLOOKUP($A25,'Data Vlaue (Cr)'!$C:$FB,11)*100</f>
        <v>-0.69</v>
      </c>
      <c r="D25" s="50">
        <f>VLOOKUP($A25,'Data Vlaue (Cr)'!$C:$FB,143)</f>
        <v>4779.74</v>
      </c>
      <c r="E25" s="50">
        <f>VLOOKUP($A25,'Data Vlaue (Cr)'!$C:$FB,144)</f>
        <v>8028.18</v>
      </c>
      <c r="F25" s="50">
        <f>VLOOKUP($A25,'Data Vlaue (Cr)'!$C:$FB,146)*100</f>
        <v>-40.46</v>
      </c>
      <c r="G25" s="49">
        <f>VLOOKUP($A25,'Data Vlaue (Cr)'!$C:$FB,43)</f>
        <v>479</v>
      </c>
      <c r="H25" s="49">
        <f>VLOOKUP($A25,'Data Vlaue (Cr)'!$C:$FB,44)</f>
        <v>699</v>
      </c>
      <c r="I25" s="49">
        <f>VLOOKUP($A25,'Data Vlaue (Cr)'!$C:$FB,46)*100</f>
        <v>-31.509999999999998</v>
      </c>
      <c r="J25" s="51">
        <f>VLOOKUP($A25,'Data Vlaue (Cr)'!$C:$FB,59)</f>
        <v>2467</v>
      </c>
      <c r="K25" s="51">
        <f>VLOOKUP($A25,'Data Vlaue (Cr)'!$C:$FB,60)</f>
        <v>4736</v>
      </c>
      <c r="L25" s="51">
        <f>VLOOKUP($A25,'Data Vlaue (Cr)'!$C:$FB,62)*100</f>
        <v>-47.910000000000004</v>
      </c>
      <c r="M25" s="51">
        <f>VLOOKUP($A25,'Data Vlaue (Cr)'!$C:$FB,63)</f>
        <v>1810</v>
      </c>
      <c r="N25" s="51">
        <f>VLOOKUP($A25,'Data Vlaue (Cr)'!$C:$FB,64)</f>
        <v>2501</v>
      </c>
      <c r="O25" s="51">
        <f>VLOOKUP($A25,'Data Vlaue (Cr)'!$C:$FB,66)*100</f>
        <v>-27.6</v>
      </c>
    </row>
    <row r="26" spans="1:15" x14ac:dyDescent="0.25">
      <c r="A26" s="101" t="str">
        <f>'Data Vlaue (Cr)'!C21</f>
        <v>BAJAJ-AUTO</v>
      </c>
      <c r="B26" s="50">
        <f>VLOOKUP($A26,'Data Vlaue (Cr)'!$C:$FB,8)</f>
        <v>9869.5</v>
      </c>
      <c r="C26" s="50">
        <f>VLOOKUP($A26,'Data Vlaue (Cr)'!$C:$FB,11)*100</f>
        <v>0.98</v>
      </c>
      <c r="D26" s="50">
        <f>VLOOKUP($A26,'Data Vlaue (Cr)'!$C:$FB,143)</f>
        <v>5182.75</v>
      </c>
      <c r="E26" s="50">
        <f>VLOOKUP($A26,'Data Vlaue (Cr)'!$C:$FB,144)</f>
        <v>8875.15</v>
      </c>
      <c r="F26" s="50">
        <f>VLOOKUP($A26,'Data Vlaue (Cr)'!$C:$FB,146)*100</f>
        <v>-41.6</v>
      </c>
      <c r="G26" s="49">
        <f>VLOOKUP($A26,'Data Vlaue (Cr)'!$C:$FB,43)</f>
        <v>394</v>
      </c>
      <c r="H26" s="49">
        <f>VLOOKUP($A26,'Data Vlaue (Cr)'!$C:$FB,44)</f>
        <v>585</v>
      </c>
      <c r="I26" s="49">
        <f>VLOOKUP($A26,'Data Vlaue (Cr)'!$C:$FB,46)*100</f>
        <v>-32.659999999999997</v>
      </c>
      <c r="J26" s="51">
        <f>VLOOKUP($A26,'Data Vlaue (Cr)'!$C:$FB,59)</f>
        <v>3367</v>
      </c>
      <c r="K26" s="51">
        <f>VLOOKUP($A26,'Data Vlaue (Cr)'!$C:$FB,60)</f>
        <v>6089</v>
      </c>
      <c r="L26" s="51">
        <f>VLOOKUP($A26,'Data Vlaue (Cr)'!$C:$FB,62)*100</f>
        <v>-44.7</v>
      </c>
      <c r="M26" s="51">
        <f>VLOOKUP($A26,'Data Vlaue (Cr)'!$C:$FB,63)</f>
        <v>1357</v>
      </c>
      <c r="N26" s="51">
        <f>VLOOKUP($A26,'Data Vlaue (Cr)'!$C:$FB,64)</f>
        <v>2111</v>
      </c>
      <c r="O26" s="51">
        <f>VLOOKUP($A26,'Data Vlaue (Cr)'!$C:$FB,66)*100</f>
        <v>-35.730000000000004</v>
      </c>
    </row>
    <row r="27" spans="1:15" x14ac:dyDescent="0.25">
      <c r="A27" s="101" t="str">
        <f>'Data Vlaue (Cr)'!C22</f>
        <v>BAJAJFINSV</v>
      </c>
      <c r="B27" s="50">
        <f>VLOOKUP($A27,'Data Vlaue (Cr)'!$C:$FB,8)</f>
        <v>2027</v>
      </c>
      <c r="C27" s="50">
        <f>VLOOKUP($A27,'Data Vlaue (Cr)'!$C:$FB,11)*100</f>
        <v>-0.04</v>
      </c>
      <c r="D27" s="50">
        <f>VLOOKUP($A27,'Data Vlaue (Cr)'!$C:$FB,143)</f>
        <v>2298.27</v>
      </c>
      <c r="E27" s="50">
        <f>VLOOKUP($A27,'Data Vlaue (Cr)'!$C:$FB,144)</f>
        <v>1458.82</v>
      </c>
      <c r="F27" s="50">
        <f>VLOOKUP($A27,'Data Vlaue (Cr)'!$C:$FB,146)*100</f>
        <v>57.54</v>
      </c>
      <c r="G27" s="49">
        <f>VLOOKUP($A27,'Data Vlaue (Cr)'!$C:$FB,43)</f>
        <v>152</v>
      </c>
      <c r="H27" s="49">
        <f>VLOOKUP($A27,'Data Vlaue (Cr)'!$C:$FB,44)</f>
        <v>189</v>
      </c>
      <c r="I27" s="49">
        <f>VLOOKUP($A27,'Data Vlaue (Cr)'!$C:$FB,46)*100</f>
        <v>-19.689999999999998</v>
      </c>
      <c r="J27" s="51">
        <f>VLOOKUP($A27,'Data Vlaue (Cr)'!$C:$FB,59)</f>
        <v>1527</v>
      </c>
      <c r="K27" s="51">
        <f>VLOOKUP($A27,'Data Vlaue (Cr)'!$C:$FB,60)</f>
        <v>785</v>
      </c>
      <c r="L27" s="51">
        <f>VLOOKUP($A27,'Data Vlaue (Cr)'!$C:$FB,62)*100</f>
        <v>94.44</v>
      </c>
      <c r="M27" s="51">
        <f>VLOOKUP($A27,'Data Vlaue (Cr)'!$C:$FB,63)</f>
        <v>585</v>
      </c>
      <c r="N27" s="51">
        <f>VLOOKUP($A27,'Data Vlaue (Cr)'!$C:$FB,64)</f>
        <v>473</v>
      </c>
      <c r="O27" s="51">
        <f>VLOOKUP($A27,'Data Vlaue (Cr)'!$C:$FB,66)*100</f>
        <v>23.62</v>
      </c>
    </row>
    <row r="28" spans="1:15" x14ac:dyDescent="0.25">
      <c r="A28" s="101" t="str">
        <f>'Data Vlaue (Cr)'!C23</f>
        <v>BAJAJHLDNG</v>
      </c>
      <c r="B28" s="50">
        <f>VLOOKUP($A28,'Data Vlaue (Cr)'!$C:$FB,8)</f>
        <v>11111</v>
      </c>
      <c r="C28" s="50">
        <f>VLOOKUP($A28,'Data Vlaue (Cr)'!$C:$FB,11)*100</f>
        <v>0.27</v>
      </c>
      <c r="D28" s="50">
        <f>VLOOKUP($A28,'Data Vlaue (Cr)'!$C:$FB,143)</f>
        <v>180.19</v>
      </c>
      <c r="E28" s="50">
        <f>VLOOKUP($A28,'Data Vlaue (Cr)'!$C:$FB,144)</f>
        <v>189.65</v>
      </c>
      <c r="F28" s="50">
        <f>VLOOKUP($A28,'Data Vlaue (Cr)'!$C:$FB,146)*100</f>
        <v>-4.99</v>
      </c>
      <c r="G28" s="49">
        <f>VLOOKUP($A28,'Data Vlaue (Cr)'!$C:$FB,43)</f>
        <v>29</v>
      </c>
      <c r="H28" s="49">
        <f>VLOOKUP($A28,'Data Vlaue (Cr)'!$C:$FB,44)</f>
        <v>33</v>
      </c>
      <c r="I28" s="49">
        <f>VLOOKUP($A28,'Data Vlaue (Cr)'!$C:$FB,46)*100</f>
        <v>-12.46</v>
      </c>
      <c r="J28" s="51">
        <f>VLOOKUP($A28,'Data Vlaue (Cr)'!$C:$FB,59)</f>
        <v>134</v>
      </c>
      <c r="K28" s="51">
        <f>VLOOKUP($A28,'Data Vlaue (Cr)'!$C:$FB,60)</f>
        <v>137</v>
      </c>
      <c r="L28" s="51">
        <f>VLOOKUP($A28,'Data Vlaue (Cr)'!$C:$FB,62)*100</f>
        <v>-1.79</v>
      </c>
      <c r="M28" s="51">
        <f>VLOOKUP($A28,'Data Vlaue (Cr)'!$C:$FB,63)</f>
        <v>10</v>
      </c>
      <c r="N28" s="51">
        <f>VLOOKUP($A28,'Data Vlaue (Cr)'!$C:$FB,64)</f>
        <v>12</v>
      </c>
      <c r="O28" s="51">
        <f>VLOOKUP($A28,'Data Vlaue (Cr)'!$C:$FB,66)*100</f>
        <v>-19.25</v>
      </c>
    </row>
    <row r="29" spans="1:15" x14ac:dyDescent="0.25">
      <c r="A29" s="101" t="str">
        <f>'Data Vlaue (Cr)'!C24</f>
        <v>BAJFINANCE</v>
      </c>
      <c r="B29" s="50">
        <f>VLOOKUP($A29,'Data Vlaue (Cr)'!$C:$FB,8)</f>
        <v>968.95</v>
      </c>
      <c r="C29" s="50">
        <f>VLOOKUP($A29,'Data Vlaue (Cr)'!$C:$FB,11)*100</f>
        <v>0.35000000000000003</v>
      </c>
      <c r="D29" s="50">
        <f>VLOOKUP($A29,'Data Vlaue (Cr)'!$C:$FB,143)</f>
        <v>3659.14</v>
      </c>
      <c r="E29" s="50">
        <f>VLOOKUP($A29,'Data Vlaue (Cr)'!$C:$FB,144)</f>
        <v>4342.6400000000003</v>
      </c>
      <c r="F29" s="50">
        <f>VLOOKUP($A29,'Data Vlaue (Cr)'!$C:$FB,146)*100</f>
        <v>-15.740000000000002</v>
      </c>
      <c r="G29" s="49">
        <f>VLOOKUP($A29,'Data Vlaue (Cr)'!$C:$FB,43)</f>
        <v>513</v>
      </c>
      <c r="H29" s="49">
        <f>VLOOKUP($A29,'Data Vlaue (Cr)'!$C:$FB,44)</f>
        <v>618</v>
      </c>
      <c r="I29" s="49">
        <f>VLOOKUP($A29,'Data Vlaue (Cr)'!$C:$FB,46)*100</f>
        <v>-16.96</v>
      </c>
      <c r="J29" s="51">
        <f>VLOOKUP($A29,'Data Vlaue (Cr)'!$C:$FB,59)</f>
        <v>1940</v>
      </c>
      <c r="K29" s="51">
        <f>VLOOKUP($A29,'Data Vlaue (Cr)'!$C:$FB,60)</f>
        <v>2158</v>
      </c>
      <c r="L29" s="51">
        <f>VLOOKUP($A29,'Data Vlaue (Cr)'!$C:$FB,62)*100</f>
        <v>-10.130000000000001</v>
      </c>
      <c r="M29" s="51">
        <f>VLOOKUP($A29,'Data Vlaue (Cr)'!$C:$FB,63)</f>
        <v>1143</v>
      </c>
      <c r="N29" s="51">
        <f>VLOOKUP($A29,'Data Vlaue (Cr)'!$C:$FB,64)</f>
        <v>1488</v>
      </c>
      <c r="O29" s="51">
        <f>VLOOKUP($A29,'Data Vlaue (Cr)'!$C:$FB,66)*100</f>
        <v>-23.200000000000003</v>
      </c>
    </row>
    <row r="30" spans="1:15" x14ac:dyDescent="0.25">
      <c r="A30" s="101" t="str">
        <f>'Data Vlaue (Cr)'!C25</f>
        <v>BANDHANBNK</v>
      </c>
      <c r="B30" s="50">
        <f>VLOOKUP($A30,'Data Vlaue (Cr)'!$C:$FB,8)</f>
        <v>168.26</v>
      </c>
      <c r="C30" s="50">
        <f>VLOOKUP($A30,'Data Vlaue (Cr)'!$C:$FB,11)*100</f>
        <v>0.94000000000000006</v>
      </c>
      <c r="D30" s="50">
        <f>VLOOKUP($A30,'Data Vlaue (Cr)'!$C:$FB,143)</f>
        <v>1229.79</v>
      </c>
      <c r="E30" s="50">
        <f>VLOOKUP($A30,'Data Vlaue (Cr)'!$C:$FB,144)</f>
        <v>1690.85</v>
      </c>
      <c r="F30" s="50">
        <f>VLOOKUP($A30,'Data Vlaue (Cr)'!$C:$FB,146)*100</f>
        <v>-27.27</v>
      </c>
      <c r="G30" s="49">
        <f>VLOOKUP($A30,'Data Vlaue (Cr)'!$C:$FB,43)</f>
        <v>328</v>
      </c>
      <c r="H30" s="49">
        <f>VLOOKUP($A30,'Data Vlaue (Cr)'!$C:$FB,44)</f>
        <v>370</v>
      </c>
      <c r="I30" s="49">
        <f>VLOOKUP($A30,'Data Vlaue (Cr)'!$C:$FB,46)*100</f>
        <v>-11.42</v>
      </c>
      <c r="J30" s="51">
        <f>VLOOKUP($A30,'Data Vlaue (Cr)'!$C:$FB,59)</f>
        <v>545</v>
      </c>
      <c r="K30" s="51">
        <f>VLOOKUP($A30,'Data Vlaue (Cr)'!$C:$FB,60)</f>
        <v>935</v>
      </c>
      <c r="L30" s="51">
        <f>VLOOKUP($A30,'Data Vlaue (Cr)'!$C:$FB,62)*100</f>
        <v>-41.699999999999996</v>
      </c>
      <c r="M30" s="51">
        <f>VLOOKUP($A30,'Data Vlaue (Cr)'!$C:$FB,63)</f>
        <v>342</v>
      </c>
      <c r="N30" s="51">
        <f>VLOOKUP($A30,'Data Vlaue (Cr)'!$C:$FB,64)</f>
        <v>382</v>
      </c>
      <c r="O30" s="51">
        <f>VLOOKUP($A30,'Data Vlaue (Cr)'!$C:$FB,66)*100</f>
        <v>-10.48</v>
      </c>
    </row>
    <row r="31" spans="1:15" x14ac:dyDescent="0.25">
      <c r="A31" s="101" t="str">
        <f>'Data Vlaue (Cr)'!C26</f>
        <v>BANKBARODA</v>
      </c>
      <c r="B31" s="50">
        <f>VLOOKUP($A31,'Data Vlaue (Cr)'!$C:$FB,8)</f>
        <v>291.2</v>
      </c>
      <c r="C31" s="50">
        <f>VLOOKUP($A31,'Data Vlaue (Cr)'!$C:$FB,11)*100</f>
        <v>0.28999999999999998</v>
      </c>
      <c r="D31" s="50">
        <f>VLOOKUP($A31,'Data Vlaue (Cr)'!$C:$FB,143)</f>
        <v>3017.24</v>
      </c>
      <c r="E31" s="50">
        <f>VLOOKUP($A31,'Data Vlaue (Cr)'!$C:$FB,144)</f>
        <v>1472.24</v>
      </c>
      <c r="F31" s="50">
        <f>VLOOKUP($A31,'Data Vlaue (Cr)'!$C:$FB,146)*100</f>
        <v>104.94000000000001</v>
      </c>
      <c r="G31" s="49">
        <f>VLOOKUP($A31,'Data Vlaue (Cr)'!$C:$FB,43)</f>
        <v>475</v>
      </c>
      <c r="H31" s="49">
        <f>VLOOKUP($A31,'Data Vlaue (Cr)'!$C:$FB,44)</f>
        <v>341</v>
      </c>
      <c r="I31" s="49">
        <f>VLOOKUP($A31,'Data Vlaue (Cr)'!$C:$FB,46)*100</f>
        <v>39.550000000000004</v>
      </c>
      <c r="J31" s="51">
        <f>VLOOKUP($A31,'Data Vlaue (Cr)'!$C:$FB,59)</f>
        <v>1800</v>
      </c>
      <c r="K31" s="51">
        <f>VLOOKUP($A31,'Data Vlaue (Cr)'!$C:$FB,60)</f>
        <v>739</v>
      </c>
      <c r="L31" s="51">
        <f>VLOOKUP($A31,'Data Vlaue (Cr)'!$C:$FB,62)*100</f>
        <v>143.72</v>
      </c>
      <c r="M31" s="51">
        <f>VLOOKUP($A31,'Data Vlaue (Cr)'!$C:$FB,63)</f>
        <v>667</v>
      </c>
      <c r="N31" s="51">
        <f>VLOOKUP($A31,'Data Vlaue (Cr)'!$C:$FB,64)</f>
        <v>360</v>
      </c>
      <c r="O31" s="51">
        <f>VLOOKUP($A31,'Data Vlaue (Cr)'!$C:$FB,66)*100</f>
        <v>85.37</v>
      </c>
    </row>
    <row r="32" spans="1:15" x14ac:dyDescent="0.25">
      <c r="A32" s="101" t="str">
        <f>'Data Vlaue (Cr)'!C27</f>
        <v>BANKINDIA</v>
      </c>
      <c r="B32" s="50">
        <f>VLOOKUP($A32,'Data Vlaue (Cr)'!$C:$FB,8)</f>
        <v>167.13</v>
      </c>
      <c r="C32" s="50">
        <f>VLOOKUP($A32,'Data Vlaue (Cr)'!$C:$FB,11)*100</f>
        <v>-0.26</v>
      </c>
      <c r="D32" s="50">
        <f>VLOOKUP($A32,'Data Vlaue (Cr)'!$C:$FB,143)</f>
        <v>868.83</v>
      </c>
      <c r="E32" s="50">
        <f>VLOOKUP($A32,'Data Vlaue (Cr)'!$C:$FB,144)</f>
        <v>589.55999999999995</v>
      </c>
      <c r="F32" s="50">
        <f>VLOOKUP($A32,'Data Vlaue (Cr)'!$C:$FB,146)*100</f>
        <v>47.370000000000005</v>
      </c>
      <c r="G32" s="49">
        <f>VLOOKUP($A32,'Data Vlaue (Cr)'!$C:$FB,43)</f>
        <v>235</v>
      </c>
      <c r="H32" s="49">
        <f>VLOOKUP($A32,'Data Vlaue (Cr)'!$C:$FB,44)</f>
        <v>179</v>
      </c>
      <c r="I32" s="49">
        <f>VLOOKUP($A32,'Data Vlaue (Cr)'!$C:$FB,46)*100</f>
        <v>31.5</v>
      </c>
      <c r="J32" s="51">
        <f>VLOOKUP($A32,'Data Vlaue (Cr)'!$C:$FB,59)</f>
        <v>406</v>
      </c>
      <c r="K32" s="51">
        <f>VLOOKUP($A32,'Data Vlaue (Cr)'!$C:$FB,60)</f>
        <v>253</v>
      </c>
      <c r="L32" s="51">
        <f>VLOOKUP($A32,'Data Vlaue (Cr)'!$C:$FB,62)*100</f>
        <v>60.550000000000004</v>
      </c>
      <c r="M32" s="51">
        <f>VLOOKUP($A32,'Data Vlaue (Cr)'!$C:$FB,63)</f>
        <v>220</v>
      </c>
      <c r="N32" s="51">
        <f>VLOOKUP($A32,'Data Vlaue (Cr)'!$C:$FB,64)</f>
        <v>149</v>
      </c>
      <c r="O32" s="51">
        <f>VLOOKUP($A32,'Data Vlaue (Cr)'!$C:$FB,66)*100</f>
        <v>47.410000000000004</v>
      </c>
    </row>
    <row r="33" spans="1:15" x14ac:dyDescent="0.25">
      <c r="A33" s="101" t="str">
        <f>'Data Vlaue (Cr)'!C28</f>
        <v>BANKNIFTY</v>
      </c>
      <c r="B33" s="50">
        <f>VLOOKUP($A33,'Data Vlaue (Cr)'!$C:$FB,8)</f>
        <v>60745.35</v>
      </c>
      <c r="C33" s="50">
        <f>VLOOKUP($A33,'Data Vlaue (Cr)'!$C:$FB,11)*100</f>
        <v>0.2</v>
      </c>
      <c r="D33" s="50">
        <f>VLOOKUP($A33,'Data Vlaue (Cr)'!$C:$FB,143)</f>
        <v>420591.72</v>
      </c>
      <c r="E33" s="50">
        <f>VLOOKUP($A33,'Data Vlaue (Cr)'!$C:$FB,144)</f>
        <v>338600.26</v>
      </c>
      <c r="F33" s="50">
        <f>VLOOKUP($A33,'Data Vlaue (Cr)'!$C:$FB,146)*100</f>
        <v>24.21</v>
      </c>
      <c r="G33" s="49">
        <f>VLOOKUP($A33,'Data Vlaue (Cr)'!$C:$FB,43)</f>
        <v>3192</v>
      </c>
      <c r="H33" s="49">
        <f>VLOOKUP($A33,'Data Vlaue (Cr)'!$C:$FB,44)</f>
        <v>3298</v>
      </c>
      <c r="I33" s="49">
        <f>VLOOKUP($A33,'Data Vlaue (Cr)'!$C:$FB,46)*100</f>
        <v>-3.19</v>
      </c>
      <c r="J33" s="51">
        <f>VLOOKUP($A33,'Data Vlaue (Cr)'!$C:$FB,59)</f>
        <v>198395</v>
      </c>
      <c r="K33" s="51">
        <f>VLOOKUP($A33,'Data Vlaue (Cr)'!$C:$FB,60)</f>
        <v>168979</v>
      </c>
      <c r="L33" s="51">
        <f>VLOOKUP($A33,'Data Vlaue (Cr)'!$C:$FB,62)*100</f>
        <v>17.41</v>
      </c>
      <c r="M33" s="51">
        <f>VLOOKUP($A33,'Data Vlaue (Cr)'!$C:$FB,63)</f>
        <v>219224</v>
      </c>
      <c r="N33" s="51">
        <f>VLOOKUP($A33,'Data Vlaue (Cr)'!$C:$FB,64)</f>
        <v>165962</v>
      </c>
      <c r="O33" s="51">
        <f>VLOOKUP($A33,'Data Vlaue (Cr)'!$C:$FB,66)*100</f>
        <v>32.090000000000003</v>
      </c>
    </row>
    <row r="34" spans="1:15" x14ac:dyDescent="0.25">
      <c r="A34" s="101" t="str">
        <f>'Data Vlaue (Cr)'!C29</f>
        <v>BDL</v>
      </c>
      <c r="B34" s="50">
        <f>VLOOKUP($A34,'Data Vlaue (Cr)'!$C:$FB,8)</f>
        <v>1282.5999999999999</v>
      </c>
      <c r="C34" s="50">
        <f>VLOOKUP($A34,'Data Vlaue (Cr)'!$C:$FB,11)*100</f>
        <v>-1.34</v>
      </c>
      <c r="D34" s="50">
        <f>VLOOKUP($A34,'Data Vlaue (Cr)'!$C:$FB,143)</f>
        <v>1434.26</v>
      </c>
      <c r="E34" s="50">
        <f>VLOOKUP($A34,'Data Vlaue (Cr)'!$C:$FB,144)</f>
        <v>1517.91</v>
      </c>
      <c r="F34" s="50">
        <f>VLOOKUP($A34,'Data Vlaue (Cr)'!$C:$FB,146)*100</f>
        <v>-5.5100000000000007</v>
      </c>
      <c r="G34" s="49">
        <f>VLOOKUP($A34,'Data Vlaue (Cr)'!$C:$FB,43)</f>
        <v>152</v>
      </c>
      <c r="H34" s="49">
        <f>VLOOKUP($A34,'Data Vlaue (Cr)'!$C:$FB,44)</f>
        <v>216</v>
      </c>
      <c r="I34" s="49">
        <f>VLOOKUP($A34,'Data Vlaue (Cr)'!$C:$FB,46)*100</f>
        <v>-29.81</v>
      </c>
      <c r="J34" s="51">
        <f>VLOOKUP($A34,'Data Vlaue (Cr)'!$C:$FB,59)</f>
        <v>956</v>
      </c>
      <c r="K34" s="51">
        <f>VLOOKUP($A34,'Data Vlaue (Cr)'!$C:$FB,60)</f>
        <v>948</v>
      </c>
      <c r="L34" s="51">
        <f>VLOOKUP($A34,'Data Vlaue (Cr)'!$C:$FB,62)*100</f>
        <v>0.82000000000000006</v>
      </c>
      <c r="M34" s="51">
        <f>VLOOKUP($A34,'Data Vlaue (Cr)'!$C:$FB,63)</f>
        <v>214</v>
      </c>
      <c r="N34" s="51">
        <f>VLOOKUP($A34,'Data Vlaue (Cr)'!$C:$FB,64)</f>
        <v>249</v>
      </c>
      <c r="O34" s="51">
        <f>VLOOKUP($A34,'Data Vlaue (Cr)'!$C:$FB,66)*100</f>
        <v>-14.14</v>
      </c>
    </row>
    <row r="35" spans="1:15" x14ac:dyDescent="0.25">
      <c r="A35" s="101" t="str">
        <f>'Data Vlaue (Cr)'!C30</f>
        <v>BEL</v>
      </c>
      <c r="B35" s="50">
        <f>VLOOKUP($A35,'Data Vlaue (Cr)'!$C:$FB,8)</f>
        <v>437.55</v>
      </c>
      <c r="C35" s="50">
        <f>VLOOKUP($A35,'Data Vlaue (Cr)'!$C:$FB,11)*100</f>
        <v>0.06</v>
      </c>
      <c r="D35" s="50">
        <f>VLOOKUP($A35,'Data Vlaue (Cr)'!$C:$FB,143)</f>
        <v>3810.88</v>
      </c>
      <c r="E35" s="50">
        <f>VLOOKUP($A35,'Data Vlaue (Cr)'!$C:$FB,144)</f>
        <v>5423.39</v>
      </c>
      <c r="F35" s="50">
        <f>VLOOKUP($A35,'Data Vlaue (Cr)'!$C:$FB,146)*100</f>
        <v>-29.73</v>
      </c>
      <c r="G35" s="49">
        <f>VLOOKUP($A35,'Data Vlaue (Cr)'!$C:$FB,43)</f>
        <v>374</v>
      </c>
      <c r="H35" s="49">
        <f>VLOOKUP($A35,'Data Vlaue (Cr)'!$C:$FB,44)</f>
        <v>529</v>
      </c>
      <c r="I35" s="49">
        <f>VLOOKUP($A35,'Data Vlaue (Cr)'!$C:$FB,46)*100</f>
        <v>-29.25</v>
      </c>
      <c r="J35" s="51">
        <f>VLOOKUP($A35,'Data Vlaue (Cr)'!$C:$FB,59)</f>
        <v>2458</v>
      </c>
      <c r="K35" s="51">
        <f>VLOOKUP($A35,'Data Vlaue (Cr)'!$C:$FB,60)</f>
        <v>3450</v>
      </c>
      <c r="L35" s="51">
        <f>VLOOKUP($A35,'Data Vlaue (Cr)'!$C:$FB,62)*100</f>
        <v>-28.749999999999996</v>
      </c>
      <c r="M35" s="51">
        <f>VLOOKUP($A35,'Data Vlaue (Cr)'!$C:$FB,63)</f>
        <v>809</v>
      </c>
      <c r="N35" s="51">
        <f>VLOOKUP($A35,'Data Vlaue (Cr)'!$C:$FB,64)</f>
        <v>1244</v>
      </c>
      <c r="O35" s="51">
        <f>VLOOKUP($A35,'Data Vlaue (Cr)'!$C:$FB,66)*100</f>
        <v>-34.949999999999996</v>
      </c>
    </row>
    <row r="36" spans="1:15" x14ac:dyDescent="0.25">
      <c r="A36" s="101" t="str">
        <f>'Data Vlaue (Cr)'!C31</f>
        <v>BHARATFORG</v>
      </c>
      <c r="B36" s="50">
        <f>VLOOKUP($A36,'Data Vlaue (Cr)'!$C:$FB,8)</f>
        <v>1676.4</v>
      </c>
      <c r="C36" s="50">
        <f>VLOOKUP($A36,'Data Vlaue (Cr)'!$C:$FB,11)*100</f>
        <v>3.8699999999999997</v>
      </c>
      <c r="D36" s="50">
        <f>VLOOKUP($A36,'Data Vlaue (Cr)'!$C:$FB,143)</f>
        <v>3867.38</v>
      </c>
      <c r="E36" s="50">
        <f>VLOOKUP($A36,'Data Vlaue (Cr)'!$C:$FB,144)</f>
        <v>1111.46</v>
      </c>
      <c r="F36" s="50">
        <f>VLOOKUP($A36,'Data Vlaue (Cr)'!$C:$FB,146)*100</f>
        <v>247.96</v>
      </c>
      <c r="G36" s="49">
        <f>VLOOKUP($A36,'Data Vlaue (Cr)'!$C:$FB,43)</f>
        <v>604</v>
      </c>
      <c r="H36" s="49">
        <f>VLOOKUP($A36,'Data Vlaue (Cr)'!$C:$FB,44)</f>
        <v>200</v>
      </c>
      <c r="I36" s="49">
        <f>VLOOKUP($A36,'Data Vlaue (Cr)'!$C:$FB,46)*100</f>
        <v>202.35</v>
      </c>
      <c r="J36" s="51">
        <f>VLOOKUP($A36,'Data Vlaue (Cr)'!$C:$FB,59)</f>
        <v>2412</v>
      </c>
      <c r="K36" s="51">
        <f>VLOOKUP($A36,'Data Vlaue (Cr)'!$C:$FB,60)</f>
        <v>679</v>
      </c>
      <c r="L36" s="51">
        <f>VLOOKUP($A36,'Data Vlaue (Cr)'!$C:$FB,62)*100</f>
        <v>255.47</v>
      </c>
      <c r="M36" s="51">
        <f>VLOOKUP($A36,'Data Vlaue (Cr)'!$C:$FB,63)</f>
        <v>806</v>
      </c>
      <c r="N36" s="51">
        <f>VLOOKUP($A36,'Data Vlaue (Cr)'!$C:$FB,64)</f>
        <v>260</v>
      </c>
      <c r="O36" s="51">
        <f>VLOOKUP($A36,'Data Vlaue (Cr)'!$C:$FB,66)*100</f>
        <v>209.85</v>
      </c>
    </row>
    <row r="37" spans="1:15" x14ac:dyDescent="0.25">
      <c r="A37" s="101" t="str">
        <f>'Data Vlaue (Cr)'!C32</f>
        <v>BHARTIARTL</v>
      </c>
      <c r="B37" s="50">
        <f>VLOOKUP($A37,'Data Vlaue (Cr)'!$C:$FB,8)</f>
        <v>2012.1</v>
      </c>
      <c r="C37" s="50">
        <f>VLOOKUP($A37,'Data Vlaue (Cr)'!$C:$FB,11)*100</f>
        <v>0.04</v>
      </c>
      <c r="D37" s="50">
        <f>VLOOKUP($A37,'Data Vlaue (Cr)'!$C:$FB,143)</f>
        <v>8053.45</v>
      </c>
      <c r="E37" s="50">
        <f>VLOOKUP($A37,'Data Vlaue (Cr)'!$C:$FB,144)</f>
        <v>8024.67</v>
      </c>
      <c r="F37" s="50">
        <f>VLOOKUP($A37,'Data Vlaue (Cr)'!$C:$FB,146)*100</f>
        <v>0.36</v>
      </c>
      <c r="G37" s="49">
        <f>VLOOKUP($A37,'Data Vlaue (Cr)'!$C:$FB,43)</f>
        <v>718</v>
      </c>
      <c r="H37" s="49">
        <f>VLOOKUP($A37,'Data Vlaue (Cr)'!$C:$FB,44)</f>
        <v>751</v>
      </c>
      <c r="I37" s="49">
        <f>VLOOKUP($A37,'Data Vlaue (Cr)'!$C:$FB,46)*100</f>
        <v>-4.34</v>
      </c>
      <c r="J37" s="51">
        <f>VLOOKUP($A37,'Data Vlaue (Cr)'!$C:$FB,59)</f>
        <v>4614</v>
      </c>
      <c r="K37" s="51">
        <f>VLOOKUP($A37,'Data Vlaue (Cr)'!$C:$FB,60)</f>
        <v>4139</v>
      </c>
      <c r="L37" s="51">
        <f>VLOOKUP($A37,'Data Vlaue (Cr)'!$C:$FB,62)*100</f>
        <v>11.48</v>
      </c>
      <c r="M37" s="51">
        <f>VLOOKUP($A37,'Data Vlaue (Cr)'!$C:$FB,63)</f>
        <v>2617</v>
      </c>
      <c r="N37" s="51">
        <f>VLOOKUP($A37,'Data Vlaue (Cr)'!$C:$FB,64)</f>
        <v>2994</v>
      </c>
      <c r="O37" s="51">
        <f>VLOOKUP($A37,'Data Vlaue (Cr)'!$C:$FB,66)*100</f>
        <v>-12.590000000000002</v>
      </c>
    </row>
    <row r="38" spans="1:15" x14ac:dyDescent="0.25">
      <c r="A38" s="101" t="str">
        <f>'Data Vlaue (Cr)'!C33</f>
        <v>BHEL</v>
      </c>
      <c r="B38" s="50">
        <f>VLOOKUP($A38,'Data Vlaue (Cr)'!$C:$FB,8)</f>
        <v>260.64999999999998</v>
      </c>
      <c r="C38" s="50">
        <f>VLOOKUP($A38,'Data Vlaue (Cr)'!$C:$FB,11)*100</f>
        <v>-5.6000000000000005</v>
      </c>
      <c r="D38" s="50">
        <f>VLOOKUP($A38,'Data Vlaue (Cr)'!$C:$FB,143)</f>
        <v>12915.53</v>
      </c>
      <c r="E38" s="50">
        <f>VLOOKUP($A38,'Data Vlaue (Cr)'!$C:$FB,144)</f>
        <v>2270.75</v>
      </c>
      <c r="F38" s="50">
        <f>VLOOKUP($A38,'Data Vlaue (Cr)'!$C:$FB,146)*100</f>
        <v>468.78000000000003</v>
      </c>
      <c r="G38" s="49">
        <f>VLOOKUP($A38,'Data Vlaue (Cr)'!$C:$FB,43)</f>
        <v>2934</v>
      </c>
      <c r="H38" s="49">
        <f>VLOOKUP($A38,'Data Vlaue (Cr)'!$C:$FB,44)</f>
        <v>285</v>
      </c>
      <c r="I38" s="49">
        <f>VLOOKUP($A38,'Data Vlaue (Cr)'!$C:$FB,46)*100</f>
        <v>930.08</v>
      </c>
      <c r="J38" s="51">
        <f>VLOOKUP($A38,'Data Vlaue (Cr)'!$C:$FB,59)</f>
        <v>5982</v>
      </c>
      <c r="K38" s="51">
        <f>VLOOKUP($A38,'Data Vlaue (Cr)'!$C:$FB,60)</f>
        <v>1257</v>
      </c>
      <c r="L38" s="51">
        <f>VLOOKUP($A38,'Data Vlaue (Cr)'!$C:$FB,62)*100</f>
        <v>376.1</v>
      </c>
      <c r="M38" s="51">
        <f>VLOOKUP($A38,'Data Vlaue (Cr)'!$C:$FB,63)</f>
        <v>3614</v>
      </c>
      <c r="N38" s="51">
        <f>VLOOKUP($A38,'Data Vlaue (Cr)'!$C:$FB,64)</f>
        <v>574</v>
      </c>
      <c r="O38" s="51">
        <f>VLOOKUP($A38,'Data Vlaue (Cr)'!$C:$FB,66)*100</f>
        <v>529.98</v>
      </c>
    </row>
    <row r="39" spans="1:15" x14ac:dyDescent="0.25">
      <c r="A39" s="101" t="str">
        <f>'Data Vlaue (Cr)'!C34</f>
        <v>BIOCON</v>
      </c>
      <c r="B39" s="50">
        <f>VLOOKUP($A39,'Data Vlaue (Cr)'!$C:$FB,8)</f>
        <v>375.2</v>
      </c>
      <c r="C39" s="50">
        <f>VLOOKUP($A39,'Data Vlaue (Cr)'!$C:$FB,11)*100</f>
        <v>1.1199999999999999</v>
      </c>
      <c r="D39" s="50">
        <f>VLOOKUP($A39,'Data Vlaue (Cr)'!$C:$FB,143)</f>
        <v>1851.85</v>
      </c>
      <c r="E39" s="50">
        <f>VLOOKUP($A39,'Data Vlaue (Cr)'!$C:$FB,144)</f>
        <v>1383.85</v>
      </c>
      <c r="F39" s="50">
        <f>VLOOKUP($A39,'Data Vlaue (Cr)'!$C:$FB,146)*100</f>
        <v>33.82</v>
      </c>
      <c r="G39" s="49">
        <f>VLOOKUP($A39,'Data Vlaue (Cr)'!$C:$FB,43)</f>
        <v>364</v>
      </c>
      <c r="H39" s="49">
        <f>VLOOKUP($A39,'Data Vlaue (Cr)'!$C:$FB,44)</f>
        <v>354</v>
      </c>
      <c r="I39" s="49">
        <f>VLOOKUP($A39,'Data Vlaue (Cr)'!$C:$FB,46)*100</f>
        <v>2.71</v>
      </c>
      <c r="J39" s="51">
        <f>VLOOKUP($A39,'Data Vlaue (Cr)'!$C:$FB,59)</f>
        <v>1065</v>
      </c>
      <c r="K39" s="51">
        <f>VLOOKUP($A39,'Data Vlaue (Cr)'!$C:$FB,60)</f>
        <v>702</v>
      </c>
      <c r="L39" s="51">
        <f>VLOOKUP($A39,'Data Vlaue (Cr)'!$C:$FB,62)*100</f>
        <v>51.790000000000006</v>
      </c>
      <c r="M39" s="51">
        <f>VLOOKUP($A39,'Data Vlaue (Cr)'!$C:$FB,63)</f>
        <v>379</v>
      </c>
      <c r="N39" s="51">
        <f>VLOOKUP($A39,'Data Vlaue (Cr)'!$C:$FB,64)</f>
        <v>306</v>
      </c>
      <c r="O39" s="51">
        <f>VLOOKUP($A39,'Data Vlaue (Cr)'!$C:$FB,66)*100</f>
        <v>23.73</v>
      </c>
    </row>
    <row r="40" spans="1:15" x14ac:dyDescent="0.25">
      <c r="A40" s="101" t="str">
        <f>'Data Vlaue (Cr)'!C35</f>
        <v>BLUESTARCO</v>
      </c>
      <c r="B40" s="50">
        <f>VLOOKUP($A40,'Data Vlaue (Cr)'!$C:$FB,8)</f>
        <v>1962.2</v>
      </c>
      <c r="C40" s="50">
        <f>VLOOKUP($A40,'Data Vlaue (Cr)'!$C:$FB,11)*100</f>
        <v>0.71000000000000008</v>
      </c>
      <c r="D40" s="50">
        <f>VLOOKUP($A40,'Data Vlaue (Cr)'!$C:$FB,143)</f>
        <v>380.92</v>
      </c>
      <c r="E40" s="50">
        <f>VLOOKUP($A40,'Data Vlaue (Cr)'!$C:$FB,144)</f>
        <v>2355.4499999999998</v>
      </c>
      <c r="F40" s="50">
        <f>VLOOKUP($A40,'Data Vlaue (Cr)'!$C:$FB,146)*100</f>
        <v>-83.83</v>
      </c>
      <c r="G40" s="49">
        <f>VLOOKUP($A40,'Data Vlaue (Cr)'!$C:$FB,43)</f>
        <v>87</v>
      </c>
      <c r="H40" s="49">
        <f>VLOOKUP($A40,'Data Vlaue (Cr)'!$C:$FB,44)</f>
        <v>280</v>
      </c>
      <c r="I40" s="49">
        <f>VLOOKUP($A40,'Data Vlaue (Cr)'!$C:$FB,46)*100</f>
        <v>-69.06</v>
      </c>
      <c r="J40" s="51">
        <f>VLOOKUP($A40,'Data Vlaue (Cr)'!$C:$FB,59)</f>
        <v>227</v>
      </c>
      <c r="K40" s="51">
        <f>VLOOKUP($A40,'Data Vlaue (Cr)'!$C:$FB,60)</f>
        <v>1435</v>
      </c>
      <c r="L40" s="51">
        <f>VLOOKUP($A40,'Data Vlaue (Cr)'!$C:$FB,62)*100</f>
        <v>-84.19</v>
      </c>
      <c r="M40" s="51">
        <f>VLOOKUP($A40,'Data Vlaue (Cr)'!$C:$FB,63)</f>
        <v>64</v>
      </c>
      <c r="N40" s="51">
        <f>VLOOKUP($A40,'Data Vlaue (Cr)'!$C:$FB,64)</f>
        <v>605</v>
      </c>
      <c r="O40" s="51">
        <f>VLOOKUP($A40,'Data Vlaue (Cr)'!$C:$FB,66)*100</f>
        <v>-89.490000000000009</v>
      </c>
    </row>
    <row r="41" spans="1:15" x14ac:dyDescent="0.25">
      <c r="A41" s="101" t="str">
        <f>'Data Vlaue (Cr)'!C36</f>
        <v>BOSCHLTD</v>
      </c>
      <c r="B41" s="50">
        <f>VLOOKUP($A41,'Data Vlaue (Cr)'!$C:$FB,8)</f>
        <v>36570</v>
      </c>
      <c r="C41" s="50">
        <f>VLOOKUP($A41,'Data Vlaue (Cr)'!$C:$FB,11)*100</f>
        <v>2.8000000000000003</v>
      </c>
      <c r="D41" s="50">
        <f>VLOOKUP($A41,'Data Vlaue (Cr)'!$C:$FB,143)</f>
        <v>2998.18</v>
      </c>
      <c r="E41" s="50">
        <f>VLOOKUP($A41,'Data Vlaue (Cr)'!$C:$FB,144)</f>
        <v>1519.06</v>
      </c>
      <c r="F41" s="50">
        <f>VLOOKUP($A41,'Data Vlaue (Cr)'!$C:$FB,146)*100</f>
        <v>97.37</v>
      </c>
      <c r="G41" s="49">
        <f>VLOOKUP($A41,'Data Vlaue (Cr)'!$C:$FB,43)</f>
        <v>254</v>
      </c>
      <c r="H41" s="49">
        <f>VLOOKUP($A41,'Data Vlaue (Cr)'!$C:$FB,44)</f>
        <v>165</v>
      </c>
      <c r="I41" s="49">
        <f>VLOOKUP($A41,'Data Vlaue (Cr)'!$C:$FB,46)*100</f>
        <v>53.680000000000007</v>
      </c>
      <c r="J41" s="51">
        <f>VLOOKUP($A41,'Data Vlaue (Cr)'!$C:$FB,59)</f>
        <v>1988</v>
      </c>
      <c r="K41" s="51">
        <f>VLOOKUP($A41,'Data Vlaue (Cr)'!$C:$FB,60)</f>
        <v>927</v>
      </c>
      <c r="L41" s="51">
        <f>VLOOKUP($A41,'Data Vlaue (Cr)'!$C:$FB,62)*100</f>
        <v>114.34</v>
      </c>
      <c r="M41" s="51">
        <f>VLOOKUP($A41,'Data Vlaue (Cr)'!$C:$FB,63)</f>
        <v>693</v>
      </c>
      <c r="N41" s="51">
        <f>VLOOKUP($A41,'Data Vlaue (Cr)'!$C:$FB,64)</f>
        <v>404</v>
      </c>
      <c r="O41" s="51">
        <f>VLOOKUP($A41,'Data Vlaue (Cr)'!$C:$FB,66)*100</f>
        <v>71.67</v>
      </c>
    </row>
    <row r="42" spans="1:15" x14ac:dyDescent="0.25">
      <c r="A42" s="101" t="str">
        <f>'Data Vlaue (Cr)'!C37</f>
        <v>BPCL</v>
      </c>
      <c r="B42" s="50">
        <f>VLOOKUP($A42,'Data Vlaue (Cr)'!$C:$FB,8)</f>
        <v>387.6</v>
      </c>
      <c r="C42" s="50">
        <f>VLOOKUP($A42,'Data Vlaue (Cr)'!$C:$FB,11)*100</f>
        <v>0.32</v>
      </c>
      <c r="D42" s="50">
        <f>VLOOKUP($A42,'Data Vlaue (Cr)'!$C:$FB,143)</f>
        <v>1182.6600000000001</v>
      </c>
      <c r="E42" s="50">
        <f>VLOOKUP($A42,'Data Vlaue (Cr)'!$C:$FB,144)</f>
        <v>973.94</v>
      </c>
      <c r="F42" s="50">
        <f>VLOOKUP($A42,'Data Vlaue (Cr)'!$C:$FB,146)*100</f>
        <v>21.43</v>
      </c>
      <c r="G42" s="49">
        <f>VLOOKUP($A42,'Data Vlaue (Cr)'!$C:$FB,43)</f>
        <v>154</v>
      </c>
      <c r="H42" s="49">
        <f>VLOOKUP($A42,'Data Vlaue (Cr)'!$C:$FB,44)</f>
        <v>148</v>
      </c>
      <c r="I42" s="49">
        <f>VLOOKUP($A42,'Data Vlaue (Cr)'!$C:$FB,46)*100</f>
        <v>4.2</v>
      </c>
      <c r="J42" s="51">
        <f>VLOOKUP($A42,'Data Vlaue (Cr)'!$C:$FB,59)</f>
        <v>667</v>
      </c>
      <c r="K42" s="51">
        <f>VLOOKUP($A42,'Data Vlaue (Cr)'!$C:$FB,60)</f>
        <v>501</v>
      </c>
      <c r="L42" s="51">
        <f>VLOOKUP($A42,'Data Vlaue (Cr)'!$C:$FB,62)*100</f>
        <v>33.06</v>
      </c>
      <c r="M42" s="51">
        <f>VLOOKUP($A42,'Data Vlaue (Cr)'!$C:$FB,63)</f>
        <v>346</v>
      </c>
      <c r="N42" s="51">
        <f>VLOOKUP($A42,'Data Vlaue (Cr)'!$C:$FB,64)</f>
        <v>317</v>
      </c>
      <c r="O42" s="51">
        <f>VLOOKUP($A42,'Data Vlaue (Cr)'!$C:$FB,66)*100</f>
        <v>9.2100000000000009</v>
      </c>
    </row>
    <row r="43" spans="1:15" x14ac:dyDescent="0.25">
      <c r="A43" s="101" t="str">
        <f>'Data Vlaue (Cr)'!C38</f>
        <v>BRITANNIA</v>
      </c>
      <c r="B43" s="50">
        <f>VLOOKUP($A43,'Data Vlaue (Cr)'!$C:$FB,8)</f>
        <v>6019</v>
      </c>
      <c r="C43" s="50">
        <f>VLOOKUP($A43,'Data Vlaue (Cr)'!$C:$FB,11)*100</f>
        <v>2.48</v>
      </c>
      <c r="D43" s="50">
        <f>VLOOKUP($A43,'Data Vlaue (Cr)'!$C:$FB,143)</f>
        <v>8753.92</v>
      </c>
      <c r="E43" s="50">
        <f>VLOOKUP($A43,'Data Vlaue (Cr)'!$C:$FB,144)</f>
        <v>1929.95</v>
      </c>
      <c r="F43" s="50">
        <f>VLOOKUP($A43,'Data Vlaue (Cr)'!$C:$FB,146)*100</f>
        <v>353.58</v>
      </c>
      <c r="G43" s="49">
        <f>VLOOKUP($A43,'Data Vlaue (Cr)'!$C:$FB,43)</f>
        <v>820</v>
      </c>
      <c r="H43" s="49">
        <f>VLOOKUP($A43,'Data Vlaue (Cr)'!$C:$FB,44)</f>
        <v>251</v>
      </c>
      <c r="I43" s="49">
        <f>VLOOKUP($A43,'Data Vlaue (Cr)'!$C:$FB,46)*100</f>
        <v>226.62</v>
      </c>
      <c r="J43" s="51">
        <f>VLOOKUP($A43,'Data Vlaue (Cr)'!$C:$FB,59)</f>
        <v>5263</v>
      </c>
      <c r="K43" s="51">
        <f>VLOOKUP($A43,'Data Vlaue (Cr)'!$C:$FB,60)</f>
        <v>1161</v>
      </c>
      <c r="L43" s="51">
        <f>VLOOKUP($A43,'Data Vlaue (Cr)'!$C:$FB,62)*100</f>
        <v>353.37</v>
      </c>
      <c r="M43" s="51">
        <f>VLOOKUP($A43,'Data Vlaue (Cr)'!$C:$FB,63)</f>
        <v>2479</v>
      </c>
      <c r="N43" s="51">
        <f>VLOOKUP($A43,'Data Vlaue (Cr)'!$C:$FB,64)</f>
        <v>526</v>
      </c>
      <c r="O43" s="51">
        <f>VLOOKUP($A43,'Data Vlaue (Cr)'!$C:$FB,66)*100</f>
        <v>371.21</v>
      </c>
    </row>
    <row r="44" spans="1:15" x14ac:dyDescent="0.25">
      <c r="A44" s="101" t="str">
        <f>'Data Vlaue (Cr)'!C39</f>
        <v>BSE</v>
      </c>
      <c r="B44" s="50">
        <f>VLOOKUP($A44,'Data Vlaue (Cr)'!$C:$FB,8)</f>
        <v>3177.1</v>
      </c>
      <c r="C44" s="50">
        <f>VLOOKUP($A44,'Data Vlaue (Cr)'!$C:$FB,11)*100</f>
        <v>0.09</v>
      </c>
      <c r="D44" s="50">
        <f>VLOOKUP($A44,'Data Vlaue (Cr)'!$C:$FB,143)</f>
        <v>13572.31</v>
      </c>
      <c r="E44" s="50">
        <f>VLOOKUP($A44,'Data Vlaue (Cr)'!$C:$FB,144)</f>
        <v>49610.79</v>
      </c>
      <c r="F44" s="50">
        <f>VLOOKUP($A44,'Data Vlaue (Cr)'!$C:$FB,146)*100</f>
        <v>-72.64</v>
      </c>
      <c r="G44" s="49">
        <f>VLOOKUP($A44,'Data Vlaue (Cr)'!$C:$FB,43)</f>
        <v>1472</v>
      </c>
      <c r="H44" s="49">
        <f>VLOOKUP($A44,'Data Vlaue (Cr)'!$C:$FB,44)</f>
        <v>4853</v>
      </c>
      <c r="I44" s="49">
        <f>VLOOKUP($A44,'Data Vlaue (Cr)'!$C:$FB,46)*100</f>
        <v>-69.67</v>
      </c>
      <c r="J44" s="51">
        <f>VLOOKUP($A44,'Data Vlaue (Cr)'!$C:$FB,59)</f>
        <v>6578</v>
      </c>
      <c r="K44" s="51">
        <f>VLOOKUP($A44,'Data Vlaue (Cr)'!$C:$FB,60)</f>
        <v>29316</v>
      </c>
      <c r="L44" s="51">
        <f>VLOOKUP($A44,'Data Vlaue (Cr)'!$C:$FB,62)*100</f>
        <v>-77.56</v>
      </c>
      <c r="M44" s="51">
        <f>VLOOKUP($A44,'Data Vlaue (Cr)'!$C:$FB,63)</f>
        <v>5335</v>
      </c>
      <c r="N44" s="51">
        <f>VLOOKUP($A44,'Data Vlaue (Cr)'!$C:$FB,64)</f>
        <v>15003</v>
      </c>
      <c r="O44" s="51">
        <f>VLOOKUP($A44,'Data Vlaue (Cr)'!$C:$FB,66)*100</f>
        <v>-64.44</v>
      </c>
    </row>
    <row r="45" spans="1:15" x14ac:dyDescent="0.25">
      <c r="A45" s="101" t="str">
        <f>'Data Vlaue (Cr)'!C40</f>
        <v>CAMS</v>
      </c>
      <c r="B45" s="50">
        <f>VLOOKUP($A45,'Data Vlaue (Cr)'!$C:$FB,8)</f>
        <v>747.1</v>
      </c>
      <c r="C45" s="50">
        <f>VLOOKUP($A45,'Data Vlaue (Cr)'!$C:$FB,11)*100</f>
        <v>0.61</v>
      </c>
      <c r="D45" s="50">
        <f>VLOOKUP($A45,'Data Vlaue (Cr)'!$C:$FB,143)</f>
        <v>303</v>
      </c>
      <c r="E45" s="50">
        <f>VLOOKUP($A45,'Data Vlaue (Cr)'!$C:$FB,144)</f>
        <v>613.04999999999995</v>
      </c>
      <c r="F45" s="50">
        <f>VLOOKUP($A45,'Data Vlaue (Cr)'!$C:$FB,146)*100</f>
        <v>-50.570000000000007</v>
      </c>
      <c r="G45" s="49">
        <f>VLOOKUP($A45,'Data Vlaue (Cr)'!$C:$FB,43)</f>
        <v>84</v>
      </c>
      <c r="H45" s="49">
        <f>VLOOKUP($A45,'Data Vlaue (Cr)'!$C:$FB,44)</f>
        <v>163</v>
      </c>
      <c r="I45" s="49">
        <f>VLOOKUP($A45,'Data Vlaue (Cr)'!$C:$FB,46)*100</f>
        <v>-48.42</v>
      </c>
      <c r="J45" s="51">
        <f>VLOOKUP($A45,'Data Vlaue (Cr)'!$C:$FB,59)</f>
        <v>155</v>
      </c>
      <c r="K45" s="51">
        <f>VLOOKUP($A45,'Data Vlaue (Cr)'!$C:$FB,60)</f>
        <v>338</v>
      </c>
      <c r="L45" s="51">
        <f>VLOOKUP($A45,'Data Vlaue (Cr)'!$C:$FB,62)*100</f>
        <v>-54.03</v>
      </c>
      <c r="M45" s="51">
        <f>VLOOKUP($A45,'Data Vlaue (Cr)'!$C:$FB,63)</f>
        <v>60</v>
      </c>
      <c r="N45" s="51">
        <f>VLOOKUP($A45,'Data Vlaue (Cr)'!$C:$FB,64)</f>
        <v>107</v>
      </c>
      <c r="O45" s="51">
        <f>VLOOKUP($A45,'Data Vlaue (Cr)'!$C:$FB,66)*100</f>
        <v>-44</v>
      </c>
    </row>
    <row r="46" spans="1:15" x14ac:dyDescent="0.25">
      <c r="A46" s="101" t="str">
        <f>'Data Vlaue (Cr)'!C41</f>
        <v>CANBK</v>
      </c>
      <c r="B46" s="50">
        <f>VLOOKUP($A46,'Data Vlaue (Cr)'!$C:$FB,8)</f>
        <v>145.51</v>
      </c>
      <c r="C46" s="50">
        <f>VLOOKUP($A46,'Data Vlaue (Cr)'!$C:$FB,11)*100</f>
        <v>-0.89999999999999991</v>
      </c>
      <c r="D46" s="50">
        <f>VLOOKUP($A46,'Data Vlaue (Cr)'!$C:$FB,143)</f>
        <v>4359.38</v>
      </c>
      <c r="E46" s="50">
        <f>VLOOKUP($A46,'Data Vlaue (Cr)'!$C:$FB,144)</f>
        <v>1947.59</v>
      </c>
      <c r="F46" s="50">
        <f>VLOOKUP($A46,'Data Vlaue (Cr)'!$C:$FB,146)*100</f>
        <v>123.83</v>
      </c>
      <c r="G46" s="49">
        <f>VLOOKUP($A46,'Data Vlaue (Cr)'!$C:$FB,43)</f>
        <v>805</v>
      </c>
      <c r="H46" s="49">
        <f>VLOOKUP($A46,'Data Vlaue (Cr)'!$C:$FB,44)</f>
        <v>394</v>
      </c>
      <c r="I46" s="49">
        <f>VLOOKUP($A46,'Data Vlaue (Cr)'!$C:$FB,46)*100</f>
        <v>104.47999999999999</v>
      </c>
      <c r="J46" s="51">
        <f>VLOOKUP($A46,'Data Vlaue (Cr)'!$C:$FB,59)</f>
        <v>2466</v>
      </c>
      <c r="K46" s="51">
        <f>VLOOKUP($A46,'Data Vlaue (Cr)'!$C:$FB,60)</f>
        <v>1105</v>
      </c>
      <c r="L46" s="51">
        <f>VLOOKUP($A46,'Data Vlaue (Cr)'!$C:$FB,62)*100</f>
        <v>123.21</v>
      </c>
      <c r="M46" s="51">
        <f>VLOOKUP($A46,'Data Vlaue (Cr)'!$C:$FB,63)</f>
        <v>938</v>
      </c>
      <c r="N46" s="51">
        <f>VLOOKUP($A46,'Data Vlaue (Cr)'!$C:$FB,64)</f>
        <v>359</v>
      </c>
      <c r="O46" s="51">
        <f>VLOOKUP($A46,'Data Vlaue (Cr)'!$C:$FB,66)*100</f>
        <v>161.63</v>
      </c>
    </row>
    <row r="47" spans="1:15" x14ac:dyDescent="0.25">
      <c r="A47" s="101" t="str">
        <f>'Data Vlaue (Cr)'!C42</f>
        <v>CDSL</v>
      </c>
      <c r="B47" s="50">
        <f>VLOOKUP($A47,'Data Vlaue (Cr)'!$C:$FB,8)</f>
        <v>1397.2</v>
      </c>
      <c r="C47" s="50">
        <f>VLOOKUP($A47,'Data Vlaue (Cr)'!$C:$FB,11)*100</f>
        <v>-0.26</v>
      </c>
      <c r="D47" s="50">
        <f>VLOOKUP($A47,'Data Vlaue (Cr)'!$C:$FB,143)</f>
        <v>2273.79</v>
      </c>
      <c r="E47" s="50">
        <f>VLOOKUP($A47,'Data Vlaue (Cr)'!$C:$FB,144)</f>
        <v>5260.15</v>
      </c>
      <c r="F47" s="50">
        <f>VLOOKUP($A47,'Data Vlaue (Cr)'!$C:$FB,146)*100</f>
        <v>-56.769999999999996</v>
      </c>
      <c r="G47" s="49">
        <f>VLOOKUP($A47,'Data Vlaue (Cr)'!$C:$FB,43)</f>
        <v>271</v>
      </c>
      <c r="H47" s="49">
        <f>VLOOKUP($A47,'Data Vlaue (Cr)'!$C:$FB,44)</f>
        <v>599</v>
      </c>
      <c r="I47" s="49">
        <f>VLOOKUP($A47,'Data Vlaue (Cr)'!$C:$FB,46)*100</f>
        <v>-54.790000000000006</v>
      </c>
      <c r="J47" s="51">
        <f>VLOOKUP($A47,'Data Vlaue (Cr)'!$C:$FB,59)</f>
        <v>1400</v>
      </c>
      <c r="K47" s="51">
        <f>VLOOKUP($A47,'Data Vlaue (Cr)'!$C:$FB,60)</f>
        <v>3466</v>
      </c>
      <c r="L47" s="51">
        <f>VLOOKUP($A47,'Data Vlaue (Cr)'!$C:$FB,62)*100</f>
        <v>-59.61</v>
      </c>
      <c r="M47" s="51">
        <f>VLOOKUP($A47,'Data Vlaue (Cr)'!$C:$FB,63)</f>
        <v>547</v>
      </c>
      <c r="N47" s="51">
        <f>VLOOKUP($A47,'Data Vlaue (Cr)'!$C:$FB,64)</f>
        <v>1063</v>
      </c>
      <c r="O47" s="51">
        <f>VLOOKUP($A47,'Data Vlaue (Cr)'!$C:$FB,66)*100</f>
        <v>-48.49</v>
      </c>
    </row>
    <row r="48" spans="1:15" x14ac:dyDescent="0.25">
      <c r="A48" s="101" t="str">
        <f>'Data Vlaue (Cr)'!C43</f>
        <v>CGPOWER</v>
      </c>
      <c r="B48" s="50">
        <f>VLOOKUP($A48,'Data Vlaue (Cr)'!$C:$FB,8)</f>
        <v>685.6</v>
      </c>
      <c r="C48" s="50">
        <f>VLOOKUP($A48,'Data Vlaue (Cr)'!$C:$FB,11)*100</f>
        <v>0.59</v>
      </c>
      <c r="D48" s="50">
        <f>VLOOKUP($A48,'Data Vlaue (Cr)'!$C:$FB,143)</f>
        <v>693.08</v>
      </c>
      <c r="E48" s="50">
        <f>VLOOKUP($A48,'Data Vlaue (Cr)'!$C:$FB,144)</f>
        <v>1197.6400000000001</v>
      </c>
      <c r="F48" s="50">
        <f>VLOOKUP($A48,'Data Vlaue (Cr)'!$C:$FB,146)*100</f>
        <v>-42.13</v>
      </c>
      <c r="G48" s="49">
        <f>VLOOKUP($A48,'Data Vlaue (Cr)'!$C:$FB,43)</f>
        <v>145</v>
      </c>
      <c r="H48" s="49">
        <f>VLOOKUP($A48,'Data Vlaue (Cr)'!$C:$FB,44)</f>
        <v>198</v>
      </c>
      <c r="I48" s="49">
        <f>VLOOKUP($A48,'Data Vlaue (Cr)'!$C:$FB,46)*100</f>
        <v>-27.01</v>
      </c>
      <c r="J48" s="51">
        <f>VLOOKUP($A48,'Data Vlaue (Cr)'!$C:$FB,59)</f>
        <v>352</v>
      </c>
      <c r="K48" s="51">
        <f>VLOOKUP($A48,'Data Vlaue (Cr)'!$C:$FB,60)</f>
        <v>568</v>
      </c>
      <c r="L48" s="51">
        <f>VLOOKUP($A48,'Data Vlaue (Cr)'!$C:$FB,62)*100</f>
        <v>-38.129999999999995</v>
      </c>
      <c r="M48" s="51">
        <f>VLOOKUP($A48,'Data Vlaue (Cr)'!$C:$FB,63)</f>
        <v>193</v>
      </c>
      <c r="N48" s="51">
        <f>VLOOKUP($A48,'Data Vlaue (Cr)'!$C:$FB,64)</f>
        <v>423</v>
      </c>
      <c r="O48" s="51">
        <f>VLOOKUP($A48,'Data Vlaue (Cr)'!$C:$FB,66)*100</f>
        <v>-54.44</v>
      </c>
    </row>
    <row r="49" spans="1:15" x14ac:dyDescent="0.25">
      <c r="A49" s="101" t="str">
        <f>'Data Vlaue (Cr)'!C44</f>
        <v>CHOLAFIN</v>
      </c>
      <c r="B49" s="50">
        <f>VLOOKUP($A49,'Data Vlaue (Cr)'!$C:$FB,8)</f>
        <v>1723</v>
      </c>
      <c r="C49" s="50">
        <f>VLOOKUP($A49,'Data Vlaue (Cr)'!$C:$FB,11)*100</f>
        <v>-0.19</v>
      </c>
      <c r="D49" s="50">
        <f>VLOOKUP($A49,'Data Vlaue (Cr)'!$C:$FB,143)</f>
        <v>659.06</v>
      </c>
      <c r="E49" s="50">
        <f>VLOOKUP($A49,'Data Vlaue (Cr)'!$C:$FB,144)</f>
        <v>1507.53</v>
      </c>
      <c r="F49" s="50">
        <f>VLOOKUP($A49,'Data Vlaue (Cr)'!$C:$FB,146)*100</f>
        <v>-56.279999999999994</v>
      </c>
      <c r="G49" s="49">
        <f>VLOOKUP($A49,'Data Vlaue (Cr)'!$C:$FB,43)</f>
        <v>163</v>
      </c>
      <c r="H49" s="49">
        <f>VLOOKUP($A49,'Data Vlaue (Cr)'!$C:$FB,44)</f>
        <v>301</v>
      </c>
      <c r="I49" s="49">
        <f>VLOOKUP($A49,'Data Vlaue (Cr)'!$C:$FB,46)*100</f>
        <v>-45.7</v>
      </c>
      <c r="J49" s="51">
        <f>VLOOKUP($A49,'Data Vlaue (Cr)'!$C:$FB,59)</f>
        <v>310</v>
      </c>
      <c r="K49" s="51">
        <f>VLOOKUP($A49,'Data Vlaue (Cr)'!$C:$FB,60)</f>
        <v>641</v>
      </c>
      <c r="L49" s="51">
        <f>VLOOKUP($A49,'Data Vlaue (Cr)'!$C:$FB,62)*100</f>
        <v>-51.66</v>
      </c>
      <c r="M49" s="51">
        <f>VLOOKUP($A49,'Data Vlaue (Cr)'!$C:$FB,63)</f>
        <v>174</v>
      </c>
      <c r="N49" s="51">
        <f>VLOOKUP($A49,'Data Vlaue (Cr)'!$C:$FB,64)</f>
        <v>536</v>
      </c>
      <c r="O49" s="51">
        <f>VLOOKUP($A49,'Data Vlaue (Cr)'!$C:$FB,66)*100</f>
        <v>-67.589999999999989</v>
      </c>
    </row>
    <row r="50" spans="1:15" x14ac:dyDescent="0.25">
      <c r="A50" s="101" t="str">
        <f>'Data Vlaue (Cr)'!C45</f>
        <v>CIPLA</v>
      </c>
      <c r="B50" s="50">
        <f>VLOOKUP($A50,'Data Vlaue (Cr)'!$C:$FB,8)</f>
        <v>1349.9</v>
      </c>
      <c r="C50" s="50">
        <f>VLOOKUP($A50,'Data Vlaue (Cr)'!$C:$FB,11)*100</f>
        <v>0.57999999999999996</v>
      </c>
      <c r="D50" s="50">
        <f>VLOOKUP($A50,'Data Vlaue (Cr)'!$C:$FB,143)</f>
        <v>893.34</v>
      </c>
      <c r="E50" s="50">
        <f>VLOOKUP($A50,'Data Vlaue (Cr)'!$C:$FB,144)</f>
        <v>1852.52</v>
      </c>
      <c r="F50" s="50">
        <f>VLOOKUP($A50,'Data Vlaue (Cr)'!$C:$FB,146)*100</f>
        <v>-51.78</v>
      </c>
      <c r="G50" s="49">
        <f>VLOOKUP($A50,'Data Vlaue (Cr)'!$C:$FB,43)</f>
        <v>106</v>
      </c>
      <c r="H50" s="49">
        <f>VLOOKUP($A50,'Data Vlaue (Cr)'!$C:$FB,44)</f>
        <v>179</v>
      </c>
      <c r="I50" s="49">
        <f>VLOOKUP($A50,'Data Vlaue (Cr)'!$C:$FB,46)*100</f>
        <v>-41.15</v>
      </c>
      <c r="J50" s="51">
        <f>VLOOKUP($A50,'Data Vlaue (Cr)'!$C:$FB,59)</f>
        <v>568</v>
      </c>
      <c r="K50" s="51">
        <f>VLOOKUP($A50,'Data Vlaue (Cr)'!$C:$FB,60)</f>
        <v>1253</v>
      </c>
      <c r="L50" s="51">
        <f>VLOOKUP($A50,'Data Vlaue (Cr)'!$C:$FB,62)*100</f>
        <v>-54.679999999999993</v>
      </c>
      <c r="M50" s="51">
        <f>VLOOKUP($A50,'Data Vlaue (Cr)'!$C:$FB,63)</f>
        <v>206</v>
      </c>
      <c r="N50" s="51">
        <f>VLOOKUP($A50,'Data Vlaue (Cr)'!$C:$FB,64)</f>
        <v>393</v>
      </c>
      <c r="O50" s="51">
        <f>VLOOKUP($A50,'Data Vlaue (Cr)'!$C:$FB,66)*100</f>
        <v>-47.63</v>
      </c>
    </row>
    <row r="51" spans="1:15" x14ac:dyDescent="0.25">
      <c r="A51" s="101" t="str">
        <f>'Data Vlaue (Cr)'!C46</f>
        <v>COALINDIA</v>
      </c>
      <c r="B51" s="50">
        <f>VLOOKUP($A51,'Data Vlaue (Cr)'!$C:$FB,8)</f>
        <v>423.25</v>
      </c>
      <c r="C51" s="50">
        <f>VLOOKUP($A51,'Data Vlaue (Cr)'!$C:$FB,11)*100</f>
        <v>-1.79</v>
      </c>
      <c r="D51" s="50">
        <f>VLOOKUP($A51,'Data Vlaue (Cr)'!$C:$FB,143)</f>
        <v>2920.44</v>
      </c>
      <c r="E51" s="50">
        <f>VLOOKUP($A51,'Data Vlaue (Cr)'!$C:$FB,144)</f>
        <v>1204.99</v>
      </c>
      <c r="F51" s="50">
        <f>VLOOKUP($A51,'Data Vlaue (Cr)'!$C:$FB,146)*100</f>
        <v>142.35999999999999</v>
      </c>
      <c r="G51" s="49">
        <f>VLOOKUP($A51,'Data Vlaue (Cr)'!$C:$FB,43)</f>
        <v>330</v>
      </c>
      <c r="H51" s="49">
        <f>VLOOKUP($A51,'Data Vlaue (Cr)'!$C:$FB,44)</f>
        <v>203</v>
      </c>
      <c r="I51" s="49">
        <f>VLOOKUP($A51,'Data Vlaue (Cr)'!$C:$FB,46)*100</f>
        <v>62.870000000000005</v>
      </c>
      <c r="J51" s="51">
        <f>VLOOKUP($A51,'Data Vlaue (Cr)'!$C:$FB,59)</f>
        <v>1691</v>
      </c>
      <c r="K51" s="51">
        <f>VLOOKUP($A51,'Data Vlaue (Cr)'!$C:$FB,60)</f>
        <v>711</v>
      </c>
      <c r="L51" s="51">
        <f>VLOOKUP($A51,'Data Vlaue (Cr)'!$C:$FB,62)*100</f>
        <v>137.91999999999999</v>
      </c>
      <c r="M51" s="51">
        <f>VLOOKUP($A51,'Data Vlaue (Cr)'!$C:$FB,63)</f>
        <v>786</v>
      </c>
      <c r="N51" s="51">
        <f>VLOOKUP($A51,'Data Vlaue (Cr)'!$C:$FB,64)</f>
        <v>227</v>
      </c>
      <c r="O51" s="51">
        <f>VLOOKUP($A51,'Data Vlaue (Cr)'!$C:$FB,66)*100</f>
        <v>246.53</v>
      </c>
    </row>
    <row r="52" spans="1:15" x14ac:dyDescent="0.25">
      <c r="A52" s="101" t="str">
        <f>'Data Vlaue (Cr)'!C47</f>
        <v>COFORGE</v>
      </c>
      <c r="B52" s="50">
        <f>VLOOKUP($A52,'Data Vlaue (Cr)'!$C:$FB,8)</f>
        <v>1520.4</v>
      </c>
      <c r="C52" s="50">
        <f>VLOOKUP($A52,'Data Vlaue (Cr)'!$C:$FB,11)*100</f>
        <v>-1.97</v>
      </c>
      <c r="D52" s="50">
        <f>VLOOKUP($A52,'Data Vlaue (Cr)'!$C:$FB,143)</f>
        <v>2587.7600000000002</v>
      </c>
      <c r="E52" s="50">
        <f>VLOOKUP($A52,'Data Vlaue (Cr)'!$C:$FB,144)</f>
        <v>2907.06</v>
      </c>
      <c r="F52" s="50">
        <f>VLOOKUP($A52,'Data Vlaue (Cr)'!$C:$FB,146)*100</f>
        <v>-10.979999999999999</v>
      </c>
      <c r="G52" s="49">
        <f>VLOOKUP($A52,'Data Vlaue (Cr)'!$C:$FB,43)</f>
        <v>381</v>
      </c>
      <c r="H52" s="49">
        <f>VLOOKUP($A52,'Data Vlaue (Cr)'!$C:$FB,44)</f>
        <v>477</v>
      </c>
      <c r="I52" s="49">
        <f>VLOOKUP($A52,'Data Vlaue (Cr)'!$C:$FB,46)*100</f>
        <v>-20.010000000000002</v>
      </c>
      <c r="J52" s="51">
        <f>VLOOKUP($A52,'Data Vlaue (Cr)'!$C:$FB,59)</f>
        <v>1407</v>
      </c>
      <c r="K52" s="51">
        <f>VLOOKUP($A52,'Data Vlaue (Cr)'!$C:$FB,60)</f>
        <v>1655</v>
      </c>
      <c r="L52" s="51">
        <f>VLOOKUP($A52,'Data Vlaue (Cr)'!$C:$FB,62)*100</f>
        <v>-14.97</v>
      </c>
      <c r="M52" s="51">
        <f>VLOOKUP($A52,'Data Vlaue (Cr)'!$C:$FB,63)</f>
        <v>679</v>
      </c>
      <c r="N52" s="51">
        <f>VLOOKUP($A52,'Data Vlaue (Cr)'!$C:$FB,64)</f>
        <v>613</v>
      </c>
      <c r="O52" s="51">
        <f>VLOOKUP($A52,'Data Vlaue (Cr)'!$C:$FB,66)*100</f>
        <v>10.74</v>
      </c>
    </row>
    <row r="53" spans="1:15" x14ac:dyDescent="0.25">
      <c r="A53" s="101" t="str">
        <f>'Data Vlaue (Cr)'!C48</f>
        <v>COLPAL</v>
      </c>
      <c r="B53" s="50">
        <f>VLOOKUP($A53,'Data Vlaue (Cr)'!$C:$FB,8)</f>
        <v>2173.4</v>
      </c>
      <c r="C53" s="50">
        <f>VLOOKUP($A53,'Data Vlaue (Cr)'!$C:$FB,11)*100</f>
        <v>-0.44</v>
      </c>
      <c r="D53" s="50">
        <f>VLOOKUP($A53,'Data Vlaue (Cr)'!$C:$FB,143)</f>
        <v>1101.32</v>
      </c>
      <c r="E53" s="50">
        <f>VLOOKUP($A53,'Data Vlaue (Cr)'!$C:$FB,144)</f>
        <v>1225.97</v>
      </c>
      <c r="F53" s="50">
        <f>VLOOKUP($A53,'Data Vlaue (Cr)'!$C:$FB,146)*100</f>
        <v>-10.17</v>
      </c>
      <c r="G53" s="49">
        <f>VLOOKUP($A53,'Data Vlaue (Cr)'!$C:$FB,43)</f>
        <v>151</v>
      </c>
      <c r="H53" s="49">
        <f>VLOOKUP($A53,'Data Vlaue (Cr)'!$C:$FB,44)</f>
        <v>148</v>
      </c>
      <c r="I53" s="49">
        <f>VLOOKUP($A53,'Data Vlaue (Cr)'!$C:$FB,46)*100</f>
        <v>1.8499999999999999</v>
      </c>
      <c r="J53" s="51">
        <f>VLOOKUP($A53,'Data Vlaue (Cr)'!$C:$FB,59)</f>
        <v>770</v>
      </c>
      <c r="K53" s="51">
        <f>VLOOKUP($A53,'Data Vlaue (Cr)'!$C:$FB,60)</f>
        <v>833</v>
      </c>
      <c r="L53" s="51">
        <f>VLOOKUP($A53,'Data Vlaue (Cr)'!$C:$FB,62)*100</f>
        <v>-7.5</v>
      </c>
      <c r="M53" s="51">
        <f>VLOOKUP($A53,'Data Vlaue (Cr)'!$C:$FB,63)</f>
        <v>152</v>
      </c>
      <c r="N53" s="51">
        <f>VLOOKUP($A53,'Data Vlaue (Cr)'!$C:$FB,64)</f>
        <v>222</v>
      </c>
      <c r="O53" s="51">
        <f>VLOOKUP($A53,'Data Vlaue (Cr)'!$C:$FB,66)*100</f>
        <v>-31.52</v>
      </c>
    </row>
    <row r="54" spans="1:15" x14ac:dyDescent="0.25">
      <c r="A54" s="101" t="str">
        <f>'Data Vlaue (Cr)'!C49</f>
        <v>CONCOR</v>
      </c>
      <c r="B54" s="50">
        <f>VLOOKUP($A54,'Data Vlaue (Cr)'!$C:$FB,8)</f>
        <v>515.15</v>
      </c>
      <c r="C54" s="50">
        <f>VLOOKUP($A54,'Data Vlaue (Cr)'!$C:$FB,11)*100</f>
        <v>0.3</v>
      </c>
      <c r="D54" s="50">
        <f>VLOOKUP($A54,'Data Vlaue (Cr)'!$C:$FB,143)</f>
        <v>520.01</v>
      </c>
      <c r="E54" s="50">
        <f>VLOOKUP($A54,'Data Vlaue (Cr)'!$C:$FB,144)</f>
        <v>795.36</v>
      </c>
      <c r="F54" s="50">
        <f>VLOOKUP($A54,'Data Vlaue (Cr)'!$C:$FB,146)*100</f>
        <v>-34.619999999999997</v>
      </c>
      <c r="G54" s="49">
        <f>VLOOKUP($A54,'Data Vlaue (Cr)'!$C:$FB,43)</f>
        <v>122</v>
      </c>
      <c r="H54" s="49">
        <f>VLOOKUP($A54,'Data Vlaue (Cr)'!$C:$FB,44)</f>
        <v>200</v>
      </c>
      <c r="I54" s="49">
        <f>VLOOKUP($A54,'Data Vlaue (Cr)'!$C:$FB,46)*100</f>
        <v>-38.879999999999995</v>
      </c>
      <c r="J54" s="51">
        <f>VLOOKUP($A54,'Data Vlaue (Cr)'!$C:$FB,59)</f>
        <v>284</v>
      </c>
      <c r="K54" s="51">
        <f>VLOOKUP($A54,'Data Vlaue (Cr)'!$C:$FB,60)</f>
        <v>412</v>
      </c>
      <c r="L54" s="51">
        <f>VLOOKUP($A54,'Data Vlaue (Cr)'!$C:$FB,62)*100</f>
        <v>-31.19</v>
      </c>
      <c r="M54" s="51">
        <f>VLOOKUP($A54,'Data Vlaue (Cr)'!$C:$FB,63)</f>
        <v>105</v>
      </c>
      <c r="N54" s="51">
        <f>VLOOKUP($A54,'Data Vlaue (Cr)'!$C:$FB,64)</f>
        <v>163</v>
      </c>
      <c r="O54" s="51">
        <f>VLOOKUP($A54,'Data Vlaue (Cr)'!$C:$FB,66)*100</f>
        <v>-35.82</v>
      </c>
    </row>
    <row r="55" spans="1:15" x14ac:dyDescent="0.25">
      <c r="A55" s="101" t="str">
        <f>'Data Vlaue (Cr)'!C50</f>
        <v>CROMPTON</v>
      </c>
      <c r="B55" s="50">
        <f>VLOOKUP($A55,'Data Vlaue (Cr)'!$C:$FB,8)</f>
        <v>266.04000000000002</v>
      </c>
      <c r="C55" s="50">
        <f>VLOOKUP($A55,'Data Vlaue (Cr)'!$C:$FB,11)*100</f>
        <v>1.67</v>
      </c>
      <c r="D55" s="50">
        <f>VLOOKUP($A55,'Data Vlaue (Cr)'!$C:$FB,143)</f>
        <v>1007.13</v>
      </c>
      <c r="E55" s="50">
        <f>VLOOKUP($A55,'Data Vlaue (Cr)'!$C:$FB,144)</f>
        <v>1429.53</v>
      </c>
      <c r="F55" s="50">
        <f>VLOOKUP($A55,'Data Vlaue (Cr)'!$C:$FB,146)*100</f>
        <v>-29.549999999999997</v>
      </c>
      <c r="G55" s="49">
        <f>VLOOKUP($A55,'Data Vlaue (Cr)'!$C:$FB,43)</f>
        <v>170</v>
      </c>
      <c r="H55" s="49">
        <f>VLOOKUP($A55,'Data Vlaue (Cr)'!$C:$FB,44)</f>
        <v>300</v>
      </c>
      <c r="I55" s="49">
        <f>VLOOKUP($A55,'Data Vlaue (Cr)'!$C:$FB,46)*100</f>
        <v>-43.18</v>
      </c>
      <c r="J55" s="51">
        <f>VLOOKUP($A55,'Data Vlaue (Cr)'!$C:$FB,59)</f>
        <v>530</v>
      </c>
      <c r="K55" s="51">
        <f>VLOOKUP($A55,'Data Vlaue (Cr)'!$C:$FB,60)</f>
        <v>624</v>
      </c>
      <c r="L55" s="51">
        <f>VLOOKUP($A55,'Data Vlaue (Cr)'!$C:$FB,62)*100</f>
        <v>-15.06</v>
      </c>
      <c r="M55" s="51">
        <f>VLOOKUP($A55,'Data Vlaue (Cr)'!$C:$FB,63)</f>
        <v>303</v>
      </c>
      <c r="N55" s="51">
        <f>VLOOKUP($A55,'Data Vlaue (Cr)'!$C:$FB,64)</f>
        <v>505</v>
      </c>
      <c r="O55" s="51">
        <f>VLOOKUP($A55,'Data Vlaue (Cr)'!$C:$FB,66)*100</f>
        <v>-40</v>
      </c>
    </row>
    <row r="56" spans="1:15" x14ac:dyDescent="0.25">
      <c r="A56" s="101" t="str">
        <f>'Data Vlaue (Cr)'!C51</f>
        <v>CUMMINSIND</v>
      </c>
      <c r="B56" s="50">
        <f>VLOOKUP($A56,'Data Vlaue (Cr)'!$C:$FB,8)</f>
        <v>4363.2</v>
      </c>
      <c r="C56" s="50">
        <f>VLOOKUP($A56,'Data Vlaue (Cr)'!$C:$FB,11)*100</f>
        <v>-1.25</v>
      </c>
      <c r="D56" s="50">
        <f>VLOOKUP($A56,'Data Vlaue (Cr)'!$C:$FB,143)</f>
        <v>1690.01</v>
      </c>
      <c r="E56" s="50">
        <f>VLOOKUP($A56,'Data Vlaue (Cr)'!$C:$FB,144)</f>
        <v>1534.9</v>
      </c>
      <c r="F56" s="50">
        <f>VLOOKUP($A56,'Data Vlaue (Cr)'!$C:$FB,146)*100</f>
        <v>10.11</v>
      </c>
      <c r="G56" s="49">
        <f>VLOOKUP($A56,'Data Vlaue (Cr)'!$C:$FB,43)</f>
        <v>230</v>
      </c>
      <c r="H56" s="49">
        <f>VLOOKUP($A56,'Data Vlaue (Cr)'!$C:$FB,44)</f>
        <v>325</v>
      </c>
      <c r="I56" s="49">
        <f>VLOOKUP($A56,'Data Vlaue (Cr)'!$C:$FB,46)*100</f>
        <v>-29.24</v>
      </c>
      <c r="J56" s="51">
        <f>VLOOKUP($A56,'Data Vlaue (Cr)'!$C:$FB,59)</f>
        <v>942</v>
      </c>
      <c r="K56" s="51">
        <f>VLOOKUP($A56,'Data Vlaue (Cr)'!$C:$FB,60)</f>
        <v>686</v>
      </c>
      <c r="L56" s="51">
        <f>VLOOKUP($A56,'Data Vlaue (Cr)'!$C:$FB,62)*100</f>
        <v>37.269999999999996</v>
      </c>
      <c r="M56" s="51">
        <f>VLOOKUP($A56,'Data Vlaue (Cr)'!$C:$FB,63)</f>
        <v>477</v>
      </c>
      <c r="N56" s="51">
        <f>VLOOKUP($A56,'Data Vlaue (Cr)'!$C:$FB,64)</f>
        <v>510</v>
      </c>
      <c r="O56" s="51">
        <f>VLOOKUP($A56,'Data Vlaue (Cr)'!$C:$FB,66)*100</f>
        <v>-6.52</v>
      </c>
    </row>
    <row r="57" spans="1:15" x14ac:dyDescent="0.25">
      <c r="A57" s="101" t="str">
        <f>'Data Vlaue (Cr)'!C52</f>
        <v>DABUR</v>
      </c>
      <c r="B57" s="50">
        <f>VLOOKUP($A57,'Data Vlaue (Cr)'!$C:$FB,8)</f>
        <v>522.35</v>
      </c>
      <c r="C57" s="50">
        <f>VLOOKUP($A57,'Data Vlaue (Cr)'!$C:$FB,11)*100</f>
        <v>0.51</v>
      </c>
      <c r="D57" s="50">
        <f>VLOOKUP($A57,'Data Vlaue (Cr)'!$C:$FB,143)</f>
        <v>1115.0899999999999</v>
      </c>
      <c r="E57" s="50">
        <f>VLOOKUP($A57,'Data Vlaue (Cr)'!$C:$FB,144)</f>
        <v>1011.29</v>
      </c>
      <c r="F57" s="50">
        <f>VLOOKUP($A57,'Data Vlaue (Cr)'!$C:$FB,146)*100</f>
        <v>10.26</v>
      </c>
      <c r="G57" s="49">
        <f>VLOOKUP($A57,'Data Vlaue (Cr)'!$C:$FB,43)</f>
        <v>83</v>
      </c>
      <c r="H57" s="49">
        <f>VLOOKUP($A57,'Data Vlaue (Cr)'!$C:$FB,44)</f>
        <v>108</v>
      </c>
      <c r="I57" s="49">
        <f>VLOOKUP($A57,'Data Vlaue (Cr)'!$C:$FB,46)*100</f>
        <v>-23.169999999999998</v>
      </c>
      <c r="J57" s="51">
        <f>VLOOKUP($A57,'Data Vlaue (Cr)'!$C:$FB,59)</f>
        <v>680</v>
      </c>
      <c r="K57" s="51">
        <f>VLOOKUP($A57,'Data Vlaue (Cr)'!$C:$FB,60)</f>
        <v>650</v>
      </c>
      <c r="L57" s="51">
        <f>VLOOKUP($A57,'Data Vlaue (Cr)'!$C:$FB,62)*100</f>
        <v>4.62</v>
      </c>
      <c r="M57" s="51">
        <f>VLOOKUP($A57,'Data Vlaue (Cr)'!$C:$FB,63)</f>
        <v>347</v>
      </c>
      <c r="N57" s="51">
        <f>VLOOKUP($A57,'Data Vlaue (Cr)'!$C:$FB,64)</f>
        <v>254</v>
      </c>
      <c r="O57" s="51">
        <f>VLOOKUP($A57,'Data Vlaue (Cr)'!$C:$FB,66)*100</f>
        <v>37.019999999999996</v>
      </c>
    </row>
    <row r="58" spans="1:15" x14ac:dyDescent="0.25">
      <c r="A58" s="101" t="str">
        <f>'Data Vlaue (Cr)'!C53</f>
        <v>DALBHARAT</v>
      </c>
      <c r="B58" s="50">
        <f>VLOOKUP($A58,'Data Vlaue (Cr)'!$C:$FB,8)</f>
        <v>2175.1999999999998</v>
      </c>
      <c r="C58" s="50">
        <f>VLOOKUP($A58,'Data Vlaue (Cr)'!$C:$FB,11)*100</f>
        <v>-0.74</v>
      </c>
      <c r="D58" s="50">
        <f>VLOOKUP($A58,'Data Vlaue (Cr)'!$C:$FB,143)</f>
        <v>241.28</v>
      </c>
      <c r="E58" s="50">
        <f>VLOOKUP($A58,'Data Vlaue (Cr)'!$C:$FB,144)</f>
        <v>339.89</v>
      </c>
      <c r="F58" s="50">
        <f>VLOOKUP($A58,'Data Vlaue (Cr)'!$C:$FB,146)*100</f>
        <v>-29.01</v>
      </c>
      <c r="G58" s="49">
        <f>VLOOKUP($A58,'Data Vlaue (Cr)'!$C:$FB,43)</f>
        <v>94</v>
      </c>
      <c r="H58" s="49">
        <f>VLOOKUP($A58,'Data Vlaue (Cr)'!$C:$FB,44)</f>
        <v>88</v>
      </c>
      <c r="I58" s="49">
        <f>VLOOKUP($A58,'Data Vlaue (Cr)'!$C:$FB,46)*100</f>
        <v>7.08</v>
      </c>
      <c r="J58" s="51">
        <f>VLOOKUP($A58,'Data Vlaue (Cr)'!$C:$FB,59)</f>
        <v>68</v>
      </c>
      <c r="K58" s="51">
        <f>VLOOKUP($A58,'Data Vlaue (Cr)'!$C:$FB,60)</f>
        <v>178</v>
      </c>
      <c r="L58" s="51">
        <f>VLOOKUP($A58,'Data Vlaue (Cr)'!$C:$FB,62)*100</f>
        <v>-61.760000000000005</v>
      </c>
      <c r="M58" s="51">
        <f>VLOOKUP($A58,'Data Vlaue (Cr)'!$C:$FB,63)</f>
        <v>77</v>
      </c>
      <c r="N58" s="51">
        <f>VLOOKUP($A58,'Data Vlaue (Cr)'!$C:$FB,64)</f>
        <v>65</v>
      </c>
      <c r="O58" s="51">
        <f>VLOOKUP($A58,'Data Vlaue (Cr)'!$C:$FB,66)*100</f>
        <v>19.869999999999997</v>
      </c>
    </row>
    <row r="59" spans="1:15" x14ac:dyDescent="0.25">
      <c r="A59" s="101" t="str">
        <f>'Data Vlaue (Cr)'!C54</f>
        <v>DELHIVERY</v>
      </c>
      <c r="B59" s="50">
        <f>VLOOKUP($A59,'Data Vlaue (Cr)'!$C:$FB,8)</f>
        <v>429.5</v>
      </c>
      <c r="C59" s="50">
        <f>VLOOKUP($A59,'Data Vlaue (Cr)'!$C:$FB,11)*100</f>
        <v>-1.48</v>
      </c>
      <c r="D59" s="50">
        <f>VLOOKUP($A59,'Data Vlaue (Cr)'!$C:$FB,143)</f>
        <v>873.56</v>
      </c>
      <c r="E59" s="50">
        <f>VLOOKUP($A59,'Data Vlaue (Cr)'!$C:$FB,144)</f>
        <v>1198.48</v>
      </c>
      <c r="F59" s="50">
        <f>VLOOKUP($A59,'Data Vlaue (Cr)'!$C:$FB,146)*100</f>
        <v>-27.11</v>
      </c>
      <c r="G59" s="49">
        <f>VLOOKUP($A59,'Data Vlaue (Cr)'!$C:$FB,43)</f>
        <v>242</v>
      </c>
      <c r="H59" s="49">
        <f>VLOOKUP($A59,'Data Vlaue (Cr)'!$C:$FB,44)</f>
        <v>321</v>
      </c>
      <c r="I59" s="49">
        <f>VLOOKUP($A59,'Data Vlaue (Cr)'!$C:$FB,46)*100</f>
        <v>-24.58</v>
      </c>
      <c r="J59" s="51">
        <f>VLOOKUP($A59,'Data Vlaue (Cr)'!$C:$FB,59)</f>
        <v>434</v>
      </c>
      <c r="K59" s="51">
        <f>VLOOKUP($A59,'Data Vlaue (Cr)'!$C:$FB,60)</f>
        <v>607</v>
      </c>
      <c r="L59" s="51">
        <f>VLOOKUP($A59,'Data Vlaue (Cr)'!$C:$FB,62)*100</f>
        <v>-28.52</v>
      </c>
      <c r="M59" s="51">
        <f>VLOOKUP($A59,'Data Vlaue (Cr)'!$C:$FB,63)</f>
        <v>171</v>
      </c>
      <c r="N59" s="51">
        <f>VLOOKUP($A59,'Data Vlaue (Cr)'!$C:$FB,64)</f>
        <v>222</v>
      </c>
      <c r="O59" s="51">
        <f>VLOOKUP($A59,'Data Vlaue (Cr)'!$C:$FB,66)*100</f>
        <v>-22.830000000000002</v>
      </c>
    </row>
    <row r="60" spans="1:15" x14ac:dyDescent="0.25">
      <c r="A60" s="101" t="str">
        <f>'Data Vlaue (Cr)'!C55</f>
        <v>DIVISLAB</v>
      </c>
      <c r="B60" s="50">
        <f>VLOOKUP($A60,'Data Vlaue (Cr)'!$C:$FB,8)</f>
        <v>6386.5</v>
      </c>
      <c r="C60" s="50">
        <f>VLOOKUP($A60,'Data Vlaue (Cr)'!$C:$FB,11)*100</f>
        <v>3.42</v>
      </c>
      <c r="D60" s="50">
        <f>VLOOKUP($A60,'Data Vlaue (Cr)'!$C:$FB,143)</f>
        <v>14738.72</v>
      </c>
      <c r="E60" s="50">
        <f>VLOOKUP($A60,'Data Vlaue (Cr)'!$C:$FB,144)</f>
        <v>2263.54</v>
      </c>
      <c r="F60" s="50">
        <f>VLOOKUP($A60,'Data Vlaue (Cr)'!$C:$FB,146)*100</f>
        <v>551.13</v>
      </c>
      <c r="G60" s="49">
        <f>VLOOKUP($A60,'Data Vlaue (Cr)'!$C:$FB,43)</f>
        <v>1511</v>
      </c>
      <c r="H60" s="49">
        <f>VLOOKUP($A60,'Data Vlaue (Cr)'!$C:$FB,44)</f>
        <v>369</v>
      </c>
      <c r="I60" s="49">
        <f>VLOOKUP($A60,'Data Vlaue (Cr)'!$C:$FB,46)*100</f>
        <v>309.22000000000003</v>
      </c>
      <c r="J60" s="51">
        <f>VLOOKUP($A60,'Data Vlaue (Cr)'!$C:$FB,59)</f>
        <v>9104</v>
      </c>
      <c r="K60" s="51">
        <f>VLOOKUP($A60,'Data Vlaue (Cr)'!$C:$FB,60)</f>
        <v>1423</v>
      </c>
      <c r="L60" s="51">
        <f>VLOOKUP($A60,'Data Vlaue (Cr)'!$C:$FB,62)*100</f>
        <v>539.99</v>
      </c>
      <c r="M60" s="51">
        <f>VLOOKUP($A60,'Data Vlaue (Cr)'!$C:$FB,63)</f>
        <v>3972</v>
      </c>
      <c r="N60" s="51">
        <f>VLOOKUP($A60,'Data Vlaue (Cr)'!$C:$FB,64)</f>
        <v>466</v>
      </c>
      <c r="O60" s="51">
        <f>VLOOKUP($A60,'Data Vlaue (Cr)'!$C:$FB,66)*100</f>
        <v>753</v>
      </c>
    </row>
    <row r="61" spans="1:15" x14ac:dyDescent="0.25">
      <c r="A61" s="101" t="str">
        <f>'Data Vlaue (Cr)'!C56</f>
        <v>DIXON</v>
      </c>
      <c r="B61" s="50">
        <f>VLOOKUP($A61,'Data Vlaue (Cr)'!$C:$FB,8)</f>
        <v>11741</v>
      </c>
      <c r="C61" s="50">
        <f>VLOOKUP($A61,'Data Vlaue (Cr)'!$C:$FB,11)*100</f>
        <v>1.1400000000000001</v>
      </c>
      <c r="D61" s="50">
        <f>VLOOKUP($A61,'Data Vlaue (Cr)'!$C:$FB,143)</f>
        <v>6527.43</v>
      </c>
      <c r="E61" s="50">
        <f>VLOOKUP($A61,'Data Vlaue (Cr)'!$C:$FB,144)</f>
        <v>6582.79</v>
      </c>
      <c r="F61" s="50">
        <f>VLOOKUP($A61,'Data Vlaue (Cr)'!$C:$FB,146)*100</f>
        <v>-0.84</v>
      </c>
      <c r="G61" s="49">
        <f>VLOOKUP($A61,'Data Vlaue (Cr)'!$C:$FB,43)</f>
        <v>736</v>
      </c>
      <c r="H61" s="49">
        <f>VLOOKUP($A61,'Data Vlaue (Cr)'!$C:$FB,44)</f>
        <v>780</v>
      </c>
      <c r="I61" s="49">
        <f>VLOOKUP($A61,'Data Vlaue (Cr)'!$C:$FB,46)*100</f>
        <v>-5.7299999999999995</v>
      </c>
      <c r="J61" s="51">
        <f>VLOOKUP($A61,'Data Vlaue (Cr)'!$C:$FB,59)</f>
        <v>3901</v>
      </c>
      <c r="K61" s="51">
        <f>VLOOKUP($A61,'Data Vlaue (Cr)'!$C:$FB,60)</f>
        <v>3800</v>
      </c>
      <c r="L61" s="51">
        <f>VLOOKUP($A61,'Data Vlaue (Cr)'!$C:$FB,62)*100</f>
        <v>2.65</v>
      </c>
      <c r="M61" s="51">
        <f>VLOOKUP($A61,'Data Vlaue (Cr)'!$C:$FB,63)</f>
        <v>1775</v>
      </c>
      <c r="N61" s="51">
        <f>VLOOKUP($A61,'Data Vlaue (Cr)'!$C:$FB,64)</f>
        <v>1897</v>
      </c>
      <c r="O61" s="51">
        <f>VLOOKUP($A61,'Data Vlaue (Cr)'!$C:$FB,66)*100</f>
        <v>-6.4399999999999995</v>
      </c>
    </row>
    <row r="62" spans="1:15" x14ac:dyDescent="0.25">
      <c r="A62" s="101" t="str">
        <f>'Data Vlaue (Cr)'!C57</f>
        <v>DLF</v>
      </c>
      <c r="B62" s="50">
        <f>VLOOKUP($A62,'Data Vlaue (Cr)'!$C:$FB,8)</f>
        <v>672.05</v>
      </c>
      <c r="C62" s="50">
        <f>VLOOKUP($A62,'Data Vlaue (Cr)'!$C:$FB,11)*100</f>
        <v>0.04</v>
      </c>
      <c r="D62" s="50">
        <f>VLOOKUP($A62,'Data Vlaue (Cr)'!$C:$FB,143)</f>
        <v>1610.23</v>
      </c>
      <c r="E62" s="50">
        <f>VLOOKUP($A62,'Data Vlaue (Cr)'!$C:$FB,144)</f>
        <v>1539.11</v>
      </c>
      <c r="F62" s="50">
        <f>VLOOKUP($A62,'Data Vlaue (Cr)'!$C:$FB,146)*100</f>
        <v>4.62</v>
      </c>
      <c r="G62" s="49">
        <f>VLOOKUP($A62,'Data Vlaue (Cr)'!$C:$FB,43)</f>
        <v>283</v>
      </c>
      <c r="H62" s="49">
        <f>VLOOKUP($A62,'Data Vlaue (Cr)'!$C:$FB,44)</f>
        <v>310</v>
      </c>
      <c r="I62" s="49">
        <f>VLOOKUP($A62,'Data Vlaue (Cr)'!$C:$FB,46)*100</f>
        <v>-8.75</v>
      </c>
      <c r="J62" s="51">
        <f>VLOOKUP($A62,'Data Vlaue (Cr)'!$C:$FB,59)</f>
        <v>803</v>
      </c>
      <c r="K62" s="51">
        <f>VLOOKUP($A62,'Data Vlaue (Cr)'!$C:$FB,60)</f>
        <v>837</v>
      </c>
      <c r="L62" s="51">
        <f>VLOOKUP($A62,'Data Vlaue (Cr)'!$C:$FB,62)*100</f>
        <v>-4.1399999999999997</v>
      </c>
      <c r="M62" s="51">
        <f>VLOOKUP($A62,'Data Vlaue (Cr)'!$C:$FB,63)</f>
        <v>508</v>
      </c>
      <c r="N62" s="51">
        <f>VLOOKUP($A62,'Data Vlaue (Cr)'!$C:$FB,64)</f>
        <v>368</v>
      </c>
      <c r="O62" s="51">
        <f>VLOOKUP($A62,'Data Vlaue (Cr)'!$C:$FB,66)*100</f>
        <v>38.11</v>
      </c>
    </row>
    <row r="63" spans="1:15" x14ac:dyDescent="0.25">
      <c r="A63" s="101" t="str">
        <f>'Data Vlaue (Cr)'!C58</f>
        <v>DMART</v>
      </c>
      <c r="B63" s="50">
        <f>VLOOKUP($A63,'Data Vlaue (Cr)'!$C:$FB,8)</f>
        <v>4003.7</v>
      </c>
      <c r="C63" s="50">
        <f>VLOOKUP($A63,'Data Vlaue (Cr)'!$C:$FB,11)*100</f>
        <v>0.04</v>
      </c>
      <c r="D63" s="50">
        <f>VLOOKUP($A63,'Data Vlaue (Cr)'!$C:$FB,143)</f>
        <v>1078.4100000000001</v>
      </c>
      <c r="E63" s="50">
        <f>VLOOKUP($A63,'Data Vlaue (Cr)'!$C:$FB,144)</f>
        <v>2452.61</v>
      </c>
      <c r="F63" s="50">
        <f>VLOOKUP($A63,'Data Vlaue (Cr)'!$C:$FB,146)*100</f>
        <v>-56.03</v>
      </c>
      <c r="G63" s="49">
        <f>VLOOKUP($A63,'Data Vlaue (Cr)'!$C:$FB,43)</f>
        <v>261</v>
      </c>
      <c r="H63" s="49">
        <f>VLOOKUP($A63,'Data Vlaue (Cr)'!$C:$FB,44)</f>
        <v>377</v>
      </c>
      <c r="I63" s="49">
        <f>VLOOKUP($A63,'Data Vlaue (Cr)'!$C:$FB,46)*100</f>
        <v>-30.819999999999997</v>
      </c>
      <c r="J63" s="51">
        <f>VLOOKUP($A63,'Data Vlaue (Cr)'!$C:$FB,59)</f>
        <v>602</v>
      </c>
      <c r="K63" s="51">
        <f>VLOOKUP($A63,'Data Vlaue (Cr)'!$C:$FB,60)</f>
        <v>1507</v>
      </c>
      <c r="L63" s="51">
        <f>VLOOKUP($A63,'Data Vlaue (Cr)'!$C:$FB,62)*100</f>
        <v>-60.08</v>
      </c>
      <c r="M63" s="51">
        <f>VLOOKUP($A63,'Data Vlaue (Cr)'!$C:$FB,63)</f>
        <v>195</v>
      </c>
      <c r="N63" s="51">
        <f>VLOOKUP($A63,'Data Vlaue (Cr)'!$C:$FB,64)</f>
        <v>536</v>
      </c>
      <c r="O63" s="51">
        <f>VLOOKUP($A63,'Data Vlaue (Cr)'!$C:$FB,66)*100</f>
        <v>-63.71</v>
      </c>
    </row>
    <row r="64" spans="1:15" x14ac:dyDescent="0.25">
      <c r="A64" s="101" t="str">
        <f>'Data Vlaue (Cr)'!C59</f>
        <v>DRREDDY</v>
      </c>
      <c r="B64" s="50">
        <f>VLOOKUP($A64,'Data Vlaue (Cr)'!$C:$FB,8)</f>
        <v>1270.3</v>
      </c>
      <c r="C64" s="50">
        <f>VLOOKUP($A64,'Data Vlaue (Cr)'!$C:$FB,11)*100</f>
        <v>1.1400000000000001</v>
      </c>
      <c r="D64" s="50">
        <f>VLOOKUP($A64,'Data Vlaue (Cr)'!$C:$FB,143)</f>
        <v>1721.79</v>
      </c>
      <c r="E64" s="50">
        <f>VLOOKUP($A64,'Data Vlaue (Cr)'!$C:$FB,144)</f>
        <v>2319.08</v>
      </c>
      <c r="F64" s="50">
        <f>VLOOKUP($A64,'Data Vlaue (Cr)'!$C:$FB,146)*100</f>
        <v>-25.759999999999998</v>
      </c>
      <c r="G64" s="49">
        <f>VLOOKUP($A64,'Data Vlaue (Cr)'!$C:$FB,43)</f>
        <v>201</v>
      </c>
      <c r="H64" s="49">
        <f>VLOOKUP($A64,'Data Vlaue (Cr)'!$C:$FB,44)</f>
        <v>285</v>
      </c>
      <c r="I64" s="49">
        <f>VLOOKUP($A64,'Data Vlaue (Cr)'!$C:$FB,46)*100</f>
        <v>-29.5</v>
      </c>
      <c r="J64" s="51">
        <f>VLOOKUP($A64,'Data Vlaue (Cr)'!$C:$FB,59)</f>
        <v>1138</v>
      </c>
      <c r="K64" s="51">
        <f>VLOOKUP($A64,'Data Vlaue (Cr)'!$C:$FB,60)</f>
        <v>1469</v>
      </c>
      <c r="L64" s="51">
        <f>VLOOKUP($A64,'Data Vlaue (Cr)'!$C:$FB,62)*100</f>
        <v>-22.56</v>
      </c>
      <c r="M64" s="51">
        <f>VLOOKUP($A64,'Data Vlaue (Cr)'!$C:$FB,63)</f>
        <v>348</v>
      </c>
      <c r="N64" s="51">
        <f>VLOOKUP($A64,'Data Vlaue (Cr)'!$C:$FB,64)</f>
        <v>507</v>
      </c>
      <c r="O64" s="51">
        <f>VLOOKUP($A64,'Data Vlaue (Cr)'!$C:$FB,66)*100</f>
        <v>-31.39</v>
      </c>
    </row>
    <row r="65" spans="1:15" x14ac:dyDescent="0.25">
      <c r="A65" s="101" t="str">
        <f>'Data Vlaue (Cr)'!C60</f>
        <v>EICHERMOT</v>
      </c>
      <c r="B65" s="50">
        <f>VLOOKUP($A65,'Data Vlaue (Cr)'!$C:$FB,8)</f>
        <v>7771</v>
      </c>
      <c r="C65" s="50">
        <f>VLOOKUP($A65,'Data Vlaue (Cr)'!$C:$FB,11)*100</f>
        <v>6.5100000000000007</v>
      </c>
      <c r="D65" s="50">
        <f>VLOOKUP($A65,'Data Vlaue (Cr)'!$C:$FB,143)</f>
        <v>35332.85</v>
      </c>
      <c r="E65" s="50">
        <f>VLOOKUP($A65,'Data Vlaue (Cr)'!$C:$FB,144)</f>
        <v>5743.51</v>
      </c>
      <c r="F65" s="50">
        <f>VLOOKUP($A65,'Data Vlaue (Cr)'!$C:$FB,146)*100</f>
        <v>515.17999999999995</v>
      </c>
      <c r="G65" s="49">
        <f>VLOOKUP($A65,'Data Vlaue (Cr)'!$C:$FB,43)</f>
        <v>2030</v>
      </c>
      <c r="H65" s="49">
        <f>VLOOKUP($A65,'Data Vlaue (Cr)'!$C:$FB,44)</f>
        <v>382</v>
      </c>
      <c r="I65" s="49">
        <f>VLOOKUP($A65,'Data Vlaue (Cr)'!$C:$FB,46)*100</f>
        <v>431.43</v>
      </c>
      <c r="J65" s="51">
        <f>VLOOKUP($A65,'Data Vlaue (Cr)'!$C:$FB,59)</f>
        <v>22944</v>
      </c>
      <c r="K65" s="51">
        <f>VLOOKUP($A65,'Data Vlaue (Cr)'!$C:$FB,60)</f>
        <v>4201</v>
      </c>
      <c r="L65" s="51">
        <f>VLOOKUP($A65,'Data Vlaue (Cr)'!$C:$FB,62)*100</f>
        <v>446.19</v>
      </c>
      <c r="M65" s="51">
        <f>VLOOKUP($A65,'Data Vlaue (Cr)'!$C:$FB,63)</f>
        <v>10001</v>
      </c>
      <c r="N65" s="51">
        <f>VLOOKUP($A65,'Data Vlaue (Cr)'!$C:$FB,64)</f>
        <v>1392</v>
      </c>
      <c r="O65" s="51">
        <f>VLOOKUP($A65,'Data Vlaue (Cr)'!$C:$FB,66)*100</f>
        <v>618.30999999999995</v>
      </c>
    </row>
    <row r="66" spans="1:15" x14ac:dyDescent="0.25">
      <c r="A66" s="101" t="str">
        <f>'Data Vlaue (Cr)'!C61</f>
        <v>ETERNAL</v>
      </c>
      <c r="B66" s="50">
        <f>VLOOKUP($A66,'Data Vlaue (Cr)'!$C:$FB,8)</f>
        <v>300.7</v>
      </c>
      <c r="C66" s="50">
        <f>VLOOKUP($A66,'Data Vlaue (Cr)'!$C:$FB,11)*100</f>
        <v>-1.02</v>
      </c>
      <c r="D66" s="50">
        <f>VLOOKUP($A66,'Data Vlaue (Cr)'!$C:$FB,143)</f>
        <v>7009.48</v>
      </c>
      <c r="E66" s="50">
        <f>VLOOKUP($A66,'Data Vlaue (Cr)'!$C:$FB,144)</f>
        <v>25302.51</v>
      </c>
      <c r="F66" s="50">
        <f>VLOOKUP($A66,'Data Vlaue (Cr)'!$C:$FB,146)*100</f>
        <v>-72.3</v>
      </c>
      <c r="G66" s="49">
        <f>VLOOKUP($A66,'Data Vlaue (Cr)'!$C:$FB,43)</f>
        <v>717</v>
      </c>
      <c r="H66" s="49">
        <f>VLOOKUP($A66,'Data Vlaue (Cr)'!$C:$FB,44)</f>
        <v>2082</v>
      </c>
      <c r="I66" s="49">
        <f>VLOOKUP($A66,'Data Vlaue (Cr)'!$C:$FB,46)*100</f>
        <v>-65.55</v>
      </c>
      <c r="J66" s="51">
        <f>VLOOKUP($A66,'Data Vlaue (Cr)'!$C:$FB,59)</f>
        <v>3843</v>
      </c>
      <c r="K66" s="51">
        <f>VLOOKUP($A66,'Data Vlaue (Cr)'!$C:$FB,60)</f>
        <v>16012</v>
      </c>
      <c r="L66" s="51">
        <f>VLOOKUP($A66,'Data Vlaue (Cr)'!$C:$FB,62)*100</f>
        <v>-76</v>
      </c>
      <c r="M66" s="51">
        <f>VLOOKUP($A66,'Data Vlaue (Cr)'!$C:$FB,63)</f>
        <v>2253</v>
      </c>
      <c r="N66" s="51">
        <f>VLOOKUP($A66,'Data Vlaue (Cr)'!$C:$FB,64)</f>
        <v>6450</v>
      </c>
      <c r="O66" s="51">
        <f>VLOOKUP($A66,'Data Vlaue (Cr)'!$C:$FB,66)*100</f>
        <v>-65.069999999999993</v>
      </c>
    </row>
    <row r="67" spans="1:15" x14ac:dyDescent="0.25">
      <c r="A67" s="101" t="str">
        <f>'Data Vlaue (Cr)'!C62</f>
        <v>EXIDEIND</v>
      </c>
      <c r="B67" s="50">
        <f>VLOOKUP($A67,'Data Vlaue (Cr)'!$C:$FB,8)</f>
        <v>341.1</v>
      </c>
      <c r="C67" s="50">
        <f>VLOOKUP($A67,'Data Vlaue (Cr)'!$C:$FB,11)*100</f>
        <v>0.67999999999999994</v>
      </c>
      <c r="D67" s="50">
        <f>VLOOKUP($A67,'Data Vlaue (Cr)'!$C:$FB,143)</f>
        <v>488.4</v>
      </c>
      <c r="E67" s="50">
        <f>VLOOKUP($A67,'Data Vlaue (Cr)'!$C:$FB,144)</f>
        <v>681.99</v>
      </c>
      <c r="F67" s="50">
        <f>VLOOKUP($A67,'Data Vlaue (Cr)'!$C:$FB,146)*100</f>
        <v>-28.389999999999997</v>
      </c>
      <c r="G67" s="49">
        <f>VLOOKUP($A67,'Data Vlaue (Cr)'!$C:$FB,43)</f>
        <v>107</v>
      </c>
      <c r="H67" s="49">
        <f>VLOOKUP($A67,'Data Vlaue (Cr)'!$C:$FB,44)</f>
        <v>132</v>
      </c>
      <c r="I67" s="49">
        <f>VLOOKUP($A67,'Data Vlaue (Cr)'!$C:$FB,46)*100</f>
        <v>-18.459999999999997</v>
      </c>
      <c r="J67" s="51">
        <f>VLOOKUP($A67,'Data Vlaue (Cr)'!$C:$FB,59)</f>
        <v>270</v>
      </c>
      <c r="K67" s="51">
        <f>VLOOKUP($A67,'Data Vlaue (Cr)'!$C:$FB,60)</f>
        <v>402</v>
      </c>
      <c r="L67" s="51">
        <f>VLOOKUP($A67,'Data Vlaue (Cr)'!$C:$FB,62)*100</f>
        <v>-32.89</v>
      </c>
      <c r="M67" s="51">
        <f>VLOOKUP($A67,'Data Vlaue (Cr)'!$C:$FB,63)</f>
        <v>104</v>
      </c>
      <c r="N67" s="51">
        <f>VLOOKUP($A67,'Data Vlaue (Cr)'!$C:$FB,64)</f>
        <v>130</v>
      </c>
      <c r="O67" s="51">
        <f>VLOOKUP($A67,'Data Vlaue (Cr)'!$C:$FB,66)*100</f>
        <v>-20.349999999999998</v>
      </c>
    </row>
    <row r="68" spans="1:15" x14ac:dyDescent="0.25">
      <c r="A68" s="101" t="str">
        <f>'Data Vlaue (Cr)'!C63</f>
        <v>FEDERALBNK</v>
      </c>
      <c r="B68" s="50">
        <f>VLOOKUP($A68,'Data Vlaue (Cr)'!$C:$FB,8)</f>
        <v>290.5</v>
      </c>
      <c r="C68" s="50">
        <f>VLOOKUP($A68,'Data Vlaue (Cr)'!$C:$FB,11)*100</f>
        <v>2.92</v>
      </c>
      <c r="D68" s="50">
        <f>VLOOKUP($A68,'Data Vlaue (Cr)'!$C:$FB,143)</f>
        <v>9316.3700000000008</v>
      </c>
      <c r="E68" s="50">
        <f>VLOOKUP($A68,'Data Vlaue (Cr)'!$C:$FB,144)</f>
        <v>2763.95</v>
      </c>
      <c r="F68" s="50">
        <f>VLOOKUP($A68,'Data Vlaue (Cr)'!$C:$FB,146)*100</f>
        <v>237.07</v>
      </c>
      <c r="G68" s="49">
        <f>VLOOKUP($A68,'Data Vlaue (Cr)'!$C:$FB,43)</f>
        <v>1405</v>
      </c>
      <c r="H68" s="49">
        <f>VLOOKUP($A68,'Data Vlaue (Cr)'!$C:$FB,44)</f>
        <v>537</v>
      </c>
      <c r="I68" s="49">
        <f>VLOOKUP($A68,'Data Vlaue (Cr)'!$C:$FB,46)*100</f>
        <v>161.54</v>
      </c>
      <c r="J68" s="51">
        <f>VLOOKUP($A68,'Data Vlaue (Cr)'!$C:$FB,59)</f>
        <v>5265</v>
      </c>
      <c r="K68" s="51">
        <f>VLOOKUP($A68,'Data Vlaue (Cr)'!$C:$FB,60)</f>
        <v>1214</v>
      </c>
      <c r="L68" s="51">
        <f>VLOOKUP($A68,'Data Vlaue (Cr)'!$C:$FB,62)*100</f>
        <v>333.73</v>
      </c>
      <c r="M68" s="51">
        <f>VLOOKUP($A68,'Data Vlaue (Cr)'!$C:$FB,63)</f>
        <v>2509</v>
      </c>
      <c r="N68" s="51">
        <f>VLOOKUP($A68,'Data Vlaue (Cr)'!$C:$FB,64)</f>
        <v>1040</v>
      </c>
      <c r="O68" s="51">
        <f>VLOOKUP($A68,'Data Vlaue (Cr)'!$C:$FB,66)*100</f>
        <v>141.32</v>
      </c>
    </row>
    <row r="69" spans="1:15" x14ac:dyDescent="0.25">
      <c r="A69" s="101" t="str">
        <f>'Data Vlaue (Cr)'!C64</f>
        <v>FINNIFTY</v>
      </c>
      <c r="B69" s="50">
        <f>VLOOKUP($A69,'Data Vlaue (Cr)'!$C:$FB,8)</f>
        <v>28276.95</v>
      </c>
      <c r="C69" s="50">
        <f>VLOOKUP($A69,'Data Vlaue (Cr)'!$C:$FB,11)*100</f>
        <v>0.32</v>
      </c>
      <c r="D69" s="50">
        <f>VLOOKUP($A69,'Data Vlaue (Cr)'!$C:$FB,143)</f>
        <v>7678.75</v>
      </c>
      <c r="E69" s="50">
        <f>VLOOKUP($A69,'Data Vlaue (Cr)'!$C:$FB,144)</f>
        <v>7184.04</v>
      </c>
      <c r="F69" s="50">
        <f>VLOOKUP($A69,'Data Vlaue (Cr)'!$C:$FB,146)*100</f>
        <v>6.8900000000000006</v>
      </c>
      <c r="G69" s="49">
        <f>VLOOKUP($A69,'Data Vlaue (Cr)'!$C:$FB,43)</f>
        <v>39</v>
      </c>
      <c r="H69" s="49">
        <f>VLOOKUP($A69,'Data Vlaue (Cr)'!$C:$FB,44)</f>
        <v>23</v>
      </c>
      <c r="I69" s="49">
        <f>VLOOKUP($A69,'Data Vlaue (Cr)'!$C:$FB,46)*100</f>
        <v>71.64</v>
      </c>
      <c r="J69" s="51">
        <f>VLOOKUP($A69,'Data Vlaue (Cr)'!$C:$FB,59)</f>
        <v>3542</v>
      </c>
      <c r="K69" s="51">
        <f>VLOOKUP($A69,'Data Vlaue (Cr)'!$C:$FB,60)</f>
        <v>2626</v>
      </c>
      <c r="L69" s="51">
        <f>VLOOKUP($A69,'Data Vlaue (Cr)'!$C:$FB,62)*100</f>
        <v>34.880000000000003</v>
      </c>
      <c r="M69" s="51">
        <f>VLOOKUP($A69,'Data Vlaue (Cr)'!$C:$FB,63)</f>
        <v>4134</v>
      </c>
      <c r="N69" s="51">
        <f>VLOOKUP($A69,'Data Vlaue (Cr)'!$C:$FB,64)</f>
        <v>4575</v>
      </c>
      <c r="O69" s="51">
        <f>VLOOKUP($A69,'Data Vlaue (Cr)'!$C:$FB,66)*100</f>
        <v>-9.629999999999999</v>
      </c>
    </row>
    <row r="70" spans="1:15" x14ac:dyDescent="0.25">
      <c r="A70" s="101" t="str">
        <f>'Data Vlaue (Cr)'!C65</f>
        <v>FORTIS</v>
      </c>
      <c r="B70" s="50">
        <f>VLOOKUP($A70,'Data Vlaue (Cr)'!$C:$FB,8)</f>
        <v>918.85</v>
      </c>
      <c r="C70" s="50">
        <f>VLOOKUP($A70,'Data Vlaue (Cr)'!$C:$FB,11)*100</f>
        <v>3.0300000000000002</v>
      </c>
      <c r="D70" s="50">
        <f>VLOOKUP($A70,'Data Vlaue (Cr)'!$C:$FB,143)</f>
        <v>4739.72</v>
      </c>
      <c r="E70" s="50">
        <f>VLOOKUP($A70,'Data Vlaue (Cr)'!$C:$FB,144)</f>
        <v>570.27</v>
      </c>
      <c r="F70" s="50">
        <f>VLOOKUP($A70,'Data Vlaue (Cr)'!$C:$FB,146)*100</f>
        <v>731.14</v>
      </c>
      <c r="G70" s="49">
        <f>VLOOKUP($A70,'Data Vlaue (Cr)'!$C:$FB,43)</f>
        <v>382</v>
      </c>
      <c r="H70" s="49">
        <f>VLOOKUP($A70,'Data Vlaue (Cr)'!$C:$FB,44)</f>
        <v>143</v>
      </c>
      <c r="I70" s="49">
        <f>VLOOKUP($A70,'Data Vlaue (Cr)'!$C:$FB,46)*100</f>
        <v>167.53</v>
      </c>
      <c r="J70" s="51">
        <f>VLOOKUP($A70,'Data Vlaue (Cr)'!$C:$FB,59)</f>
        <v>3227</v>
      </c>
      <c r="K70" s="51">
        <f>VLOOKUP($A70,'Data Vlaue (Cr)'!$C:$FB,60)</f>
        <v>283</v>
      </c>
      <c r="L70" s="51">
        <f>VLOOKUP($A70,'Data Vlaue (Cr)'!$C:$FB,62)*100</f>
        <v>1039.21</v>
      </c>
      <c r="M70" s="51">
        <f>VLOOKUP($A70,'Data Vlaue (Cr)'!$C:$FB,63)</f>
        <v>1014</v>
      </c>
      <c r="N70" s="51">
        <f>VLOOKUP($A70,'Data Vlaue (Cr)'!$C:$FB,64)</f>
        <v>150</v>
      </c>
      <c r="O70" s="51">
        <f>VLOOKUP($A70,'Data Vlaue (Cr)'!$C:$FB,66)*100</f>
        <v>575.91999999999996</v>
      </c>
    </row>
    <row r="71" spans="1:15" x14ac:dyDescent="0.25">
      <c r="A71" s="101" t="str">
        <f>'Data Vlaue (Cr)'!C66</f>
        <v>GAIL</v>
      </c>
      <c r="B71" s="50">
        <f>VLOOKUP($A71,'Data Vlaue (Cr)'!$C:$FB,8)</f>
        <v>163.47</v>
      </c>
      <c r="C71" s="50">
        <f>VLOOKUP($A71,'Data Vlaue (Cr)'!$C:$FB,11)*100</f>
        <v>-0.66</v>
      </c>
      <c r="D71" s="50">
        <f>VLOOKUP($A71,'Data Vlaue (Cr)'!$C:$FB,143)</f>
        <v>613.91</v>
      </c>
      <c r="E71" s="50">
        <f>VLOOKUP($A71,'Data Vlaue (Cr)'!$C:$FB,144)</f>
        <v>1290.67</v>
      </c>
      <c r="F71" s="50">
        <f>VLOOKUP($A71,'Data Vlaue (Cr)'!$C:$FB,146)*100</f>
        <v>-52.44</v>
      </c>
      <c r="G71" s="49">
        <f>VLOOKUP($A71,'Data Vlaue (Cr)'!$C:$FB,43)</f>
        <v>132</v>
      </c>
      <c r="H71" s="49">
        <f>VLOOKUP($A71,'Data Vlaue (Cr)'!$C:$FB,44)</f>
        <v>231</v>
      </c>
      <c r="I71" s="49">
        <f>VLOOKUP($A71,'Data Vlaue (Cr)'!$C:$FB,46)*100</f>
        <v>-42.699999999999996</v>
      </c>
      <c r="J71" s="51">
        <f>VLOOKUP($A71,'Data Vlaue (Cr)'!$C:$FB,59)</f>
        <v>315</v>
      </c>
      <c r="K71" s="51">
        <f>VLOOKUP($A71,'Data Vlaue (Cr)'!$C:$FB,60)</f>
        <v>669</v>
      </c>
      <c r="L71" s="51">
        <f>VLOOKUP($A71,'Data Vlaue (Cr)'!$C:$FB,62)*100</f>
        <v>-52.94</v>
      </c>
      <c r="M71" s="51">
        <f>VLOOKUP($A71,'Data Vlaue (Cr)'!$C:$FB,63)</f>
        <v>157</v>
      </c>
      <c r="N71" s="51">
        <f>VLOOKUP($A71,'Data Vlaue (Cr)'!$C:$FB,64)</f>
        <v>365</v>
      </c>
      <c r="O71" s="51">
        <f>VLOOKUP($A71,'Data Vlaue (Cr)'!$C:$FB,66)*100</f>
        <v>-56.989999999999995</v>
      </c>
    </row>
    <row r="72" spans="1:15" x14ac:dyDescent="0.25">
      <c r="A72" s="101" t="str">
        <f>'Data Vlaue (Cr)'!C67</f>
        <v>GLENMARK</v>
      </c>
      <c r="B72" s="50">
        <f>VLOOKUP($A72,'Data Vlaue (Cr)'!$C:$FB,8)</f>
        <v>2015.2</v>
      </c>
      <c r="C72" s="50">
        <f>VLOOKUP($A72,'Data Vlaue (Cr)'!$C:$FB,11)*100</f>
        <v>2.92</v>
      </c>
      <c r="D72" s="50">
        <f>VLOOKUP($A72,'Data Vlaue (Cr)'!$C:$FB,143)</f>
        <v>1625.17</v>
      </c>
      <c r="E72" s="50">
        <f>VLOOKUP($A72,'Data Vlaue (Cr)'!$C:$FB,144)</f>
        <v>682.1</v>
      </c>
      <c r="F72" s="50">
        <f>VLOOKUP($A72,'Data Vlaue (Cr)'!$C:$FB,146)*100</f>
        <v>138.26</v>
      </c>
      <c r="G72" s="49">
        <f>VLOOKUP($A72,'Data Vlaue (Cr)'!$C:$FB,43)</f>
        <v>298</v>
      </c>
      <c r="H72" s="49">
        <f>VLOOKUP($A72,'Data Vlaue (Cr)'!$C:$FB,44)</f>
        <v>139</v>
      </c>
      <c r="I72" s="49">
        <f>VLOOKUP($A72,'Data Vlaue (Cr)'!$C:$FB,46)*100</f>
        <v>113.86</v>
      </c>
      <c r="J72" s="51">
        <f>VLOOKUP($A72,'Data Vlaue (Cr)'!$C:$FB,59)</f>
        <v>1002</v>
      </c>
      <c r="K72" s="51">
        <f>VLOOKUP($A72,'Data Vlaue (Cr)'!$C:$FB,60)</f>
        <v>399</v>
      </c>
      <c r="L72" s="51">
        <f>VLOOKUP($A72,'Data Vlaue (Cr)'!$C:$FB,62)*100</f>
        <v>151.21</v>
      </c>
      <c r="M72" s="51">
        <f>VLOOKUP($A72,'Data Vlaue (Cr)'!$C:$FB,63)</f>
        <v>309</v>
      </c>
      <c r="N72" s="51">
        <f>VLOOKUP($A72,'Data Vlaue (Cr)'!$C:$FB,64)</f>
        <v>144</v>
      </c>
      <c r="O72" s="51">
        <f>VLOOKUP($A72,'Data Vlaue (Cr)'!$C:$FB,66)*100</f>
        <v>114.94</v>
      </c>
    </row>
    <row r="73" spans="1:15" x14ac:dyDescent="0.25">
      <c r="A73" s="101" t="str">
        <f>'Data Vlaue (Cr)'!C68</f>
        <v>GMRAIRPORT</v>
      </c>
      <c r="B73" s="50">
        <f>VLOOKUP($A73,'Data Vlaue (Cr)'!$C:$FB,8)</f>
        <v>96.81</v>
      </c>
      <c r="C73" s="50">
        <f>VLOOKUP($A73,'Data Vlaue (Cr)'!$C:$FB,11)*100</f>
        <v>-1.02</v>
      </c>
      <c r="D73" s="50">
        <f>VLOOKUP($A73,'Data Vlaue (Cr)'!$C:$FB,143)</f>
        <v>545.01</v>
      </c>
      <c r="E73" s="50">
        <f>VLOOKUP($A73,'Data Vlaue (Cr)'!$C:$FB,144)</f>
        <v>550.24</v>
      </c>
      <c r="F73" s="50">
        <f>VLOOKUP($A73,'Data Vlaue (Cr)'!$C:$FB,146)*100</f>
        <v>-0.95</v>
      </c>
      <c r="G73" s="49">
        <f>VLOOKUP($A73,'Data Vlaue (Cr)'!$C:$FB,43)</f>
        <v>105</v>
      </c>
      <c r="H73" s="49">
        <f>VLOOKUP($A73,'Data Vlaue (Cr)'!$C:$FB,44)</f>
        <v>98</v>
      </c>
      <c r="I73" s="49">
        <f>VLOOKUP($A73,'Data Vlaue (Cr)'!$C:$FB,46)*100</f>
        <v>7.42</v>
      </c>
      <c r="J73" s="51">
        <f>VLOOKUP($A73,'Data Vlaue (Cr)'!$C:$FB,59)</f>
        <v>322</v>
      </c>
      <c r="K73" s="51">
        <f>VLOOKUP($A73,'Data Vlaue (Cr)'!$C:$FB,60)</f>
        <v>290</v>
      </c>
      <c r="L73" s="51">
        <f>VLOOKUP($A73,'Data Vlaue (Cr)'!$C:$FB,62)*100</f>
        <v>10.96</v>
      </c>
      <c r="M73" s="51">
        <f>VLOOKUP($A73,'Data Vlaue (Cr)'!$C:$FB,63)</f>
        <v>102</v>
      </c>
      <c r="N73" s="51">
        <f>VLOOKUP($A73,'Data Vlaue (Cr)'!$C:$FB,64)</f>
        <v>149</v>
      </c>
      <c r="O73" s="51">
        <f>VLOOKUP($A73,'Data Vlaue (Cr)'!$C:$FB,66)*100</f>
        <v>-32.029999999999994</v>
      </c>
    </row>
    <row r="74" spans="1:15" x14ac:dyDescent="0.25">
      <c r="A74" s="101" t="str">
        <f>'Data Vlaue (Cr)'!C69</f>
        <v>GODREJCP</v>
      </c>
      <c r="B74" s="50">
        <f>VLOOKUP($A74,'Data Vlaue (Cr)'!$C:$FB,8)</f>
        <v>1208.5999999999999</v>
      </c>
      <c r="C74" s="50">
        <f>VLOOKUP($A74,'Data Vlaue (Cr)'!$C:$FB,11)*100</f>
        <v>0.16999999999999998</v>
      </c>
      <c r="D74" s="50">
        <f>VLOOKUP($A74,'Data Vlaue (Cr)'!$C:$FB,143)</f>
        <v>551.82000000000005</v>
      </c>
      <c r="E74" s="50">
        <f>VLOOKUP($A74,'Data Vlaue (Cr)'!$C:$FB,144)</f>
        <v>805.42</v>
      </c>
      <c r="F74" s="50">
        <f>VLOOKUP($A74,'Data Vlaue (Cr)'!$C:$FB,146)*100</f>
        <v>-31.490000000000002</v>
      </c>
      <c r="G74" s="49">
        <f>VLOOKUP($A74,'Data Vlaue (Cr)'!$C:$FB,43)</f>
        <v>129</v>
      </c>
      <c r="H74" s="49">
        <f>VLOOKUP($A74,'Data Vlaue (Cr)'!$C:$FB,44)</f>
        <v>115</v>
      </c>
      <c r="I74" s="49">
        <f>VLOOKUP($A74,'Data Vlaue (Cr)'!$C:$FB,46)*100</f>
        <v>12.790000000000001</v>
      </c>
      <c r="J74" s="51">
        <f>VLOOKUP($A74,'Data Vlaue (Cr)'!$C:$FB,59)</f>
        <v>309</v>
      </c>
      <c r="K74" s="51">
        <f>VLOOKUP($A74,'Data Vlaue (Cr)'!$C:$FB,60)</f>
        <v>501</v>
      </c>
      <c r="L74" s="51">
        <f>VLOOKUP($A74,'Data Vlaue (Cr)'!$C:$FB,62)*100</f>
        <v>-38.31</v>
      </c>
      <c r="M74" s="51">
        <f>VLOOKUP($A74,'Data Vlaue (Cr)'!$C:$FB,63)</f>
        <v>112</v>
      </c>
      <c r="N74" s="51">
        <f>VLOOKUP($A74,'Data Vlaue (Cr)'!$C:$FB,64)</f>
        <v>192</v>
      </c>
      <c r="O74" s="51">
        <f>VLOOKUP($A74,'Data Vlaue (Cr)'!$C:$FB,66)*100</f>
        <v>-41.8</v>
      </c>
    </row>
    <row r="75" spans="1:15" x14ac:dyDescent="0.25">
      <c r="A75" s="101" t="str">
        <f>'Data Vlaue (Cr)'!C70</f>
        <v>GODREJPROP</v>
      </c>
      <c r="B75" s="50">
        <f>VLOOKUP($A75,'Data Vlaue (Cr)'!$C:$FB,8)</f>
        <v>1852.1</v>
      </c>
      <c r="C75" s="50">
        <f>VLOOKUP($A75,'Data Vlaue (Cr)'!$C:$FB,11)*100</f>
        <v>1.72</v>
      </c>
      <c r="D75" s="50">
        <f>VLOOKUP($A75,'Data Vlaue (Cr)'!$C:$FB,143)</f>
        <v>2262.7600000000002</v>
      </c>
      <c r="E75" s="50">
        <f>VLOOKUP($A75,'Data Vlaue (Cr)'!$C:$FB,144)</f>
        <v>2146.5</v>
      </c>
      <c r="F75" s="50">
        <f>VLOOKUP($A75,'Data Vlaue (Cr)'!$C:$FB,146)*100</f>
        <v>5.42</v>
      </c>
      <c r="G75" s="49">
        <f>VLOOKUP($A75,'Data Vlaue (Cr)'!$C:$FB,43)</f>
        <v>345</v>
      </c>
      <c r="H75" s="49">
        <f>VLOOKUP($A75,'Data Vlaue (Cr)'!$C:$FB,44)</f>
        <v>281</v>
      </c>
      <c r="I75" s="49">
        <f>VLOOKUP($A75,'Data Vlaue (Cr)'!$C:$FB,46)*100</f>
        <v>22.64</v>
      </c>
      <c r="J75" s="51">
        <f>VLOOKUP($A75,'Data Vlaue (Cr)'!$C:$FB,59)</f>
        <v>1235</v>
      </c>
      <c r="K75" s="51">
        <f>VLOOKUP($A75,'Data Vlaue (Cr)'!$C:$FB,60)</f>
        <v>1293</v>
      </c>
      <c r="L75" s="51">
        <f>VLOOKUP($A75,'Data Vlaue (Cr)'!$C:$FB,62)*100</f>
        <v>-4.5199999999999996</v>
      </c>
      <c r="M75" s="51">
        <f>VLOOKUP($A75,'Data Vlaue (Cr)'!$C:$FB,63)</f>
        <v>662</v>
      </c>
      <c r="N75" s="51">
        <f>VLOOKUP($A75,'Data Vlaue (Cr)'!$C:$FB,64)</f>
        <v>566</v>
      </c>
      <c r="O75" s="51">
        <f>VLOOKUP($A75,'Data Vlaue (Cr)'!$C:$FB,66)*100</f>
        <v>16.8</v>
      </c>
    </row>
    <row r="76" spans="1:15" x14ac:dyDescent="0.25">
      <c r="A76" s="101" t="str">
        <f>'Data Vlaue (Cr)'!C71</f>
        <v>GRASIM</v>
      </c>
      <c r="B76" s="50">
        <f>VLOOKUP($A76,'Data Vlaue (Cr)'!$C:$FB,8)</f>
        <v>2932.6</v>
      </c>
      <c r="C76" s="50">
        <f>VLOOKUP($A76,'Data Vlaue (Cr)'!$C:$FB,11)*100</f>
        <v>-0.72</v>
      </c>
      <c r="D76" s="50">
        <f>VLOOKUP($A76,'Data Vlaue (Cr)'!$C:$FB,143)</f>
        <v>4908.91</v>
      </c>
      <c r="E76" s="50">
        <f>VLOOKUP($A76,'Data Vlaue (Cr)'!$C:$FB,144)</f>
        <v>3596.26</v>
      </c>
      <c r="F76" s="50">
        <f>VLOOKUP($A76,'Data Vlaue (Cr)'!$C:$FB,146)*100</f>
        <v>36.5</v>
      </c>
      <c r="G76" s="49">
        <f>VLOOKUP($A76,'Data Vlaue (Cr)'!$C:$FB,43)</f>
        <v>777</v>
      </c>
      <c r="H76" s="49">
        <f>VLOOKUP($A76,'Data Vlaue (Cr)'!$C:$FB,44)</f>
        <v>490</v>
      </c>
      <c r="I76" s="49">
        <f>VLOOKUP($A76,'Data Vlaue (Cr)'!$C:$FB,46)*100</f>
        <v>58.75</v>
      </c>
      <c r="J76" s="51">
        <f>VLOOKUP($A76,'Data Vlaue (Cr)'!$C:$FB,59)</f>
        <v>2679</v>
      </c>
      <c r="K76" s="51">
        <f>VLOOKUP($A76,'Data Vlaue (Cr)'!$C:$FB,60)</f>
        <v>1899</v>
      </c>
      <c r="L76" s="51">
        <f>VLOOKUP($A76,'Data Vlaue (Cr)'!$C:$FB,62)*100</f>
        <v>41.11</v>
      </c>
      <c r="M76" s="51">
        <f>VLOOKUP($A76,'Data Vlaue (Cr)'!$C:$FB,63)</f>
        <v>1378</v>
      </c>
      <c r="N76" s="51">
        <f>VLOOKUP($A76,'Data Vlaue (Cr)'!$C:$FB,64)</f>
        <v>1161</v>
      </c>
      <c r="O76" s="51">
        <f>VLOOKUP($A76,'Data Vlaue (Cr)'!$C:$FB,66)*100</f>
        <v>18.72</v>
      </c>
    </row>
    <row r="77" spans="1:15" x14ac:dyDescent="0.25">
      <c r="A77" s="101" t="str">
        <f>'Data Vlaue (Cr)'!C72</f>
        <v>HAL</v>
      </c>
      <c r="B77" s="50">
        <f>VLOOKUP($A77,'Data Vlaue (Cr)'!$C:$FB,8)</f>
        <v>4133</v>
      </c>
      <c r="C77" s="50">
        <f>VLOOKUP($A77,'Data Vlaue (Cr)'!$C:$FB,11)*100</f>
        <v>-0.85000000000000009</v>
      </c>
      <c r="D77" s="50">
        <f>VLOOKUP($A77,'Data Vlaue (Cr)'!$C:$FB,143)</f>
        <v>4114.45</v>
      </c>
      <c r="E77" s="50">
        <f>VLOOKUP($A77,'Data Vlaue (Cr)'!$C:$FB,144)</f>
        <v>5241.58</v>
      </c>
      <c r="F77" s="50">
        <f>VLOOKUP($A77,'Data Vlaue (Cr)'!$C:$FB,146)*100</f>
        <v>-21.5</v>
      </c>
      <c r="G77" s="49">
        <f>VLOOKUP($A77,'Data Vlaue (Cr)'!$C:$FB,43)</f>
        <v>460</v>
      </c>
      <c r="H77" s="49">
        <f>VLOOKUP($A77,'Data Vlaue (Cr)'!$C:$FB,44)</f>
        <v>657</v>
      </c>
      <c r="I77" s="49">
        <f>VLOOKUP($A77,'Data Vlaue (Cr)'!$C:$FB,46)*100</f>
        <v>-29.99</v>
      </c>
      <c r="J77" s="51">
        <f>VLOOKUP($A77,'Data Vlaue (Cr)'!$C:$FB,59)</f>
        <v>2535</v>
      </c>
      <c r="K77" s="51">
        <f>VLOOKUP($A77,'Data Vlaue (Cr)'!$C:$FB,60)</f>
        <v>3202</v>
      </c>
      <c r="L77" s="51">
        <f>VLOOKUP($A77,'Data Vlaue (Cr)'!$C:$FB,62)*100</f>
        <v>-20.849999999999998</v>
      </c>
      <c r="M77" s="51">
        <f>VLOOKUP($A77,'Data Vlaue (Cr)'!$C:$FB,63)</f>
        <v>914</v>
      </c>
      <c r="N77" s="51">
        <f>VLOOKUP($A77,'Data Vlaue (Cr)'!$C:$FB,64)</f>
        <v>1145</v>
      </c>
      <c r="O77" s="51">
        <f>VLOOKUP($A77,'Data Vlaue (Cr)'!$C:$FB,66)*100</f>
        <v>-20.14</v>
      </c>
    </row>
    <row r="78" spans="1:15" x14ac:dyDescent="0.25">
      <c r="A78" s="101" t="str">
        <f>'Data Vlaue (Cr)'!C73</f>
        <v>HAVELLS</v>
      </c>
      <c r="B78" s="50">
        <f>VLOOKUP($A78,'Data Vlaue (Cr)'!$C:$FB,8)</f>
        <v>1383.8</v>
      </c>
      <c r="C78" s="50">
        <f>VLOOKUP($A78,'Data Vlaue (Cr)'!$C:$FB,11)*100</f>
        <v>0.77999999999999992</v>
      </c>
      <c r="D78" s="50">
        <f>VLOOKUP($A78,'Data Vlaue (Cr)'!$C:$FB,143)</f>
        <v>655.27</v>
      </c>
      <c r="E78" s="50">
        <f>VLOOKUP($A78,'Data Vlaue (Cr)'!$C:$FB,144)</f>
        <v>843.23</v>
      </c>
      <c r="F78" s="50">
        <f>VLOOKUP($A78,'Data Vlaue (Cr)'!$C:$FB,146)*100</f>
        <v>-22.29</v>
      </c>
      <c r="G78" s="49">
        <f>VLOOKUP($A78,'Data Vlaue (Cr)'!$C:$FB,43)</f>
        <v>173</v>
      </c>
      <c r="H78" s="49">
        <f>VLOOKUP($A78,'Data Vlaue (Cr)'!$C:$FB,44)</f>
        <v>154</v>
      </c>
      <c r="I78" s="49">
        <f>VLOOKUP($A78,'Data Vlaue (Cr)'!$C:$FB,46)*100</f>
        <v>11.899999999999999</v>
      </c>
      <c r="J78" s="51">
        <f>VLOOKUP($A78,'Data Vlaue (Cr)'!$C:$FB,59)</f>
        <v>328</v>
      </c>
      <c r="K78" s="51">
        <f>VLOOKUP($A78,'Data Vlaue (Cr)'!$C:$FB,60)</f>
        <v>460</v>
      </c>
      <c r="L78" s="51">
        <f>VLOOKUP($A78,'Data Vlaue (Cr)'!$C:$FB,62)*100</f>
        <v>-28.749999999999996</v>
      </c>
      <c r="M78" s="51">
        <f>VLOOKUP($A78,'Data Vlaue (Cr)'!$C:$FB,63)</f>
        <v>150</v>
      </c>
      <c r="N78" s="51">
        <f>VLOOKUP($A78,'Data Vlaue (Cr)'!$C:$FB,64)</f>
        <v>227</v>
      </c>
      <c r="O78" s="51">
        <f>VLOOKUP($A78,'Data Vlaue (Cr)'!$C:$FB,66)*100</f>
        <v>-33.729999999999997</v>
      </c>
    </row>
    <row r="79" spans="1:15" x14ac:dyDescent="0.25">
      <c r="A79" s="101" t="str">
        <f>'Data Vlaue (Cr)'!C74</f>
        <v>HCLTECH</v>
      </c>
      <c r="B79" s="50">
        <f>VLOOKUP($A79,'Data Vlaue (Cr)'!$C:$FB,8)</f>
        <v>1551.6</v>
      </c>
      <c r="C79" s="50">
        <f>VLOOKUP($A79,'Data Vlaue (Cr)'!$C:$FB,11)*100</f>
        <v>-1.37</v>
      </c>
      <c r="D79" s="50">
        <f>VLOOKUP($A79,'Data Vlaue (Cr)'!$C:$FB,143)</f>
        <v>3385.6</v>
      </c>
      <c r="E79" s="50">
        <f>VLOOKUP($A79,'Data Vlaue (Cr)'!$C:$FB,144)</f>
        <v>3387.73</v>
      </c>
      <c r="F79" s="50">
        <f>VLOOKUP($A79,'Data Vlaue (Cr)'!$C:$FB,146)*100</f>
        <v>-0.06</v>
      </c>
      <c r="G79" s="49">
        <f>VLOOKUP($A79,'Data Vlaue (Cr)'!$C:$FB,43)</f>
        <v>325</v>
      </c>
      <c r="H79" s="49">
        <f>VLOOKUP($A79,'Data Vlaue (Cr)'!$C:$FB,44)</f>
        <v>589</v>
      </c>
      <c r="I79" s="49">
        <f>VLOOKUP($A79,'Data Vlaue (Cr)'!$C:$FB,46)*100</f>
        <v>-44.769999999999996</v>
      </c>
      <c r="J79" s="51">
        <f>VLOOKUP($A79,'Data Vlaue (Cr)'!$C:$FB,59)</f>
        <v>1742</v>
      </c>
      <c r="K79" s="51">
        <f>VLOOKUP($A79,'Data Vlaue (Cr)'!$C:$FB,60)</f>
        <v>1682</v>
      </c>
      <c r="L79" s="51">
        <f>VLOOKUP($A79,'Data Vlaue (Cr)'!$C:$FB,62)*100</f>
        <v>3.55</v>
      </c>
      <c r="M79" s="51">
        <f>VLOOKUP($A79,'Data Vlaue (Cr)'!$C:$FB,63)</f>
        <v>1226</v>
      </c>
      <c r="N79" s="51">
        <f>VLOOKUP($A79,'Data Vlaue (Cr)'!$C:$FB,64)</f>
        <v>970</v>
      </c>
      <c r="O79" s="51">
        <f>VLOOKUP($A79,'Data Vlaue (Cr)'!$C:$FB,66)*100</f>
        <v>26.3</v>
      </c>
    </row>
    <row r="80" spans="1:15" x14ac:dyDescent="0.25">
      <c r="A80" s="101" t="str">
        <f>'Data Vlaue (Cr)'!C75</f>
        <v>HDFCAMC</v>
      </c>
      <c r="B80" s="50">
        <f>VLOOKUP($A80,'Data Vlaue (Cr)'!$C:$FB,8)</f>
        <v>2826.9</v>
      </c>
      <c r="C80" s="50">
        <f>VLOOKUP($A80,'Data Vlaue (Cr)'!$C:$FB,11)*100</f>
        <v>0.36</v>
      </c>
      <c r="D80" s="50">
        <f>VLOOKUP($A80,'Data Vlaue (Cr)'!$C:$FB,143)</f>
        <v>1180.6500000000001</v>
      </c>
      <c r="E80" s="50">
        <f>VLOOKUP($A80,'Data Vlaue (Cr)'!$C:$FB,144)</f>
        <v>2760.86</v>
      </c>
      <c r="F80" s="50">
        <f>VLOOKUP($A80,'Data Vlaue (Cr)'!$C:$FB,146)*100</f>
        <v>-57.24</v>
      </c>
      <c r="G80" s="49">
        <f>VLOOKUP($A80,'Data Vlaue (Cr)'!$C:$FB,43)</f>
        <v>222</v>
      </c>
      <c r="H80" s="49">
        <f>VLOOKUP($A80,'Data Vlaue (Cr)'!$C:$FB,44)</f>
        <v>371</v>
      </c>
      <c r="I80" s="49">
        <f>VLOOKUP($A80,'Data Vlaue (Cr)'!$C:$FB,46)*100</f>
        <v>-40.119999999999997</v>
      </c>
      <c r="J80" s="51">
        <f>VLOOKUP($A80,'Data Vlaue (Cr)'!$C:$FB,59)</f>
        <v>644</v>
      </c>
      <c r="K80" s="51">
        <f>VLOOKUP($A80,'Data Vlaue (Cr)'!$C:$FB,60)</f>
        <v>1729</v>
      </c>
      <c r="L80" s="51">
        <f>VLOOKUP($A80,'Data Vlaue (Cr)'!$C:$FB,62)*100</f>
        <v>-62.760000000000005</v>
      </c>
      <c r="M80" s="51">
        <f>VLOOKUP($A80,'Data Vlaue (Cr)'!$C:$FB,63)</f>
        <v>308</v>
      </c>
      <c r="N80" s="51">
        <f>VLOOKUP($A80,'Data Vlaue (Cr)'!$C:$FB,64)</f>
        <v>667</v>
      </c>
      <c r="O80" s="51">
        <f>VLOOKUP($A80,'Data Vlaue (Cr)'!$C:$FB,66)*100</f>
        <v>-53.839999999999996</v>
      </c>
    </row>
    <row r="81" spans="1:15" x14ac:dyDescent="0.25">
      <c r="A81" s="101" t="str">
        <f>'Data Vlaue (Cr)'!C76</f>
        <v>HDFCBANK</v>
      </c>
      <c r="B81" s="50">
        <f>VLOOKUP($A81,'Data Vlaue (Cr)'!$C:$FB,8)</f>
        <v>927.1</v>
      </c>
      <c r="C81" s="50">
        <f>VLOOKUP($A81,'Data Vlaue (Cr)'!$C:$FB,11)*100</f>
        <v>-0.57000000000000006</v>
      </c>
      <c r="D81" s="50">
        <f>VLOOKUP($A81,'Data Vlaue (Cr)'!$C:$FB,143)</f>
        <v>11921.13</v>
      </c>
      <c r="E81" s="50">
        <f>VLOOKUP($A81,'Data Vlaue (Cr)'!$C:$FB,144)</f>
        <v>11303.98</v>
      </c>
      <c r="F81" s="50">
        <f>VLOOKUP($A81,'Data Vlaue (Cr)'!$C:$FB,146)*100</f>
        <v>5.46</v>
      </c>
      <c r="G81" s="49">
        <f>VLOOKUP($A81,'Data Vlaue (Cr)'!$C:$FB,43)</f>
        <v>1961</v>
      </c>
      <c r="H81" s="49">
        <f>VLOOKUP($A81,'Data Vlaue (Cr)'!$C:$FB,44)</f>
        <v>1741</v>
      </c>
      <c r="I81" s="49">
        <f>VLOOKUP($A81,'Data Vlaue (Cr)'!$C:$FB,46)*100</f>
        <v>12.64</v>
      </c>
      <c r="J81" s="51">
        <f>VLOOKUP($A81,'Data Vlaue (Cr)'!$C:$FB,59)</f>
        <v>6508</v>
      </c>
      <c r="K81" s="51">
        <f>VLOOKUP($A81,'Data Vlaue (Cr)'!$C:$FB,60)</f>
        <v>6003</v>
      </c>
      <c r="L81" s="51">
        <f>VLOOKUP($A81,'Data Vlaue (Cr)'!$C:$FB,62)*100</f>
        <v>8.4</v>
      </c>
      <c r="M81" s="51">
        <f>VLOOKUP($A81,'Data Vlaue (Cr)'!$C:$FB,63)</f>
        <v>3256</v>
      </c>
      <c r="N81" s="51">
        <f>VLOOKUP($A81,'Data Vlaue (Cr)'!$C:$FB,64)</f>
        <v>3314</v>
      </c>
      <c r="O81" s="51">
        <f>VLOOKUP($A81,'Data Vlaue (Cr)'!$C:$FB,66)*100</f>
        <v>-1.76</v>
      </c>
    </row>
    <row r="82" spans="1:15" x14ac:dyDescent="0.25">
      <c r="A82" s="101" t="str">
        <f>'Data Vlaue (Cr)'!C77</f>
        <v>HDFCLIFE</v>
      </c>
      <c r="B82" s="50">
        <f>VLOOKUP($A82,'Data Vlaue (Cr)'!$C:$FB,8)</f>
        <v>701.1</v>
      </c>
      <c r="C82" s="50">
        <f>VLOOKUP($A82,'Data Vlaue (Cr)'!$C:$FB,11)*100</f>
        <v>-0.4</v>
      </c>
      <c r="D82" s="50">
        <f>VLOOKUP($A82,'Data Vlaue (Cr)'!$C:$FB,143)</f>
        <v>1210.0999999999999</v>
      </c>
      <c r="E82" s="50">
        <f>VLOOKUP($A82,'Data Vlaue (Cr)'!$C:$FB,144)</f>
        <v>1141.69</v>
      </c>
      <c r="F82" s="50">
        <f>VLOOKUP($A82,'Data Vlaue (Cr)'!$C:$FB,146)*100</f>
        <v>5.99</v>
      </c>
      <c r="G82" s="49">
        <f>VLOOKUP($A82,'Data Vlaue (Cr)'!$C:$FB,43)</f>
        <v>280</v>
      </c>
      <c r="H82" s="49">
        <f>VLOOKUP($A82,'Data Vlaue (Cr)'!$C:$FB,44)</f>
        <v>198</v>
      </c>
      <c r="I82" s="49">
        <f>VLOOKUP($A82,'Data Vlaue (Cr)'!$C:$FB,46)*100</f>
        <v>41.25</v>
      </c>
      <c r="J82" s="51">
        <f>VLOOKUP($A82,'Data Vlaue (Cr)'!$C:$FB,59)</f>
        <v>652</v>
      </c>
      <c r="K82" s="51">
        <f>VLOOKUP($A82,'Data Vlaue (Cr)'!$C:$FB,60)</f>
        <v>685</v>
      </c>
      <c r="L82" s="51">
        <f>VLOOKUP($A82,'Data Vlaue (Cr)'!$C:$FB,62)*100</f>
        <v>-4.83</v>
      </c>
      <c r="M82" s="51">
        <f>VLOOKUP($A82,'Data Vlaue (Cr)'!$C:$FB,63)</f>
        <v>253</v>
      </c>
      <c r="N82" s="51">
        <f>VLOOKUP($A82,'Data Vlaue (Cr)'!$C:$FB,64)</f>
        <v>227</v>
      </c>
      <c r="O82" s="51">
        <f>VLOOKUP($A82,'Data Vlaue (Cr)'!$C:$FB,66)*100</f>
        <v>11.57</v>
      </c>
    </row>
    <row r="83" spans="1:15" x14ac:dyDescent="0.25">
      <c r="A83" s="101" t="str">
        <f>'Data Vlaue (Cr)'!C78</f>
        <v>HEROMOTOCO</v>
      </c>
      <c r="B83" s="50">
        <f>VLOOKUP($A83,'Data Vlaue (Cr)'!$C:$FB,8)</f>
        <v>5682.5</v>
      </c>
      <c r="C83" s="50">
        <f>VLOOKUP($A83,'Data Vlaue (Cr)'!$C:$FB,11)*100</f>
        <v>-1.23</v>
      </c>
      <c r="D83" s="50">
        <f>VLOOKUP($A83,'Data Vlaue (Cr)'!$C:$FB,143)</f>
        <v>8029.23</v>
      </c>
      <c r="E83" s="50">
        <f>VLOOKUP($A83,'Data Vlaue (Cr)'!$C:$FB,144)</f>
        <v>5471.99</v>
      </c>
      <c r="F83" s="50">
        <f>VLOOKUP($A83,'Data Vlaue (Cr)'!$C:$FB,146)*100</f>
        <v>46.73</v>
      </c>
      <c r="G83" s="49">
        <f>VLOOKUP($A83,'Data Vlaue (Cr)'!$C:$FB,43)</f>
        <v>946</v>
      </c>
      <c r="H83" s="49">
        <f>VLOOKUP($A83,'Data Vlaue (Cr)'!$C:$FB,44)</f>
        <v>678</v>
      </c>
      <c r="I83" s="49">
        <f>VLOOKUP($A83,'Data Vlaue (Cr)'!$C:$FB,46)*100</f>
        <v>39.46</v>
      </c>
      <c r="J83" s="51">
        <f>VLOOKUP($A83,'Data Vlaue (Cr)'!$C:$FB,59)</f>
        <v>4949</v>
      </c>
      <c r="K83" s="51">
        <f>VLOOKUP($A83,'Data Vlaue (Cr)'!$C:$FB,60)</f>
        <v>3499</v>
      </c>
      <c r="L83" s="51">
        <f>VLOOKUP($A83,'Data Vlaue (Cr)'!$C:$FB,62)*100</f>
        <v>41.44</v>
      </c>
      <c r="M83" s="51">
        <f>VLOOKUP($A83,'Data Vlaue (Cr)'!$C:$FB,63)</f>
        <v>1969</v>
      </c>
      <c r="N83" s="51">
        <f>VLOOKUP($A83,'Data Vlaue (Cr)'!$C:$FB,64)</f>
        <v>1172</v>
      </c>
      <c r="O83" s="51">
        <f>VLOOKUP($A83,'Data Vlaue (Cr)'!$C:$FB,66)*100</f>
        <v>68.010000000000005</v>
      </c>
    </row>
    <row r="84" spans="1:15" x14ac:dyDescent="0.25">
      <c r="A84" s="101" t="str">
        <f>'Data Vlaue (Cr)'!C79</f>
        <v>HINDALCO</v>
      </c>
      <c r="B84" s="50">
        <f>VLOOKUP($A84,'Data Vlaue (Cr)'!$C:$FB,8)</f>
        <v>965.95</v>
      </c>
      <c r="C84" s="50">
        <f>VLOOKUP($A84,'Data Vlaue (Cr)'!$C:$FB,11)*100</f>
        <v>-0.3</v>
      </c>
      <c r="D84" s="50">
        <f>VLOOKUP($A84,'Data Vlaue (Cr)'!$C:$FB,143)</f>
        <v>4889.45</v>
      </c>
      <c r="E84" s="50">
        <f>VLOOKUP($A84,'Data Vlaue (Cr)'!$C:$FB,144)</f>
        <v>2643.87</v>
      </c>
      <c r="F84" s="50">
        <f>VLOOKUP($A84,'Data Vlaue (Cr)'!$C:$FB,146)*100</f>
        <v>84.94</v>
      </c>
      <c r="G84" s="49">
        <f>VLOOKUP($A84,'Data Vlaue (Cr)'!$C:$FB,43)</f>
        <v>1159</v>
      </c>
      <c r="H84" s="49">
        <f>VLOOKUP($A84,'Data Vlaue (Cr)'!$C:$FB,44)</f>
        <v>579</v>
      </c>
      <c r="I84" s="49">
        <f>VLOOKUP($A84,'Data Vlaue (Cr)'!$C:$FB,46)*100</f>
        <v>100.2</v>
      </c>
      <c r="J84" s="51">
        <f>VLOOKUP($A84,'Data Vlaue (Cr)'!$C:$FB,59)</f>
        <v>2280</v>
      </c>
      <c r="K84" s="51">
        <f>VLOOKUP($A84,'Data Vlaue (Cr)'!$C:$FB,60)</f>
        <v>1376</v>
      </c>
      <c r="L84" s="51">
        <f>VLOOKUP($A84,'Data Vlaue (Cr)'!$C:$FB,62)*100</f>
        <v>65.680000000000007</v>
      </c>
      <c r="M84" s="51">
        <f>VLOOKUP($A84,'Data Vlaue (Cr)'!$C:$FB,63)</f>
        <v>1352</v>
      </c>
      <c r="N84" s="51">
        <f>VLOOKUP($A84,'Data Vlaue (Cr)'!$C:$FB,64)</f>
        <v>612</v>
      </c>
      <c r="O84" s="51">
        <f>VLOOKUP($A84,'Data Vlaue (Cr)'!$C:$FB,66)*100</f>
        <v>120.78999999999999</v>
      </c>
    </row>
    <row r="85" spans="1:15" x14ac:dyDescent="0.25">
      <c r="A85" s="101" t="str">
        <f>'Data Vlaue (Cr)'!C80</f>
        <v>HINDPETRO</v>
      </c>
      <c r="B85" s="50">
        <f>VLOOKUP($A85,'Data Vlaue (Cr)'!$C:$FB,8)</f>
        <v>461.75</v>
      </c>
      <c r="C85" s="50">
        <f>VLOOKUP($A85,'Data Vlaue (Cr)'!$C:$FB,11)*100</f>
        <v>0.11</v>
      </c>
      <c r="D85" s="50">
        <f>VLOOKUP($A85,'Data Vlaue (Cr)'!$C:$FB,143)</f>
        <v>1102.73</v>
      </c>
      <c r="E85" s="50">
        <f>VLOOKUP($A85,'Data Vlaue (Cr)'!$C:$FB,144)</f>
        <v>1086.83</v>
      </c>
      <c r="F85" s="50">
        <f>VLOOKUP($A85,'Data Vlaue (Cr)'!$C:$FB,146)*100</f>
        <v>1.46</v>
      </c>
      <c r="G85" s="49">
        <f>VLOOKUP($A85,'Data Vlaue (Cr)'!$C:$FB,43)</f>
        <v>210</v>
      </c>
      <c r="H85" s="49">
        <f>VLOOKUP($A85,'Data Vlaue (Cr)'!$C:$FB,44)</f>
        <v>197</v>
      </c>
      <c r="I85" s="49">
        <f>VLOOKUP($A85,'Data Vlaue (Cr)'!$C:$FB,46)*100</f>
        <v>6.36</v>
      </c>
      <c r="J85" s="51">
        <f>VLOOKUP($A85,'Data Vlaue (Cr)'!$C:$FB,59)</f>
        <v>675</v>
      </c>
      <c r="K85" s="51">
        <f>VLOOKUP($A85,'Data Vlaue (Cr)'!$C:$FB,60)</f>
        <v>624</v>
      </c>
      <c r="L85" s="51">
        <f>VLOOKUP($A85,'Data Vlaue (Cr)'!$C:$FB,62)*100</f>
        <v>8.17</v>
      </c>
      <c r="M85" s="51">
        <f>VLOOKUP($A85,'Data Vlaue (Cr)'!$C:$FB,63)</f>
        <v>191</v>
      </c>
      <c r="N85" s="51">
        <f>VLOOKUP($A85,'Data Vlaue (Cr)'!$C:$FB,64)</f>
        <v>240</v>
      </c>
      <c r="O85" s="51">
        <f>VLOOKUP($A85,'Data Vlaue (Cr)'!$C:$FB,66)*100</f>
        <v>-20.309999999999999</v>
      </c>
    </row>
    <row r="86" spans="1:15" x14ac:dyDescent="0.25">
      <c r="A86" s="101" t="str">
        <f>'Data Vlaue (Cr)'!C81</f>
        <v>HINDUNILVR</v>
      </c>
      <c r="B86" s="50">
        <f>VLOOKUP($A86,'Data Vlaue (Cr)'!$C:$FB,8)</f>
        <v>2462.9</v>
      </c>
      <c r="C86" s="50">
        <f>VLOOKUP($A86,'Data Vlaue (Cr)'!$C:$FB,11)*100</f>
        <v>0.38</v>
      </c>
      <c r="D86" s="50">
        <f>VLOOKUP($A86,'Data Vlaue (Cr)'!$C:$FB,143)</f>
        <v>3377.88</v>
      </c>
      <c r="E86" s="50">
        <f>VLOOKUP($A86,'Data Vlaue (Cr)'!$C:$FB,144)</f>
        <v>2813.88</v>
      </c>
      <c r="F86" s="50">
        <f>VLOOKUP($A86,'Data Vlaue (Cr)'!$C:$FB,146)*100</f>
        <v>20.04</v>
      </c>
      <c r="G86" s="49">
        <f>VLOOKUP($A86,'Data Vlaue (Cr)'!$C:$FB,43)</f>
        <v>416</v>
      </c>
      <c r="H86" s="49">
        <f>VLOOKUP($A86,'Data Vlaue (Cr)'!$C:$FB,44)</f>
        <v>302</v>
      </c>
      <c r="I86" s="49">
        <f>VLOOKUP($A86,'Data Vlaue (Cr)'!$C:$FB,46)*100</f>
        <v>37.79</v>
      </c>
      <c r="J86" s="51">
        <f>VLOOKUP($A86,'Data Vlaue (Cr)'!$C:$FB,59)</f>
        <v>2029</v>
      </c>
      <c r="K86" s="51">
        <f>VLOOKUP($A86,'Data Vlaue (Cr)'!$C:$FB,60)</f>
        <v>1822</v>
      </c>
      <c r="L86" s="51">
        <f>VLOOKUP($A86,'Data Vlaue (Cr)'!$C:$FB,62)*100</f>
        <v>11.41</v>
      </c>
      <c r="M86" s="51">
        <f>VLOOKUP($A86,'Data Vlaue (Cr)'!$C:$FB,63)</f>
        <v>886</v>
      </c>
      <c r="N86" s="51">
        <f>VLOOKUP($A86,'Data Vlaue (Cr)'!$C:$FB,64)</f>
        <v>672</v>
      </c>
      <c r="O86" s="51">
        <f>VLOOKUP($A86,'Data Vlaue (Cr)'!$C:$FB,66)*100</f>
        <v>31.75</v>
      </c>
    </row>
    <row r="87" spans="1:15" x14ac:dyDescent="0.25">
      <c r="A87" s="101" t="str">
        <f>'Data Vlaue (Cr)'!C82</f>
        <v>HINDZINC</v>
      </c>
      <c r="B87" s="50">
        <f>VLOOKUP($A87,'Data Vlaue (Cr)'!$C:$FB,8)</f>
        <v>628.54999999999995</v>
      </c>
      <c r="C87" s="50">
        <f>VLOOKUP($A87,'Data Vlaue (Cr)'!$C:$FB,11)*100</f>
        <v>1.76</v>
      </c>
      <c r="D87" s="50">
        <f>VLOOKUP($A87,'Data Vlaue (Cr)'!$C:$FB,143)</f>
        <v>4857.6099999999997</v>
      </c>
      <c r="E87" s="50">
        <f>VLOOKUP($A87,'Data Vlaue (Cr)'!$C:$FB,144)</f>
        <v>5297.78</v>
      </c>
      <c r="F87" s="50">
        <f>VLOOKUP($A87,'Data Vlaue (Cr)'!$C:$FB,146)*100</f>
        <v>-8.3099999999999987</v>
      </c>
      <c r="G87" s="49">
        <f>VLOOKUP($A87,'Data Vlaue (Cr)'!$C:$FB,43)</f>
        <v>601</v>
      </c>
      <c r="H87" s="49">
        <f>VLOOKUP($A87,'Data Vlaue (Cr)'!$C:$FB,44)</f>
        <v>540</v>
      </c>
      <c r="I87" s="49">
        <f>VLOOKUP($A87,'Data Vlaue (Cr)'!$C:$FB,46)*100</f>
        <v>11.32</v>
      </c>
      <c r="J87" s="51">
        <f>VLOOKUP($A87,'Data Vlaue (Cr)'!$C:$FB,59)</f>
        <v>2814</v>
      </c>
      <c r="K87" s="51">
        <f>VLOOKUP($A87,'Data Vlaue (Cr)'!$C:$FB,60)</f>
        <v>2950</v>
      </c>
      <c r="L87" s="51">
        <f>VLOOKUP($A87,'Data Vlaue (Cr)'!$C:$FB,62)*100</f>
        <v>-4.6100000000000003</v>
      </c>
      <c r="M87" s="51">
        <f>VLOOKUP($A87,'Data Vlaue (Cr)'!$C:$FB,63)</f>
        <v>1276</v>
      </c>
      <c r="N87" s="51">
        <f>VLOOKUP($A87,'Data Vlaue (Cr)'!$C:$FB,64)</f>
        <v>1616</v>
      </c>
      <c r="O87" s="51">
        <f>VLOOKUP($A87,'Data Vlaue (Cr)'!$C:$FB,66)*100</f>
        <v>-21.05</v>
      </c>
    </row>
    <row r="88" spans="1:15" x14ac:dyDescent="0.25">
      <c r="A88" s="101" t="str">
        <f>'Data Vlaue (Cr)'!C83</f>
        <v>HUDCO</v>
      </c>
      <c r="B88" s="50">
        <f>VLOOKUP($A88,'Data Vlaue (Cr)'!$C:$FB,8)</f>
        <v>193.24</v>
      </c>
      <c r="C88" s="50">
        <f>VLOOKUP($A88,'Data Vlaue (Cr)'!$C:$FB,11)*100</f>
        <v>-0.35000000000000003</v>
      </c>
      <c r="D88" s="50">
        <f>VLOOKUP($A88,'Data Vlaue (Cr)'!$C:$FB,143)</f>
        <v>536.65</v>
      </c>
      <c r="E88" s="50">
        <f>VLOOKUP($A88,'Data Vlaue (Cr)'!$C:$FB,144)</f>
        <v>468.31</v>
      </c>
      <c r="F88" s="50">
        <f>VLOOKUP($A88,'Data Vlaue (Cr)'!$C:$FB,146)*100</f>
        <v>14.59</v>
      </c>
      <c r="G88" s="49">
        <f>VLOOKUP($A88,'Data Vlaue (Cr)'!$C:$FB,43)</f>
        <v>141</v>
      </c>
      <c r="H88" s="49">
        <f>VLOOKUP($A88,'Data Vlaue (Cr)'!$C:$FB,44)</f>
        <v>87</v>
      </c>
      <c r="I88" s="49">
        <f>VLOOKUP($A88,'Data Vlaue (Cr)'!$C:$FB,46)*100</f>
        <v>61.140000000000008</v>
      </c>
      <c r="J88" s="51">
        <f>VLOOKUP($A88,'Data Vlaue (Cr)'!$C:$FB,59)</f>
        <v>261</v>
      </c>
      <c r="K88" s="51">
        <f>VLOOKUP($A88,'Data Vlaue (Cr)'!$C:$FB,60)</f>
        <v>243</v>
      </c>
      <c r="L88" s="51">
        <f>VLOOKUP($A88,'Data Vlaue (Cr)'!$C:$FB,62)*100</f>
        <v>7.4700000000000006</v>
      </c>
      <c r="M88" s="51">
        <f>VLOOKUP($A88,'Data Vlaue (Cr)'!$C:$FB,63)</f>
        <v>122</v>
      </c>
      <c r="N88" s="51">
        <f>VLOOKUP($A88,'Data Vlaue (Cr)'!$C:$FB,64)</f>
        <v>123</v>
      </c>
      <c r="O88" s="51">
        <f>VLOOKUP($A88,'Data Vlaue (Cr)'!$C:$FB,66)*100</f>
        <v>-1.1400000000000001</v>
      </c>
    </row>
    <row r="89" spans="1:15" x14ac:dyDescent="0.25">
      <c r="A89" s="101" t="str">
        <f>'Data Vlaue (Cr)'!C84</f>
        <v>ICICIBANK</v>
      </c>
      <c r="B89" s="50">
        <f>VLOOKUP($A89,'Data Vlaue (Cr)'!$C:$FB,8)</f>
        <v>1406.1</v>
      </c>
      <c r="C89" s="50">
        <f>VLOOKUP($A89,'Data Vlaue (Cr)'!$C:$FB,11)*100</f>
        <v>-0.03</v>
      </c>
      <c r="D89" s="50">
        <f>VLOOKUP($A89,'Data Vlaue (Cr)'!$C:$FB,143)</f>
        <v>6820.75</v>
      </c>
      <c r="E89" s="50">
        <f>VLOOKUP($A89,'Data Vlaue (Cr)'!$C:$FB,144)</f>
        <v>9463.44</v>
      </c>
      <c r="F89" s="50">
        <f>VLOOKUP($A89,'Data Vlaue (Cr)'!$C:$FB,146)*100</f>
        <v>-27.93</v>
      </c>
      <c r="G89" s="49">
        <f>VLOOKUP($A89,'Data Vlaue (Cr)'!$C:$FB,43)</f>
        <v>1495</v>
      </c>
      <c r="H89" s="49">
        <f>VLOOKUP($A89,'Data Vlaue (Cr)'!$C:$FB,44)</f>
        <v>1540</v>
      </c>
      <c r="I89" s="49">
        <f>VLOOKUP($A89,'Data Vlaue (Cr)'!$C:$FB,46)*100</f>
        <v>-2.9000000000000004</v>
      </c>
      <c r="J89" s="51">
        <f>VLOOKUP($A89,'Data Vlaue (Cr)'!$C:$FB,59)</f>
        <v>3067</v>
      </c>
      <c r="K89" s="51">
        <f>VLOOKUP($A89,'Data Vlaue (Cr)'!$C:$FB,60)</f>
        <v>4683</v>
      </c>
      <c r="L89" s="51">
        <f>VLOOKUP($A89,'Data Vlaue (Cr)'!$C:$FB,62)*100</f>
        <v>-34.520000000000003</v>
      </c>
      <c r="M89" s="51">
        <f>VLOOKUP($A89,'Data Vlaue (Cr)'!$C:$FB,63)</f>
        <v>2235</v>
      </c>
      <c r="N89" s="51">
        <f>VLOOKUP($A89,'Data Vlaue (Cr)'!$C:$FB,64)</f>
        <v>3218</v>
      </c>
      <c r="O89" s="51">
        <f>VLOOKUP($A89,'Data Vlaue (Cr)'!$C:$FB,66)*100</f>
        <v>-30.55</v>
      </c>
    </row>
    <row r="90" spans="1:15" x14ac:dyDescent="0.25">
      <c r="A90" s="101" t="str">
        <f>'Data Vlaue (Cr)'!C85</f>
        <v>ICICIGI</v>
      </c>
      <c r="B90" s="50">
        <f>VLOOKUP($A90,'Data Vlaue (Cr)'!$C:$FB,8)</f>
        <v>1931.7</v>
      </c>
      <c r="C90" s="50">
        <f>VLOOKUP($A90,'Data Vlaue (Cr)'!$C:$FB,11)*100</f>
        <v>1.1599999999999999</v>
      </c>
      <c r="D90" s="50">
        <f>VLOOKUP($A90,'Data Vlaue (Cr)'!$C:$FB,143)</f>
        <v>534.22</v>
      </c>
      <c r="E90" s="50">
        <f>VLOOKUP($A90,'Data Vlaue (Cr)'!$C:$FB,144)</f>
        <v>979.36</v>
      </c>
      <c r="F90" s="50">
        <f>VLOOKUP($A90,'Data Vlaue (Cr)'!$C:$FB,146)*100</f>
        <v>-45.45</v>
      </c>
      <c r="G90" s="49">
        <f>VLOOKUP($A90,'Data Vlaue (Cr)'!$C:$FB,43)</f>
        <v>135</v>
      </c>
      <c r="H90" s="49">
        <f>VLOOKUP($A90,'Data Vlaue (Cr)'!$C:$FB,44)</f>
        <v>193</v>
      </c>
      <c r="I90" s="49">
        <f>VLOOKUP($A90,'Data Vlaue (Cr)'!$C:$FB,46)*100</f>
        <v>-29.849999999999998</v>
      </c>
      <c r="J90" s="51">
        <f>VLOOKUP($A90,'Data Vlaue (Cr)'!$C:$FB,59)</f>
        <v>266</v>
      </c>
      <c r="K90" s="51">
        <f>VLOOKUP($A90,'Data Vlaue (Cr)'!$C:$FB,60)</f>
        <v>500</v>
      </c>
      <c r="L90" s="51">
        <f>VLOOKUP($A90,'Data Vlaue (Cr)'!$C:$FB,62)*100</f>
        <v>-46.78</v>
      </c>
      <c r="M90" s="51">
        <f>VLOOKUP($A90,'Data Vlaue (Cr)'!$C:$FB,63)</f>
        <v>130</v>
      </c>
      <c r="N90" s="51">
        <f>VLOOKUP($A90,'Data Vlaue (Cr)'!$C:$FB,64)</f>
        <v>288</v>
      </c>
      <c r="O90" s="51">
        <f>VLOOKUP($A90,'Data Vlaue (Cr)'!$C:$FB,66)*100</f>
        <v>-54.87</v>
      </c>
    </row>
    <row r="91" spans="1:15" x14ac:dyDescent="0.25">
      <c r="A91" s="101" t="str">
        <f>'Data Vlaue (Cr)'!C86</f>
        <v>ICICIPRULI</v>
      </c>
      <c r="B91" s="50">
        <f>VLOOKUP($A91,'Data Vlaue (Cr)'!$C:$FB,8)</f>
        <v>640.95000000000005</v>
      </c>
      <c r="C91" s="50">
        <f>VLOOKUP($A91,'Data Vlaue (Cr)'!$C:$FB,11)*100</f>
        <v>-0.32</v>
      </c>
      <c r="D91" s="50">
        <f>VLOOKUP($A91,'Data Vlaue (Cr)'!$C:$FB,143)</f>
        <v>277.95999999999998</v>
      </c>
      <c r="E91" s="50">
        <f>VLOOKUP($A91,'Data Vlaue (Cr)'!$C:$FB,144)</f>
        <v>571.72</v>
      </c>
      <c r="F91" s="50">
        <f>VLOOKUP($A91,'Data Vlaue (Cr)'!$C:$FB,146)*100</f>
        <v>-51.38</v>
      </c>
      <c r="G91" s="49">
        <f>VLOOKUP($A91,'Data Vlaue (Cr)'!$C:$FB,43)</f>
        <v>78</v>
      </c>
      <c r="H91" s="49">
        <f>VLOOKUP($A91,'Data Vlaue (Cr)'!$C:$FB,44)</f>
        <v>188</v>
      </c>
      <c r="I91" s="49">
        <f>VLOOKUP($A91,'Data Vlaue (Cr)'!$C:$FB,46)*100</f>
        <v>-58.56</v>
      </c>
      <c r="J91" s="51">
        <f>VLOOKUP($A91,'Data Vlaue (Cr)'!$C:$FB,59)</f>
        <v>124</v>
      </c>
      <c r="K91" s="51">
        <f>VLOOKUP($A91,'Data Vlaue (Cr)'!$C:$FB,60)</f>
        <v>204</v>
      </c>
      <c r="L91" s="51">
        <f>VLOOKUP($A91,'Data Vlaue (Cr)'!$C:$FB,62)*100</f>
        <v>-39.6</v>
      </c>
      <c r="M91" s="51">
        <f>VLOOKUP($A91,'Data Vlaue (Cr)'!$C:$FB,63)</f>
        <v>72</v>
      </c>
      <c r="N91" s="51">
        <f>VLOOKUP($A91,'Data Vlaue (Cr)'!$C:$FB,64)</f>
        <v>172</v>
      </c>
      <c r="O91" s="51">
        <f>VLOOKUP($A91,'Data Vlaue (Cr)'!$C:$FB,66)*100</f>
        <v>-57.989999999999995</v>
      </c>
    </row>
    <row r="92" spans="1:15" x14ac:dyDescent="0.25">
      <c r="A92" s="101" t="str">
        <f>'Data Vlaue (Cr)'!C87</f>
        <v>IDEA</v>
      </c>
      <c r="B92" s="50">
        <f>VLOOKUP($A92,'Data Vlaue (Cr)'!$C:$FB,8)</f>
        <v>11.85</v>
      </c>
      <c r="C92" s="50">
        <f>VLOOKUP($A92,'Data Vlaue (Cr)'!$C:$FB,11)*100</f>
        <v>3.2199999999999998</v>
      </c>
      <c r="D92" s="50">
        <f>VLOOKUP($A92,'Data Vlaue (Cr)'!$C:$FB,143)</f>
        <v>4489.24</v>
      </c>
      <c r="E92" s="50">
        <f>VLOOKUP($A92,'Data Vlaue (Cr)'!$C:$FB,144)</f>
        <v>1911.31</v>
      </c>
      <c r="F92" s="50">
        <f>VLOOKUP($A92,'Data Vlaue (Cr)'!$C:$FB,146)*100</f>
        <v>134.88</v>
      </c>
      <c r="G92" s="49">
        <f>VLOOKUP($A92,'Data Vlaue (Cr)'!$C:$FB,43)</f>
        <v>1162</v>
      </c>
      <c r="H92" s="49">
        <f>VLOOKUP($A92,'Data Vlaue (Cr)'!$C:$FB,44)</f>
        <v>565</v>
      </c>
      <c r="I92" s="49">
        <f>VLOOKUP($A92,'Data Vlaue (Cr)'!$C:$FB,46)*100</f>
        <v>105.72999999999999</v>
      </c>
      <c r="J92" s="51">
        <f>VLOOKUP($A92,'Data Vlaue (Cr)'!$C:$FB,59)</f>
        <v>2213</v>
      </c>
      <c r="K92" s="51">
        <f>VLOOKUP($A92,'Data Vlaue (Cr)'!$C:$FB,60)</f>
        <v>893</v>
      </c>
      <c r="L92" s="51">
        <f>VLOOKUP($A92,'Data Vlaue (Cr)'!$C:$FB,62)*100</f>
        <v>147.81</v>
      </c>
      <c r="M92" s="51">
        <f>VLOOKUP($A92,'Data Vlaue (Cr)'!$C:$FB,63)</f>
        <v>974</v>
      </c>
      <c r="N92" s="51">
        <f>VLOOKUP($A92,'Data Vlaue (Cr)'!$C:$FB,64)</f>
        <v>413</v>
      </c>
      <c r="O92" s="51">
        <f>VLOOKUP($A92,'Data Vlaue (Cr)'!$C:$FB,66)*100</f>
        <v>136.1</v>
      </c>
    </row>
    <row r="93" spans="1:15" x14ac:dyDescent="0.25">
      <c r="A93" s="101" t="str">
        <f>'Data Vlaue (Cr)'!C88</f>
        <v>IDFCFIRSTB</v>
      </c>
      <c r="B93" s="50">
        <f>VLOOKUP($A93,'Data Vlaue (Cr)'!$C:$FB,8)</f>
        <v>82.56</v>
      </c>
      <c r="C93" s="50">
        <f>VLOOKUP($A93,'Data Vlaue (Cr)'!$C:$FB,11)*100</f>
        <v>-1.44</v>
      </c>
      <c r="D93" s="50">
        <f>VLOOKUP($A93,'Data Vlaue (Cr)'!$C:$FB,143)</f>
        <v>1735.87</v>
      </c>
      <c r="E93" s="50">
        <f>VLOOKUP($A93,'Data Vlaue (Cr)'!$C:$FB,144)</f>
        <v>1328.2</v>
      </c>
      <c r="F93" s="50">
        <f>VLOOKUP($A93,'Data Vlaue (Cr)'!$C:$FB,146)*100</f>
        <v>30.69</v>
      </c>
      <c r="G93" s="49">
        <f>VLOOKUP($A93,'Data Vlaue (Cr)'!$C:$FB,43)</f>
        <v>380</v>
      </c>
      <c r="H93" s="49">
        <f>VLOOKUP($A93,'Data Vlaue (Cr)'!$C:$FB,44)</f>
        <v>266</v>
      </c>
      <c r="I93" s="49">
        <f>VLOOKUP($A93,'Data Vlaue (Cr)'!$C:$FB,46)*100</f>
        <v>42.64</v>
      </c>
      <c r="J93" s="51">
        <f>VLOOKUP($A93,'Data Vlaue (Cr)'!$C:$FB,59)</f>
        <v>828</v>
      </c>
      <c r="K93" s="51">
        <f>VLOOKUP($A93,'Data Vlaue (Cr)'!$C:$FB,60)</f>
        <v>718</v>
      </c>
      <c r="L93" s="51">
        <f>VLOOKUP($A93,'Data Vlaue (Cr)'!$C:$FB,62)*100</f>
        <v>15.32</v>
      </c>
      <c r="M93" s="51">
        <f>VLOOKUP($A93,'Data Vlaue (Cr)'!$C:$FB,63)</f>
        <v>484</v>
      </c>
      <c r="N93" s="51">
        <f>VLOOKUP($A93,'Data Vlaue (Cr)'!$C:$FB,64)</f>
        <v>287</v>
      </c>
      <c r="O93" s="51">
        <f>VLOOKUP($A93,'Data Vlaue (Cr)'!$C:$FB,66)*100</f>
        <v>68.56</v>
      </c>
    </row>
    <row r="94" spans="1:15" x14ac:dyDescent="0.25">
      <c r="A94" s="101" t="str">
        <f>'Data Vlaue (Cr)'!C89</f>
        <v>IEX</v>
      </c>
      <c r="B94" s="50">
        <f>VLOOKUP($A94,'Data Vlaue (Cr)'!$C:$FB,8)</f>
        <v>127.16</v>
      </c>
      <c r="C94" s="50">
        <f>VLOOKUP($A94,'Data Vlaue (Cr)'!$C:$FB,11)*100</f>
        <v>0.80999999999999994</v>
      </c>
      <c r="D94" s="50">
        <f>VLOOKUP($A94,'Data Vlaue (Cr)'!$C:$FB,143)</f>
        <v>848.42</v>
      </c>
      <c r="E94" s="50">
        <f>VLOOKUP($A94,'Data Vlaue (Cr)'!$C:$FB,144)</f>
        <v>707.11</v>
      </c>
      <c r="F94" s="50">
        <f>VLOOKUP($A94,'Data Vlaue (Cr)'!$C:$FB,146)*100</f>
        <v>19.98</v>
      </c>
      <c r="G94" s="49">
        <f>VLOOKUP($A94,'Data Vlaue (Cr)'!$C:$FB,43)</f>
        <v>180</v>
      </c>
      <c r="H94" s="49">
        <f>VLOOKUP($A94,'Data Vlaue (Cr)'!$C:$FB,44)</f>
        <v>143</v>
      </c>
      <c r="I94" s="49">
        <f>VLOOKUP($A94,'Data Vlaue (Cr)'!$C:$FB,46)*100</f>
        <v>26.119999999999997</v>
      </c>
      <c r="J94" s="51">
        <f>VLOOKUP($A94,'Data Vlaue (Cr)'!$C:$FB,59)</f>
        <v>498</v>
      </c>
      <c r="K94" s="51">
        <f>VLOOKUP($A94,'Data Vlaue (Cr)'!$C:$FB,60)</f>
        <v>388</v>
      </c>
      <c r="L94" s="51">
        <f>VLOOKUP($A94,'Data Vlaue (Cr)'!$C:$FB,62)*100</f>
        <v>28.37</v>
      </c>
      <c r="M94" s="51">
        <f>VLOOKUP($A94,'Data Vlaue (Cr)'!$C:$FB,63)</f>
        <v>143</v>
      </c>
      <c r="N94" s="51">
        <f>VLOOKUP($A94,'Data Vlaue (Cr)'!$C:$FB,64)</f>
        <v>159</v>
      </c>
      <c r="O94" s="51">
        <f>VLOOKUP($A94,'Data Vlaue (Cr)'!$C:$FB,66)*100</f>
        <v>-10.38</v>
      </c>
    </row>
    <row r="95" spans="1:15" x14ac:dyDescent="0.25">
      <c r="A95" s="101" t="str">
        <f>'Data Vlaue (Cr)'!C90</f>
        <v>INDHOTEL</v>
      </c>
      <c r="B95" s="50">
        <f>VLOOKUP($A95,'Data Vlaue (Cr)'!$C:$FB,8)</f>
        <v>707.55</v>
      </c>
      <c r="C95" s="50">
        <f>VLOOKUP($A95,'Data Vlaue (Cr)'!$C:$FB,11)*100</f>
        <v>0.71000000000000008</v>
      </c>
      <c r="D95" s="50">
        <f>VLOOKUP($A95,'Data Vlaue (Cr)'!$C:$FB,143)</f>
        <v>1399.31</v>
      </c>
      <c r="E95" s="50">
        <f>VLOOKUP($A95,'Data Vlaue (Cr)'!$C:$FB,144)</f>
        <v>1387.21</v>
      </c>
      <c r="F95" s="50">
        <f>VLOOKUP($A95,'Data Vlaue (Cr)'!$C:$FB,146)*100</f>
        <v>0.86999999999999988</v>
      </c>
      <c r="G95" s="49">
        <f>VLOOKUP($A95,'Data Vlaue (Cr)'!$C:$FB,43)</f>
        <v>217</v>
      </c>
      <c r="H95" s="49">
        <f>VLOOKUP($A95,'Data Vlaue (Cr)'!$C:$FB,44)</f>
        <v>237</v>
      </c>
      <c r="I95" s="49">
        <f>VLOOKUP($A95,'Data Vlaue (Cr)'!$C:$FB,46)*100</f>
        <v>-8.7200000000000006</v>
      </c>
      <c r="J95" s="51">
        <f>VLOOKUP($A95,'Data Vlaue (Cr)'!$C:$FB,59)</f>
        <v>885</v>
      </c>
      <c r="K95" s="51">
        <f>VLOOKUP($A95,'Data Vlaue (Cr)'!$C:$FB,60)</f>
        <v>879</v>
      </c>
      <c r="L95" s="51">
        <f>VLOOKUP($A95,'Data Vlaue (Cr)'!$C:$FB,62)*100</f>
        <v>0.76</v>
      </c>
      <c r="M95" s="51">
        <f>VLOOKUP($A95,'Data Vlaue (Cr)'!$C:$FB,63)</f>
        <v>267</v>
      </c>
      <c r="N95" s="51">
        <f>VLOOKUP($A95,'Data Vlaue (Cr)'!$C:$FB,64)</f>
        <v>249</v>
      </c>
      <c r="O95" s="51">
        <f>VLOOKUP($A95,'Data Vlaue (Cr)'!$C:$FB,66)*100</f>
        <v>7.26</v>
      </c>
    </row>
    <row r="96" spans="1:15" x14ac:dyDescent="0.25">
      <c r="A96" s="101" t="str">
        <f>'Data Vlaue (Cr)'!C91</f>
        <v>INDIANB</v>
      </c>
      <c r="B96" s="50">
        <f>VLOOKUP($A96,'Data Vlaue (Cr)'!$C:$FB,8)</f>
        <v>897.3</v>
      </c>
      <c r="C96" s="50">
        <f>VLOOKUP($A96,'Data Vlaue (Cr)'!$C:$FB,11)*100</f>
        <v>-0.97</v>
      </c>
      <c r="D96" s="50">
        <f>VLOOKUP($A96,'Data Vlaue (Cr)'!$C:$FB,143)</f>
        <v>1918.6</v>
      </c>
      <c r="E96" s="50">
        <f>VLOOKUP($A96,'Data Vlaue (Cr)'!$C:$FB,144)</f>
        <v>999</v>
      </c>
      <c r="F96" s="50">
        <f>VLOOKUP($A96,'Data Vlaue (Cr)'!$C:$FB,146)*100</f>
        <v>92.05</v>
      </c>
      <c r="G96" s="49">
        <f>VLOOKUP($A96,'Data Vlaue (Cr)'!$C:$FB,43)</f>
        <v>342</v>
      </c>
      <c r="H96" s="49">
        <f>VLOOKUP($A96,'Data Vlaue (Cr)'!$C:$FB,44)</f>
        <v>166</v>
      </c>
      <c r="I96" s="49">
        <f>VLOOKUP($A96,'Data Vlaue (Cr)'!$C:$FB,46)*100</f>
        <v>106.25</v>
      </c>
      <c r="J96" s="51">
        <f>VLOOKUP($A96,'Data Vlaue (Cr)'!$C:$FB,59)</f>
        <v>962</v>
      </c>
      <c r="K96" s="51">
        <f>VLOOKUP($A96,'Data Vlaue (Cr)'!$C:$FB,60)</f>
        <v>573</v>
      </c>
      <c r="L96" s="51">
        <f>VLOOKUP($A96,'Data Vlaue (Cr)'!$C:$FB,62)*100</f>
        <v>67.88</v>
      </c>
      <c r="M96" s="51">
        <f>VLOOKUP($A96,'Data Vlaue (Cr)'!$C:$FB,63)</f>
        <v>595</v>
      </c>
      <c r="N96" s="51">
        <f>VLOOKUP($A96,'Data Vlaue (Cr)'!$C:$FB,64)</f>
        <v>239</v>
      </c>
      <c r="O96" s="51">
        <f>VLOOKUP($A96,'Data Vlaue (Cr)'!$C:$FB,66)*100</f>
        <v>148.47999999999999</v>
      </c>
    </row>
    <row r="97" spans="1:15" x14ac:dyDescent="0.25">
      <c r="A97" s="101" t="str">
        <f>'Data Vlaue (Cr)'!C92</f>
        <v>INDIAVIX</v>
      </c>
      <c r="B97" s="50">
        <f>VLOOKUP($A97,'Data Vlaue (Cr)'!$C:$FB,8)</f>
        <v>11.55</v>
      </c>
      <c r="C97" s="50">
        <f>VLOOKUP($A97,'Data Vlaue (Cr)'!$C:$FB,11)*100</f>
        <v>-0.96</v>
      </c>
      <c r="D97" s="50">
        <f>VLOOKUP($A97,'Data Vlaue (Cr)'!$C:$FB,143)</f>
        <v>0</v>
      </c>
      <c r="E97" s="50">
        <f>VLOOKUP($A97,'Data Vlaue (Cr)'!$C:$FB,144)</f>
        <v>0</v>
      </c>
      <c r="F97" s="50">
        <f>VLOOKUP($A97,'Data Vlaue (Cr)'!$C:$FB,146)*100</f>
        <v>0</v>
      </c>
      <c r="G97" s="49">
        <f>VLOOKUP($A97,'Data Vlaue (Cr)'!$C:$FB,43)</f>
        <v>0</v>
      </c>
      <c r="H97" s="49">
        <f>VLOOKUP($A97,'Data Vlaue (Cr)'!$C:$FB,44)</f>
        <v>0</v>
      </c>
      <c r="I97" s="49">
        <f>VLOOKUP($A97,'Data Vlaue (Cr)'!$C:$FB,46)*100</f>
        <v>0</v>
      </c>
      <c r="J97" s="51">
        <f>VLOOKUP($A97,'Data Vlaue (Cr)'!$C:$FB,59)</f>
        <v>0</v>
      </c>
      <c r="K97" s="51">
        <f>VLOOKUP($A97,'Data Vlaue (Cr)'!$C:$FB,60)</f>
        <v>0</v>
      </c>
      <c r="L97" s="51">
        <f>VLOOKUP($A97,'Data Vlaue (Cr)'!$C:$FB,62)*100</f>
        <v>0</v>
      </c>
      <c r="M97" s="51">
        <f>VLOOKUP($A97,'Data Vlaue (Cr)'!$C:$FB,63)</f>
        <v>0</v>
      </c>
      <c r="N97" s="51">
        <f>VLOOKUP($A97,'Data Vlaue (Cr)'!$C:$FB,64)</f>
        <v>0</v>
      </c>
      <c r="O97" s="51">
        <f>VLOOKUP($A97,'Data Vlaue (Cr)'!$C:$FB,66)*100</f>
        <v>0</v>
      </c>
    </row>
    <row r="98" spans="1:15" x14ac:dyDescent="0.25">
      <c r="A98" s="101" t="str">
        <f>'Data Vlaue (Cr)'!C93</f>
        <v>INDIGO</v>
      </c>
      <c r="B98" s="50">
        <f>VLOOKUP($A98,'Data Vlaue (Cr)'!$C:$FB,8)</f>
        <v>5013.8</v>
      </c>
      <c r="C98" s="50">
        <f>VLOOKUP($A98,'Data Vlaue (Cr)'!$C:$FB,11)*100</f>
        <v>1.08</v>
      </c>
      <c r="D98" s="50">
        <f>VLOOKUP($A98,'Data Vlaue (Cr)'!$C:$FB,143)</f>
        <v>5054.93</v>
      </c>
      <c r="E98" s="50">
        <f>VLOOKUP($A98,'Data Vlaue (Cr)'!$C:$FB,144)</f>
        <v>2617.6999999999998</v>
      </c>
      <c r="F98" s="50">
        <f>VLOOKUP($A98,'Data Vlaue (Cr)'!$C:$FB,146)*100</f>
        <v>93.11</v>
      </c>
      <c r="G98" s="49">
        <f>VLOOKUP($A98,'Data Vlaue (Cr)'!$C:$FB,43)</f>
        <v>560</v>
      </c>
      <c r="H98" s="49">
        <f>VLOOKUP($A98,'Data Vlaue (Cr)'!$C:$FB,44)</f>
        <v>607</v>
      </c>
      <c r="I98" s="49">
        <f>VLOOKUP($A98,'Data Vlaue (Cr)'!$C:$FB,46)*100</f>
        <v>-7.68</v>
      </c>
      <c r="J98" s="51">
        <f>VLOOKUP($A98,'Data Vlaue (Cr)'!$C:$FB,59)</f>
        <v>3007</v>
      </c>
      <c r="K98" s="51">
        <f>VLOOKUP($A98,'Data Vlaue (Cr)'!$C:$FB,60)</f>
        <v>1171</v>
      </c>
      <c r="L98" s="51">
        <f>VLOOKUP($A98,'Data Vlaue (Cr)'!$C:$FB,62)*100</f>
        <v>156.72</v>
      </c>
      <c r="M98" s="51">
        <f>VLOOKUP($A98,'Data Vlaue (Cr)'!$C:$FB,63)</f>
        <v>1405</v>
      </c>
      <c r="N98" s="51">
        <f>VLOOKUP($A98,'Data Vlaue (Cr)'!$C:$FB,64)</f>
        <v>839</v>
      </c>
      <c r="O98" s="51">
        <f>VLOOKUP($A98,'Data Vlaue (Cr)'!$C:$FB,66)*100</f>
        <v>67.45</v>
      </c>
    </row>
    <row r="99" spans="1:15" x14ac:dyDescent="0.25">
      <c r="A99" s="101" t="str">
        <f>'Data Vlaue (Cr)'!C94</f>
        <v>INDUSINDBK</v>
      </c>
      <c r="B99" s="50">
        <f>VLOOKUP($A99,'Data Vlaue (Cr)'!$C:$FB,8)</f>
        <v>925</v>
      </c>
      <c r="C99" s="50">
        <f>VLOOKUP($A99,'Data Vlaue (Cr)'!$C:$FB,11)*100</f>
        <v>-0.27999999999999997</v>
      </c>
      <c r="D99" s="50">
        <f>VLOOKUP($A99,'Data Vlaue (Cr)'!$C:$FB,143)</f>
        <v>1228.44</v>
      </c>
      <c r="E99" s="50">
        <f>VLOOKUP($A99,'Data Vlaue (Cr)'!$C:$FB,144)</f>
        <v>1397.68</v>
      </c>
      <c r="F99" s="50">
        <f>VLOOKUP($A99,'Data Vlaue (Cr)'!$C:$FB,146)*100</f>
        <v>-12.11</v>
      </c>
      <c r="G99" s="49">
        <f>VLOOKUP($A99,'Data Vlaue (Cr)'!$C:$FB,43)</f>
        <v>398</v>
      </c>
      <c r="H99" s="49">
        <f>VLOOKUP($A99,'Data Vlaue (Cr)'!$C:$FB,44)</f>
        <v>367</v>
      </c>
      <c r="I99" s="49">
        <f>VLOOKUP($A99,'Data Vlaue (Cr)'!$C:$FB,46)*100</f>
        <v>8.59</v>
      </c>
      <c r="J99" s="51">
        <f>VLOOKUP($A99,'Data Vlaue (Cr)'!$C:$FB,59)</f>
        <v>547</v>
      </c>
      <c r="K99" s="51">
        <f>VLOOKUP($A99,'Data Vlaue (Cr)'!$C:$FB,60)</f>
        <v>652</v>
      </c>
      <c r="L99" s="51">
        <f>VLOOKUP($A99,'Data Vlaue (Cr)'!$C:$FB,62)*100</f>
        <v>-16.09</v>
      </c>
      <c r="M99" s="51">
        <f>VLOOKUP($A99,'Data Vlaue (Cr)'!$C:$FB,63)</f>
        <v>269</v>
      </c>
      <c r="N99" s="51">
        <f>VLOOKUP($A99,'Data Vlaue (Cr)'!$C:$FB,64)</f>
        <v>353</v>
      </c>
      <c r="O99" s="51">
        <f>VLOOKUP($A99,'Data Vlaue (Cr)'!$C:$FB,66)*100</f>
        <v>-23.849999999999998</v>
      </c>
    </row>
    <row r="100" spans="1:15" x14ac:dyDescent="0.25">
      <c r="A100" s="101" t="str">
        <f>'Data Vlaue (Cr)'!C95</f>
        <v>INDUSTOWER</v>
      </c>
      <c r="B100" s="50">
        <f>VLOOKUP($A100,'Data Vlaue (Cr)'!$C:$FB,8)</f>
        <v>467.05</v>
      </c>
      <c r="C100" s="50">
        <f>VLOOKUP($A100,'Data Vlaue (Cr)'!$C:$FB,11)*100</f>
        <v>1.72</v>
      </c>
      <c r="D100" s="50">
        <f>VLOOKUP($A100,'Data Vlaue (Cr)'!$C:$FB,143)</f>
        <v>5853.8</v>
      </c>
      <c r="E100" s="50">
        <f>VLOOKUP($A100,'Data Vlaue (Cr)'!$C:$FB,144)</f>
        <v>4486.67</v>
      </c>
      <c r="F100" s="50">
        <f>VLOOKUP($A100,'Data Vlaue (Cr)'!$C:$FB,146)*100</f>
        <v>30.470000000000002</v>
      </c>
      <c r="G100" s="49">
        <f>VLOOKUP($A100,'Data Vlaue (Cr)'!$C:$FB,43)</f>
        <v>707</v>
      </c>
      <c r="H100" s="49">
        <f>VLOOKUP($A100,'Data Vlaue (Cr)'!$C:$FB,44)</f>
        <v>878</v>
      </c>
      <c r="I100" s="49">
        <f>VLOOKUP($A100,'Data Vlaue (Cr)'!$C:$FB,46)*100</f>
        <v>-19.45</v>
      </c>
      <c r="J100" s="51">
        <f>VLOOKUP($A100,'Data Vlaue (Cr)'!$C:$FB,59)</f>
        <v>3593</v>
      </c>
      <c r="K100" s="51">
        <f>VLOOKUP($A100,'Data Vlaue (Cr)'!$C:$FB,60)</f>
        <v>2586</v>
      </c>
      <c r="L100" s="51">
        <f>VLOOKUP($A100,'Data Vlaue (Cr)'!$C:$FB,62)*100</f>
        <v>38.940000000000005</v>
      </c>
      <c r="M100" s="51">
        <f>VLOOKUP($A100,'Data Vlaue (Cr)'!$C:$FB,63)</f>
        <v>1462</v>
      </c>
      <c r="N100" s="51">
        <f>VLOOKUP($A100,'Data Vlaue (Cr)'!$C:$FB,64)</f>
        <v>1051</v>
      </c>
      <c r="O100" s="51">
        <f>VLOOKUP($A100,'Data Vlaue (Cr)'!$C:$FB,66)*100</f>
        <v>39.119999999999997</v>
      </c>
    </row>
    <row r="101" spans="1:15" x14ac:dyDescent="0.25">
      <c r="A101" s="101" t="str">
        <f>'Data Vlaue (Cr)'!C96</f>
        <v>INFY</v>
      </c>
      <c r="B101" s="50">
        <f>VLOOKUP($A101,'Data Vlaue (Cr)'!$C:$FB,8)</f>
        <v>1471.9</v>
      </c>
      <c r="C101" s="50">
        <f>VLOOKUP($A101,'Data Vlaue (Cr)'!$C:$FB,11)*100</f>
        <v>-1.73</v>
      </c>
      <c r="D101" s="50">
        <f>VLOOKUP($A101,'Data Vlaue (Cr)'!$C:$FB,143)</f>
        <v>15647.33</v>
      </c>
      <c r="E101" s="50">
        <f>VLOOKUP($A101,'Data Vlaue (Cr)'!$C:$FB,144)</f>
        <v>13634.99</v>
      </c>
      <c r="F101" s="50">
        <f>VLOOKUP($A101,'Data Vlaue (Cr)'!$C:$FB,146)*100</f>
        <v>14.760000000000002</v>
      </c>
      <c r="G101" s="49">
        <f>VLOOKUP($A101,'Data Vlaue (Cr)'!$C:$FB,43)</f>
        <v>1607</v>
      </c>
      <c r="H101" s="49">
        <f>VLOOKUP($A101,'Data Vlaue (Cr)'!$C:$FB,44)</f>
        <v>1471</v>
      </c>
      <c r="I101" s="49">
        <f>VLOOKUP($A101,'Data Vlaue (Cr)'!$C:$FB,46)*100</f>
        <v>9.26</v>
      </c>
      <c r="J101" s="51">
        <f>VLOOKUP($A101,'Data Vlaue (Cr)'!$C:$FB,59)</f>
        <v>8494</v>
      </c>
      <c r="K101" s="51">
        <f>VLOOKUP($A101,'Data Vlaue (Cr)'!$C:$FB,60)</f>
        <v>7594</v>
      </c>
      <c r="L101" s="51">
        <f>VLOOKUP($A101,'Data Vlaue (Cr)'!$C:$FB,62)*100</f>
        <v>11.86</v>
      </c>
      <c r="M101" s="51">
        <f>VLOOKUP($A101,'Data Vlaue (Cr)'!$C:$FB,63)</f>
        <v>4921</v>
      </c>
      <c r="N101" s="51">
        <f>VLOOKUP($A101,'Data Vlaue (Cr)'!$C:$FB,64)</f>
        <v>3846</v>
      </c>
      <c r="O101" s="51">
        <f>VLOOKUP($A101,'Data Vlaue (Cr)'!$C:$FB,66)*100</f>
        <v>27.939999999999998</v>
      </c>
    </row>
    <row r="102" spans="1:15" x14ac:dyDescent="0.25">
      <c r="A102" s="101" t="str">
        <f>'Data Vlaue (Cr)'!C97</f>
        <v>INOXWIND</v>
      </c>
      <c r="B102" s="50">
        <f>VLOOKUP($A102,'Data Vlaue (Cr)'!$C:$FB,8)</f>
        <v>110.42</v>
      </c>
      <c r="C102" s="50">
        <f>VLOOKUP($A102,'Data Vlaue (Cr)'!$C:$FB,11)*100</f>
        <v>-0.72</v>
      </c>
      <c r="D102" s="50">
        <f>VLOOKUP($A102,'Data Vlaue (Cr)'!$C:$FB,143)</f>
        <v>549.71</v>
      </c>
      <c r="E102" s="50">
        <f>VLOOKUP($A102,'Data Vlaue (Cr)'!$C:$FB,144)</f>
        <v>475.04</v>
      </c>
      <c r="F102" s="50">
        <f>VLOOKUP($A102,'Data Vlaue (Cr)'!$C:$FB,146)*100</f>
        <v>15.72</v>
      </c>
      <c r="G102" s="49">
        <f>VLOOKUP($A102,'Data Vlaue (Cr)'!$C:$FB,43)</f>
        <v>160</v>
      </c>
      <c r="H102" s="49">
        <f>VLOOKUP($A102,'Data Vlaue (Cr)'!$C:$FB,44)</f>
        <v>125</v>
      </c>
      <c r="I102" s="49">
        <f>VLOOKUP($A102,'Data Vlaue (Cr)'!$C:$FB,46)*100</f>
        <v>28.22</v>
      </c>
      <c r="J102" s="51">
        <f>VLOOKUP($A102,'Data Vlaue (Cr)'!$C:$FB,59)</f>
        <v>290</v>
      </c>
      <c r="K102" s="51">
        <f>VLOOKUP($A102,'Data Vlaue (Cr)'!$C:$FB,60)</f>
        <v>252</v>
      </c>
      <c r="L102" s="51">
        <f>VLOOKUP($A102,'Data Vlaue (Cr)'!$C:$FB,62)*100</f>
        <v>15.21</v>
      </c>
      <c r="M102" s="51">
        <f>VLOOKUP($A102,'Data Vlaue (Cr)'!$C:$FB,63)</f>
        <v>81</v>
      </c>
      <c r="N102" s="51">
        <f>VLOOKUP($A102,'Data Vlaue (Cr)'!$C:$FB,64)</f>
        <v>75</v>
      </c>
      <c r="O102" s="51">
        <f>VLOOKUP($A102,'Data Vlaue (Cr)'!$C:$FB,66)*100</f>
        <v>8.25</v>
      </c>
    </row>
    <row r="103" spans="1:15" x14ac:dyDescent="0.25">
      <c r="A103" s="101" t="str">
        <f>'Data Vlaue (Cr)'!C98</f>
        <v>IOC</v>
      </c>
      <c r="B103" s="50">
        <f>VLOOKUP($A103,'Data Vlaue (Cr)'!$C:$FB,8)</f>
        <v>181.31</v>
      </c>
      <c r="C103" s="50">
        <f>VLOOKUP($A103,'Data Vlaue (Cr)'!$C:$FB,11)*100</f>
        <v>1.7399999999999998</v>
      </c>
      <c r="D103" s="50">
        <f>VLOOKUP($A103,'Data Vlaue (Cr)'!$C:$FB,143)</f>
        <v>2786.56</v>
      </c>
      <c r="E103" s="50">
        <f>VLOOKUP($A103,'Data Vlaue (Cr)'!$C:$FB,144)</f>
        <v>1579.8</v>
      </c>
      <c r="F103" s="50">
        <f>VLOOKUP($A103,'Data Vlaue (Cr)'!$C:$FB,146)*100</f>
        <v>76.39</v>
      </c>
      <c r="G103" s="49">
        <f>VLOOKUP($A103,'Data Vlaue (Cr)'!$C:$FB,43)</f>
        <v>402</v>
      </c>
      <c r="H103" s="49">
        <f>VLOOKUP($A103,'Data Vlaue (Cr)'!$C:$FB,44)</f>
        <v>261</v>
      </c>
      <c r="I103" s="49">
        <f>VLOOKUP($A103,'Data Vlaue (Cr)'!$C:$FB,46)*100</f>
        <v>53.669999999999995</v>
      </c>
      <c r="J103" s="51">
        <f>VLOOKUP($A103,'Data Vlaue (Cr)'!$C:$FB,59)</f>
        <v>1541</v>
      </c>
      <c r="K103" s="51">
        <f>VLOOKUP($A103,'Data Vlaue (Cr)'!$C:$FB,60)</f>
        <v>817</v>
      </c>
      <c r="L103" s="51">
        <f>VLOOKUP($A103,'Data Vlaue (Cr)'!$C:$FB,62)*100</f>
        <v>88.660000000000011</v>
      </c>
      <c r="M103" s="51">
        <f>VLOOKUP($A103,'Data Vlaue (Cr)'!$C:$FB,63)</f>
        <v>837</v>
      </c>
      <c r="N103" s="51">
        <f>VLOOKUP($A103,'Data Vlaue (Cr)'!$C:$FB,64)</f>
        <v>525</v>
      </c>
      <c r="O103" s="51">
        <f>VLOOKUP($A103,'Data Vlaue (Cr)'!$C:$FB,66)*100</f>
        <v>59.430000000000007</v>
      </c>
    </row>
    <row r="104" spans="1:15" x14ac:dyDescent="0.25">
      <c r="A104" s="101" t="str">
        <f>'Data Vlaue (Cr)'!C99</f>
        <v>IRCTC</v>
      </c>
      <c r="B104" s="50">
        <f>VLOOKUP($A104,'Data Vlaue (Cr)'!$C:$FB,8)</f>
        <v>628.35</v>
      </c>
      <c r="C104" s="50">
        <f>VLOOKUP($A104,'Data Vlaue (Cr)'!$C:$FB,11)*100</f>
        <v>-1.23</v>
      </c>
      <c r="D104" s="50">
        <f>VLOOKUP($A104,'Data Vlaue (Cr)'!$C:$FB,143)</f>
        <v>1080.81</v>
      </c>
      <c r="E104" s="50">
        <f>VLOOKUP($A104,'Data Vlaue (Cr)'!$C:$FB,144)</f>
        <v>2233.23</v>
      </c>
      <c r="F104" s="50">
        <f>VLOOKUP($A104,'Data Vlaue (Cr)'!$C:$FB,146)*100</f>
        <v>-51.6</v>
      </c>
      <c r="G104" s="49">
        <f>VLOOKUP($A104,'Data Vlaue (Cr)'!$C:$FB,43)</f>
        <v>106</v>
      </c>
      <c r="H104" s="49">
        <f>VLOOKUP($A104,'Data Vlaue (Cr)'!$C:$FB,44)</f>
        <v>231</v>
      </c>
      <c r="I104" s="49">
        <f>VLOOKUP($A104,'Data Vlaue (Cr)'!$C:$FB,46)*100</f>
        <v>-54.14</v>
      </c>
      <c r="J104" s="51">
        <f>VLOOKUP($A104,'Data Vlaue (Cr)'!$C:$FB,59)</f>
        <v>724</v>
      </c>
      <c r="K104" s="51">
        <f>VLOOKUP($A104,'Data Vlaue (Cr)'!$C:$FB,60)</f>
        <v>1557</v>
      </c>
      <c r="L104" s="51">
        <f>VLOOKUP($A104,'Data Vlaue (Cr)'!$C:$FB,62)*100</f>
        <v>-53.53</v>
      </c>
      <c r="M104" s="51">
        <f>VLOOKUP($A104,'Data Vlaue (Cr)'!$C:$FB,63)</f>
        <v>212</v>
      </c>
      <c r="N104" s="51">
        <f>VLOOKUP($A104,'Data Vlaue (Cr)'!$C:$FB,64)</f>
        <v>354</v>
      </c>
      <c r="O104" s="51">
        <f>VLOOKUP($A104,'Data Vlaue (Cr)'!$C:$FB,66)*100</f>
        <v>-40.08</v>
      </c>
    </row>
    <row r="105" spans="1:15" x14ac:dyDescent="0.25">
      <c r="A105" s="101" t="str">
        <f>'Data Vlaue (Cr)'!C100</f>
        <v>IREDA</v>
      </c>
      <c r="B105" s="50">
        <f>VLOOKUP($A105,'Data Vlaue (Cr)'!$C:$FB,8)</f>
        <v>126.67</v>
      </c>
      <c r="C105" s="50">
        <f>VLOOKUP($A105,'Data Vlaue (Cr)'!$C:$FB,11)*100</f>
        <v>-2.02</v>
      </c>
      <c r="D105" s="50">
        <f>VLOOKUP($A105,'Data Vlaue (Cr)'!$C:$FB,143)</f>
        <v>1071.48</v>
      </c>
      <c r="E105" s="50">
        <f>VLOOKUP($A105,'Data Vlaue (Cr)'!$C:$FB,144)</f>
        <v>411.5</v>
      </c>
      <c r="F105" s="50">
        <f>VLOOKUP($A105,'Data Vlaue (Cr)'!$C:$FB,146)*100</f>
        <v>160.39000000000001</v>
      </c>
      <c r="G105" s="49">
        <f>VLOOKUP($A105,'Data Vlaue (Cr)'!$C:$FB,43)</f>
        <v>310</v>
      </c>
      <c r="H105" s="49">
        <f>VLOOKUP($A105,'Data Vlaue (Cr)'!$C:$FB,44)</f>
        <v>143</v>
      </c>
      <c r="I105" s="49">
        <f>VLOOKUP($A105,'Data Vlaue (Cr)'!$C:$FB,46)*100</f>
        <v>116.24000000000001</v>
      </c>
      <c r="J105" s="51">
        <f>VLOOKUP($A105,'Data Vlaue (Cr)'!$C:$FB,59)</f>
        <v>517</v>
      </c>
      <c r="K105" s="51">
        <f>VLOOKUP($A105,'Data Vlaue (Cr)'!$C:$FB,60)</f>
        <v>182</v>
      </c>
      <c r="L105" s="51">
        <f>VLOOKUP($A105,'Data Vlaue (Cr)'!$C:$FB,62)*100</f>
        <v>184.41</v>
      </c>
      <c r="M105" s="51">
        <f>VLOOKUP($A105,'Data Vlaue (Cr)'!$C:$FB,63)</f>
        <v>202</v>
      </c>
      <c r="N105" s="51">
        <f>VLOOKUP($A105,'Data Vlaue (Cr)'!$C:$FB,64)</f>
        <v>62</v>
      </c>
      <c r="O105" s="51">
        <f>VLOOKUP($A105,'Data Vlaue (Cr)'!$C:$FB,66)*100</f>
        <v>226.43</v>
      </c>
    </row>
    <row r="106" spans="1:15" x14ac:dyDescent="0.25">
      <c r="A106" s="101" t="str">
        <f>'Data Vlaue (Cr)'!C101</f>
        <v>IRFC</v>
      </c>
      <c r="B106" s="50">
        <f>VLOOKUP($A106,'Data Vlaue (Cr)'!$C:$FB,8)</f>
        <v>114.33</v>
      </c>
      <c r="C106" s="50">
        <f>VLOOKUP($A106,'Data Vlaue (Cr)'!$C:$FB,11)*100</f>
        <v>-0.98</v>
      </c>
      <c r="D106" s="50">
        <f>VLOOKUP($A106,'Data Vlaue (Cr)'!$C:$FB,143)</f>
        <v>1157.92</v>
      </c>
      <c r="E106" s="50">
        <f>VLOOKUP($A106,'Data Vlaue (Cr)'!$C:$FB,144)</f>
        <v>1121.1099999999999</v>
      </c>
      <c r="F106" s="50">
        <f>VLOOKUP($A106,'Data Vlaue (Cr)'!$C:$FB,146)*100</f>
        <v>3.2800000000000002</v>
      </c>
      <c r="G106" s="49">
        <f>VLOOKUP($A106,'Data Vlaue (Cr)'!$C:$FB,43)</f>
        <v>161</v>
      </c>
      <c r="H106" s="49">
        <f>VLOOKUP($A106,'Data Vlaue (Cr)'!$C:$FB,44)</f>
        <v>140</v>
      </c>
      <c r="I106" s="49">
        <f>VLOOKUP($A106,'Data Vlaue (Cr)'!$C:$FB,46)*100</f>
        <v>15.049999999999999</v>
      </c>
      <c r="J106" s="51">
        <f>VLOOKUP($A106,'Data Vlaue (Cr)'!$C:$FB,59)</f>
        <v>744</v>
      </c>
      <c r="K106" s="51">
        <f>VLOOKUP($A106,'Data Vlaue (Cr)'!$C:$FB,60)</f>
        <v>760</v>
      </c>
      <c r="L106" s="51">
        <f>VLOOKUP($A106,'Data Vlaue (Cr)'!$C:$FB,62)*100</f>
        <v>-2.1800000000000002</v>
      </c>
      <c r="M106" s="51">
        <f>VLOOKUP($A106,'Data Vlaue (Cr)'!$C:$FB,63)</f>
        <v>189</v>
      </c>
      <c r="N106" s="51">
        <f>VLOOKUP($A106,'Data Vlaue (Cr)'!$C:$FB,64)</f>
        <v>158</v>
      </c>
      <c r="O106" s="51">
        <f>VLOOKUP($A106,'Data Vlaue (Cr)'!$C:$FB,66)*100</f>
        <v>19.59</v>
      </c>
    </row>
    <row r="107" spans="1:15" x14ac:dyDescent="0.25">
      <c r="A107" s="101" t="str">
        <f>'Data Vlaue (Cr)'!C102</f>
        <v>ITC</v>
      </c>
      <c r="B107" s="50">
        <f>VLOOKUP($A107,'Data Vlaue (Cr)'!$C:$FB,8)</f>
        <v>318.25</v>
      </c>
      <c r="C107" s="50">
        <f>VLOOKUP($A107,'Data Vlaue (Cr)'!$C:$FB,11)*100</f>
        <v>-0.98</v>
      </c>
      <c r="D107" s="50">
        <f>VLOOKUP($A107,'Data Vlaue (Cr)'!$C:$FB,143)</f>
        <v>8255.0400000000009</v>
      </c>
      <c r="E107" s="50">
        <f>VLOOKUP($A107,'Data Vlaue (Cr)'!$C:$FB,144)</f>
        <v>6118.69</v>
      </c>
      <c r="F107" s="50">
        <f>VLOOKUP($A107,'Data Vlaue (Cr)'!$C:$FB,146)*100</f>
        <v>34.92</v>
      </c>
      <c r="G107" s="49">
        <f>VLOOKUP($A107,'Data Vlaue (Cr)'!$C:$FB,43)</f>
        <v>624</v>
      </c>
      <c r="H107" s="49">
        <f>VLOOKUP($A107,'Data Vlaue (Cr)'!$C:$FB,44)</f>
        <v>517</v>
      </c>
      <c r="I107" s="49">
        <f>VLOOKUP($A107,'Data Vlaue (Cr)'!$C:$FB,46)*100</f>
        <v>20.630000000000003</v>
      </c>
      <c r="J107" s="51">
        <f>VLOOKUP($A107,'Data Vlaue (Cr)'!$C:$FB,59)</f>
        <v>5047</v>
      </c>
      <c r="K107" s="51">
        <f>VLOOKUP($A107,'Data Vlaue (Cr)'!$C:$FB,60)</f>
        <v>3807</v>
      </c>
      <c r="L107" s="51">
        <f>VLOOKUP($A107,'Data Vlaue (Cr)'!$C:$FB,62)*100</f>
        <v>32.58</v>
      </c>
      <c r="M107" s="51">
        <f>VLOOKUP($A107,'Data Vlaue (Cr)'!$C:$FB,63)</f>
        <v>2338</v>
      </c>
      <c r="N107" s="51">
        <f>VLOOKUP($A107,'Data Vlaue (Cr)'!$C:$FB,64)</f>
        <v>1545</v>
      </c>
      <c r="O107" s="51">
        <f>VLOOKUP($A107,'Data Vlaue (Cr)'!$C:$FB,66)*100</f>
        <v>51.32</v>
      </c>
    </row>
    <row r="108" spans="1:15" x14ac:dyDescent="0.25">
      <c r="A108" s="101" t="str">
        <f>'Data Vlaue (Cr)'!C103</f>
        <v>JINDALSTEL</v>
      </c>
      <c r="B108" s="50">
        <f>VLOOKUP($A108,'Data Vlaue (Cr)'!$C:$FB,8)</f>
        <v>1190.5</v>
      </c>
      <c r="C108" s="50">
        <f>VLOOKUP($A108,'Data Vlaue (Cr)'!$C:$FB,11)*100</f>
        <v>-0.08</v>
      </c>
      <c r="D108" s="50">
        <f>VLOOKUP($A108,'Data Vlaue (Cr)'!$C:$FB,143)</f>
        <v>914.85</v>
      </c>
      <c r="E108" s="50">
        <f>VLOOKUP($A108,'Data Vlaue (Cr)'!$C:$FB,144)</f>
        <v>891.17</v>
      </c>
      <c r="F108" s="50">
        <f>VLOOKUP($A108,'Data Vlaue (Cr)'!$C:$FB,146)*100</f>
        <v>2.6599999999999997</v>
      </c>
      <c r="G108" s="49">
        <f>VLOOKUP($A108,'Data Vlaue (Cr)'!$C:$FB,43)</f>
        <v>156</v>
      </c>
      <c r="H108" s="49">
        <f>VLOOKUP($A108,'Data Vlaue (Cr)'!$C:$FB,44)</f>
        <v>146</v>
      </c>
      <c r="I108" s="49">
        <f>VLOOKUP($A108,'Data Vlaue (Cr)'!$C:$FB,46)*100</f>
        <v>7.23</v>
      </c>
      <c r="J108" s="51">
        <f>VLOOKUP($A108,'Data Vlaue (Cr)'!$C:$FB,59)</f>
        <v>391</v>
      </c>
      <c r="K108" s="51">
        <f>VLOOKUP($A108,'Data Vlaue (Cr)'!$C:$FB,60)</f>
        <v>448</v>
      </c>
      <c r="L108" s="51">
        <f>VLOOKUP($A108,'Data Vlaue (Cr)'!$C:$FB,62)*100</f>
        <v>-12.72</v>
      </c>
      <c r="M108" s="51">
        <f>VLOOKUP($A108,'Data Vlaue (Cr)'!$C:$FB,63)</f>
        <v>361</v>
      </c>
      <c r="N108" s="51">
        <f>VLOOKUP($A108,'Data Vlaue (Cr)'!$C:$FB,64)</f>
        <v>286</v>
      </c>
      <c r="O108" s="51">
        <f>VLOOKUP($A108,'Data Vlaue (Cr)'!$C:$FB,66)*100</f>
        <v>25.95</v>
      </c>
    </row>
    <row r="109" spans="1:15" x14ac:dyDescent="0.25">
      <c r="A109" s="101" t="str">
        <f>'Data Vlaue (Cr)'!C104</f>
        <v>JIOFIN</v>
      </c>
      <c r="B109" s="50">
        <f>VLOOKUP($A109,'Data Vlaue (Cr)'!$C:$FB,8)</f>
        <v>270.3</v>
      </c>
      <c r="C109" s="50">
        <f>VLOOKUP($A109,'Data Vlaue (Cr)'!$C:$FB,11)*100</f>
        <v>0.04</v>
      </c>
      <c r="D109" s="50">
        <f>VLOOKUP($A109,'Data Vlaue (Cr)'!$C:$FB,143)</f>
        <v>2198.9499999999998</v>
      </c>
      <c r="E109" s="50">
        <f>VLOOKUP($A109,'Data Vlaue (Cr)'!$C:$FB,144)</f>
        <v>3031.34</v>
      </c>
      <c r="F109" s="50">
        <f>VLOOKUP($A109,'Data Vlaue (Cr)'!$C:$FB,146)*100</f>
        <v>-27.46</v>
      </c>
      <c r="G109" s="49">
        <f>VLOOKUP($A109,'Data Vlaue (Cr)'!$C:$FB,43)</f>
        <v>331</v>
      </c>
      <c r="H109" s="49">
        <f>VLOOKUP($A109,'Data Vlaue (Cr)'!$C:$FB,44)</f>
        <v>416</v>
      </c>
      <c r="I109" s="49">
        <f>VLOOKUP($A109,'Data Vlaue (Cr)'!$C:$FB,46)*100</f>
        <v>-20.380000000000003</v>
      </c>
      <c r="J109" s="51">
        <f>VLOOKUP($A109,'Data Vlaue (Cr)'!$C:$FB,59)</f>
        <v>1335</v>
      </c>
      <c r="K109" s="51">
        <f>VLOOKUP($A109,'Data Vlaue (Cr)'!$C:$FB,60)</f>
        <v>1813</v>
      </c>
      <c r="L109" s="51">
        <f>VLOOKUP($A109,'Data Vlaue (Cr)'!$C:$FB,62)*100</f>
        <v>-26.38</v>
      </c>
      <c r="M109" s="51">
        <f>VLOOKUP($A109,'Data Vlaue (Cr)'!$C:$FB,63)</f>
        <v>456</v>
      </c>
      <c r="N109" s="51">
        <f>VLOOKUP($A109,'Data Vlaue (Cr)'!$C:$FB,64)</f>
        <v>697</v>
      </c>
      <c r="O109" s="51">
        <f>VLOOKUP($A109,'Data Vlaue (Cr)'!$C:$FB,66)*100</f>
        <v>-34.61</v>
      </c>
    </row>
    <row r="110" spans="1:15" x14ac:dyDescent="0.25">
      <c r="A110" s="101" t="str">
        <f>'Data Vlaue (Cr)'!C105</f>
        <v>JSWENERGY</v>
      </c>
      <c r="B110" s="50">
        <f>VLOOKUP($A110,'Data Vlaue (Cr)'!$C:$FB,8)</f>
        <v>482.35</v>
      </c>
      <c r="C110" s="50">
        <f>VLOOKUP($A110,'Data Vlaue (Cr)'!$C:$FB,11)*100</f>
        <v>-0.27999999999999997</v>
      </c>
      <c r="D110" s="50">
        <f>VLOOKUP($A110,'Data Vlaue (Cr)'!$C:$FB,143)</f>
        <v>458.07</v>
      </c>
      <c r="E110" s="50">
        <f>VLOOKUP($A110,'Data Vlaue (Cr)'!$C:$FB,144)</f>
        <v>669.24</v>
      </c>
      <c r="F110" s="50">
        <f>VLOOKUP($A110,'Data Vlaue (Cr)'!$C:$FB,146)*100</f>
        <v>-31.55</v>
      </c>
      <c r="G110" s="49">
        <f>VLOOKUP($A110,'Data Vlaue (Cr)'!$C:$FB,43)</f>
        <v>84</v>
      </c>
      <c r="H110" s="49">
        <f>VLOOKUP($A110,'Data Vlaue (Cr)'!$C:$FB,44)</f>
        <v>111</v>
      </c>
      <c r="I110" s="49">
        <f>VLOOKUP($A110,'Data Vlaue (Cr)'!$C:$FB,46)*100</f>
        <v>-24.54</v>
      </c>
      <c r="J110" s="51">
        <f>VLOOKUP($A110,'Data Vlaue (Cr)'!$C:$FB,59)</f>
        <v>243</v>
      </c>
      <c r="K110" s="51">
        <f>VLOOKUP($A110,'Data Vlaue (Cr)'!$C:$FB,60)</f>
        <v>366</v>
      </c>
      <c r="L110" s="51">
        <f>VLOOKUP($A110,'Data Vlaue (Cr)'!$C:$FB,62)*100</f>
        <v>-33.75</v>
      </c>
      <c r="M110" s="51">
        <f>VLOOKUP($A110,'Data Vlaue (Cr)'!$C:$FB,63)</f>
        <v>127</v>
      </c>
      <c r="N110" s="51">
        <f>VLOOKUP($A110,'Data Vlaue (Cr)'!$C:$FB,64)</f>
        <v>183</v>
      </c>
      <c r="O110" s="51">
        <f>VLOOKUP($A110,'Data Vlaue (Cr)'!$C:$FB,66)*100</f>
        <v>-30.86</v>
      </c>
    </row>
    <row r="111" spans="1:15" x14ac:dyDescent="0.25">
      <c r="A111" s="101" t="str">
        <f>'Data Vlaue (Cr)'!C106</f>
        <v>JSWSTEEL</v>
      </c>
      <c r="B111" s="50">
        <f>VLOOKUP($A111,'Data Vlaue (Cr)'!$C:$FB,8)</f>
        <v>1249.2</v>
      </c>
      <c r="C111" s="50">
        <f>VLOOKUP($A111,'Data Vlaue (Cr)'!$C:$FB,11)*100</f>
        <v>0.41000000000000003</v>
      </c>
      <c r="D111" s="50">
        <f>VLOOKUP($A111,'Data Vlaue (Cr)'!$C:$FB,143)</f>
        <v>1193.3900000000001</v>
      </c>
      <c r="E111" s="50">
        <f>VLOOKUP($A111,'Data Vlaue (Cr)'!$C:$FB,144)</f>
        <v>2568.4899999999998</v>
      </c>
      <c r="F111" s="50">
        <f>VLOOKUP($A111,'Data Vlaue (Cr)'!$C:$FB,146)*100</f>
        <v>-53.54</v>
      </c>
      <c r="G111" s="49">
        <f>VLOOKUP($A111,'Data Vlaue (Cr)'!$C:$FB,43)</f>
        <v>214</v>
      </c>
      <c r="H111" s="49">
        <f>VLOOKUP($A111,'Data Vlaue (Cr)'!$C:$FB,44)</f>
        <v>341</v>
      </c>
      <c r="I111" s="49">
        <f>VLOOKUP($A111,'Data Vlaue (Cr)'!$C:$FB,46)*100</f>
        <v>-37.299999999999997</v>
      </c>
      <c r="J111" s="51">
        <f>VLOOKUP($A111,'Data Vlaue (Cr)'!$C:$FB,59)</f>
        <v>610</v>
      </c>
      <c r="K111" s="51">
        <f>VLOOKUP($A111,'Data Vlaue (Cr)'!$C:$FB,60)</f>
        <v>1582</v>
      </c>
      <c r="L111" s="51">
        <f>VLOOKUP($A111,'Data Vlaue (Cr)'!$C:$FB,62)*100</f>
        <v>-61.44</v>
      </c>
      <c r="M111" s="51">
        <f>VLOOKUP($A111,'Data Vlaue (Cr)'!$C:$FB,63)</f>
        <v>358</v>
      </c>
      <c r="N111" s="51">
        <f>VLOOKUP($A111,'Data Vlaue (Cr)'!$C:$FB,64)</f>
        <v>601</v>
      </c>
      <c r="O111" s="51">
        <f>VLOOKUP($A111,'Data Vlaue (Cr)'!$C:$FB,66)*100</f>
        <v>-40.47</v>
      </c>
    </row>
    <row r="112" spans="1:15" x14ac:dyDescent="0.25">
      <c r="A112" s="101" t="str">
        <f>'Data Vlaue (Cr)'!C107</f>
        <v>JUBLFOOD</v>
      </c>
      <c r="B112" s="50">
        <f>VLOOKUP($A112,'Data Vlaue (Cr)'!$C:$FB,8)</f>
        <v>547</v>
      </c>
      <c r="C112" s="50">
        <f>VLOOKUP($A112,'Data Vlaue (Cr)'!$C:$FB,11)*100</f>
        <v>-1.34</v>
      </c>
      <c r="D112" s="50">
        <f>VLOOKUP($A112,'Data Vlaue (Cr)'!$C:$FB,143)</f>
        <v>7024.22</v>
      </c>
      <c r="E112" s="50">
        <f>VLOOKUP($A112,'Data Vlaue (Cr)'!$C:$FB,144)</f>
        <v>1760.8</v>
      </c>
      <c r="F112" s="50">
        <f>VLOOKUP($A112,'Data Vlaue (Cr)'!$C:$FB,146)*100</f>
        <v>298.91999999999996</v>
      </c>
      <c r="G112" s="49">
        <f>VLOOKUP($A112,'Data Vlaue (Cr)'!$C:$FB,43)</f>
        <v>1052</v>
      </c>
      <c r="H112" s="49">
        <f>VLOOKUP($A112,'Data Vlaue (Cr)'!$C:$FB,44)</f>
        <v>349</v>
      </c>
      <c r="I112" s="49">
        <f>VLOOKUP($A112,'Data Vlaue (Cr)'!$C:$FB,46)*100</f>
        <v>201.72</v>
      </c>
      <c r="J112" s="51">
        <f>VLOOKUP($A112,'Data Vlaue (Cr)'!$C:$FB,59)</f>
        <v>4075</v>
      </c>
      <c r="K112" s="51">
        <f>VLOOKUP($A112,'Data Vlaue (Cr)'!$C:$FB,60)</f>
        <v>957</v>
      </c>
      <c r="L112" s="51">
        <f>VLOOKUP($A112,'Data Vlaue (Cr)'!$C:$FB,62)*100</f>
        <v>326.01</v>
      </c>
      <c r="M112" s="51">
        <f>VLOOKUP($A112,'Data Vlaue (Cr)'!$C:$FB,63)</f>
        <v>1644</v>
      </c>
      <c r="N112" s="51">
        <f>VLOOKUP($A112,'Data Vlaue (Cr)'!$C:$FB,64)</f>
        <v>384</v>
      </c>
      <c r="O112" s="51">
        <f>VLOOKUP($A112,'Data Vlaue (Cr)'!$C:$FB,66)*100</f>
        <v>328.22</v>
      </c>
    </row>
    <row r="113" spans="1:15" x14ac:dyDescent="0.25">
      <c r="A113" s="101" t="str">
        <f>'Data Vlaue (Cr)'!C108</f>
        <v>KALYANKJIL</v>
      </c>
      <c r="B113" s="50">
        <f>VLOOKUP($A113,'Data Vlaue (Cr)'!$C:$FB,8)</f>
        <v>426.95</v>
      </c>
      <c r="C113" s="50">
        <f>VLOOKUP($A113,'Data Vlaue (Cr)'!$C:$FB,11)*100</f>
        <v>-1.6</v>
      </c>
      <c r="D113" s="50">
        <f>VLOOKUP($A113,'Data Vlaue (Cr)'!$C:$FB,143)</f>
        <v>2719.87</v>
      </c>
      <c r="E113" s="50">
        <f>VLOOKUP($A113,'Data Vlaue (Cr)'!$C:$FB,144)</f>
        <v>6188.04</v>
      </c>
      <c r="F113" s="50">
        <f>VLOOKUP($A113,'Data Vlaue (Cr)'!$C:$FB,146)*100</f>
        <v>-56.05</v>
      </c>
      <c r="G113" s="49">
        <f>VLOOKUP($A113,'Data Vlaue (Cr)'!$C:$FB,43)</f>
        <v>344</v>
      </c>
      <c r="H113" s="49">
        <f>VLOOKUP($A113,'Data Vlaue (Cr)'!$C:$FB,44)</f>
        <v>584</v>
      </c>
      <c r="I113" s="49">
        <f>VLOOKUP($A113,'Data Vlaue (Cr)'!$C:$FB,46)*100</f>
        <v>-41.18</v>
      </c>
      <c r="J113" s="51">
        <f>VLOOKUP($A113,'Data Vlaue (Cr)'!$C:$FB,59)</f>
        <v>1329</v>
      </c>
      <c r="K113" s="51">
        <f>VLOOKUP($A113,'Data Vlaue (Cr)'!$C:$FB,60)</f>
        <v>3380</v>
      </c>
      <c r="L113" s="51">
        <f>VLOOKUP($A113,'Data Vlaue (Cr)'!$C:$FB,62)*100</f>
        <v>-60.660000000000004</v>
      </c>
      <c r="M113" s="51">
        <f>VLOOKUP($A113,'Data Vlaue (Cr)'!$C:$FB,63)</f>
        <v>960</v>
      </c>
      <c r="N113" s="51">
        <f>VLOOKUP($A113,'Data Vlaue (Cr)'!$C:$FB,64)</f>
        <v>1916</v>
      </c>
      <c r="O113" s="51">
        <f>VLOOKUP($A113,'Data Vlaue (Cr)'!$C:$FB,66)*100</f>
        <v>-49.89</v>
      </c>
    </row>
    <row r="114" spans="1:15" x14ac:dyDescent="0.25">
      <c r="A114" s="101" t="str">
        <f>'Data Vlaue (Cr)'!C109</f>
        <v>KAYNES</v>
      </c>
      <c r="B114" s="50">
        <f>VLOOKUP($A114,'Data Vlaue (Cr)'!$C:$FB,8)</f>
        <v>4154.7</v>
      </c>
      <c r="C114" s="50">
        <f>VLOOKUP($A114,'Data Vlaue (Cr)'!$C:$FB,11)*100</f>
        <v>4.9799999999999995</v>
      </c>
      <c r="D114" s="50">
        <f>VLOOKUP($A114,'Data Vlaue (Cr)'!$C:$FB,143)</f>
        <v>9302.5400000000009</v>
      </c>
      <c r="E114" s="50">
        <f>VLOOKUP($A114,'Data Vlaue (Cr)'!$C:$FB,144)</f>
        <v>5820.73</v>
      </c>
      <c r="F114" s="50">
        <f>VLOOKUP($A114,'Data Vlaue (Cr)'!$C:$FB,146)*100</f>
        <v>59.819999999999993</v>
      </c>
      <c r="G114" s="49">
        <f>VLOOKUP($A114,'Data Vlaue (Cr)'!$C:$FB,43)</f>
        <v>811</v>
      </c>
      <c r="H114" s="49">
        <f>VLOOKUP($A114,'Data Vlaue (Cr)'!$C:$FB,44)</f>
        <v>646</v>
      </c>
      <c r="I114" s="49">
        <f>VLOOKUP($A114,'Data Vlaue (Cr)'!$C:$FB,46)*100</f>
        <v>25.650000000000002</v>
      </c>
      <c r="J114" s="51">
        <f>VLOOKUP($A114,'Data Vlaue (Cr)'!$C:$FB,59)</f>
        <v>6102</v>
      </c>
      <c r="K114" s="51">
        <f>VLOOKUP($A114,'Data Vlaue (Cr)'!$C:$FB,60)</f>
        <v>3382</v>
      </c>
      <c r="L114" s="51">
        <f>VLOOKUP($A114,'Data Vlaue (Cr)'!$C:$FB,62)*100</f>
        <v>80.45</v>
      </c>
      <c r="M114" s="51">
        <f>VLOOKUP($A114,'Data Vlaue (Cr)'!$C:$FB,63)</f>
        <v>2174</v>
      </c>
      <c r="N114" s="51">
        <f>VLOOKUP($A114,'Data Vlaue (Cr)'!$C:$FB,64)</f>
        <v>1917</v>
      </c>
      <c r="O114" s="51">
        <f>VLOOKUP($A114,'Data Vlaue (Cr)'!$C:$FB,66)*100</f>
        <v>13.420000000000002</v>
      </c>
    </row>
    <row r="115" spans="1:15" x14ac:dyDescent="0.25">
      <c r="A115" s="101" t="str">
        <f>'Data Vlaue (Cr)'!C110</f>
        <v>KEI</v>
      </c>
      <c r="B115" s="50">
        <f>VLOOKUP($A115,'Data Vlaue (Cr)'!$C:$FB,8)</f>
        <v>4605.8999999999996</v>
      </c>
      <c r="C115" s="50">
        <f>VLOOKUP($A115,'Data Vlaue (Cr)'!$C:$FB,11)*100</f>
        <v>0.33</v>
      </c>
      <c r="D115" s="50">
        <f>VLOOKUP($A115,'Data Vlaue (Cr)'!$C:$FB,143)</f>
        <v>718.81</v>
      </c>
      <c r="E115" s="50">
        <f>VLOOKUP($A115,'Data Vlaue (Cr)'!$C:$FB,144)</f>
        <v>934.35</v>
      </c>
      <c r="F115" s="50">
        <f>VLOOKUP($A115,'Data Vlaue (Cr)'!$C:$FB,146)*100</f>
        <v>-23.07</v>
      </c>
      <c r="G115" s="49">
        <f>VLOOKUP($A115,'Data Vlaue (Cr)'!$C:$FB,43)</f>
        <v>206</v>
      </c>
      <c r="H115" s="49">
        <f>VLOOKUP($A115,'Data Vlaue (Cr)'!$C:$FB,44)</f>
        <v>135</v>
      </c>
      <c r="I115" s="49">
        <f>VLOOKUP($A115,'Data Vlaue (Cr)'!$C:$FB,46)*100</f>
        <v>52.400000000000006</v>
      </c>
      <c r="J115" s="51">
        <f>VLOOKUP($A115,'Data Vlaue (Cr)'!$C:$FB,59)</f>
        <v>358</v>
      </c>
      <c r="K115" s="51">
        <f>VLOOKUP($A115,'Data Vlaue (Cr)'!$C:$FB,60)</f>
        <v>638</v>
      </c>
      <c r="L115" s="51">
        <f>VLOOKUP($A115,'Data Vlaue (Cr)'!$C:$FB,62)*100</f>
        <v>-43.830000000000005</v>
      </c>
      <c r="M115" s="51">
        <f>VLOOKUP($A115,'Data Vlaue (Cr)'!$C:$FB,63)</f>
        <v>146</v>
      </c>
      <c r="N115" s="51">
        <f>VLOOKUP($A115,'Data Vlaue (Cr)'!$C:$FB,64)</f>
        <v>150</v>
      </c>
      <c r="O115" s="51">
        <f>VLOOKUP($A115,'Data Vlaue (Cr)'!$C:$FB,66)*100</f>
        <v>-3.1199999999999997</v>
      </c>
    </row>
    <row r="116" spans="1:15" x14ac:dyDescent="0.25">
      <c r="A116" s="101" t="str">
        <f>'Data Vlaue (Cr)'!C111</f>
        <v>KFINTECH</v>
      </c>
      <c r="B116" s="50">
        <f>VLOOKUP($A116,'Data Vlaue (Cr)'!$C:$FB,8)</f>
        <v>1022.5</v>
      </c>
      <c r="C116" s="50">
        <f>VLOOKUP($A116,'Data Vlaue (Cr)'!$C:$FB,11)*100</f>
        <v>0.01</v>
      </c>
      <c r="D116" s="50">
        <f>VLOOKUP($A116,'Data Vlaue (Cr)'!$C:$FB,143)</f>
        <v>283.04000000000002</v>
      </c>
      <c r="E116" s="50">
        <f>VLOOKUP($A116,'Data Vlaue (Cr)'!$C:$FB,144)</f>
        <v>1681.67</v>
      </c>
      <c r="F116" s="50">
        <f>VLOOKUP($A116,'Data Vlaue (Cr)'!$C:$FB,146)*100</f>
        <v>-83.17</v>
      </c>
      <c r="G116" s="49">
        <f>VLOOKUP($A116,'Data Vlaue (Cr)'!$C:$FB,43)</f>
        <v>105</v>
      </c>
      <c r="H116" s="49">
        <f>VLOOKUP($A116,'Data Vlaue (Cr)'!$C:$FB,44)</f>
        <v>308</v>
      </c>
      <c r="I116" s="49">
        <f>VLOOKUP($A116,'Data Vlaue (Cr)'!$C:$FB,46)*100</f>
        <v>-65.78</v>
      </c>
      <c r="J116" s="51">
        <f>VLOOKUP($A116,'Data Vlaue (Cr)'!$C:$FB,59)</f>
        <v>121</v>
      </c>
      <c r="K116" s="51">
        <f>VLOOKUP($A116,'Data Vlaue (Cr)'!$C:$FB,60)</f>
        <v>978</v>
      </c>
      <c r="L116" s="51">
        <f>VLOOKUP($A116,'Data Vlaue (Cr)'!$C:$FB,62)*100</f>
        <v>-87.62</v>
      </c>
      <c r="M116" s="51">
        <f>VLOOKUP($A116,'Data Vlaue (Cr)'!$C:$FB,63)</f>
        <v>47</v>
      </c>
      <c r="N116" s="51">
        <f>VLOOKUP($A116,'Data Vlaue (Cr)'!$C:$FB,64)</f>
        <v>339</v>
      </c>
      <c r="O116" s="51">
        <f>VLOOKUP($A116,'Data Vlaue (Cr)'!$C:$FB,66)*100</f>
        <v>-86.26</v>
      </c>
    </row>
    <row r="117" spans="1:15" x14ac:dyDescent="0.25">
      <c r="A117" s="101" t="str">
        <f>'Data Vlaue (Cr)'!C112</f>
        <v>KOTAKBANK</v>
      </c>
      <c r="B117" s="50">
        <f>VLOOKUP($A117,'Data Vlaue (Cr)'!$C:$FB,8)</f>
        <v>429.55</v>
      </c>
      <c r="C117" s="50">
        <f>VLOOKUP($A117,'Data Vlaue (Cr)'!$C:$FB,11)*100</f>
        <v>0.06</v>
      </c>
      <c r="D117" s="50">
        <f>VLOOKUP($A117,'Data Vlaue (Cr)'!$C:$FB,143)</f>
        <v>2277.21</v>
      </c>
      <c r="E117" s="50">
        <f>VLOOKUP($A117,'Data Vlaue (Cr)'!$C:$FB,144)</f>
        <v>3388.36</v>
      </c>
      <c r="F117" s="50">
        <f>VLOOKUP($A117,'Data Vlaue (Cr)'!$C:$FB,146)*100</f>
        <v>-32.79</v>
      </c>
      <c r="G117" s="49">
        <f>VLOOKUP($A117,'Data Vlaue (Cr)'!$C:$FB,43)</f>
        <v>522</v>
      </c>
      <c r="H117" s="49">
        <f>VLOOKUP($A117,'Data Vlaue (Cr)'!$C:$FB,44)</f>
        <v>577</v>
      </c>
      <c r="I117" s="49">
        <f>VLOOKUP($A117,'Data Vlaue (Cr)'!$C:$FB,46)*100</f>
        <v>-9.6</v>
      </c>
      <c r="J117" s="51">
        <f>VLOOKUP($A117,'Data Vlaue (Cr)'!$C:$FB,59)</f>
        <v>1000</v>
      </c>
      <c r="K117" s="51">
        <f>VLOOKUP($A117,'Data Vlaue (Cr)'!$C:$FB,60)</f>
        <v>1621</v>
      </c>
      <c r="L117" s="51">
        <f>VLOOKUP($A117,'Data Vlaue (Cr)'!$C:$FB,62)*100</f>
        <v>-38.31</v>
      </c>
      <c r="M117" s="51">
        <f>VLOOKUP($A117,'Data Vlaue (Cr)'!$C:$FB,63)</f>
        <v>741</v>
      </c>
      <c r="N117" s="51">
        <f>VLOOKUP($A117,'Data Vlaue (Cr)'!$C:$FB,64)</f>
        <v>1156</v>
      </c>
      <c r="O117" s="51">
        <f>VLOOKUP($A117,'Data Vlaue (Cr)'!$C:$FB,66)*100</f>
        <v>-35.86</v>
      </c>
    </row>
    <row r="118" spans="1:15" x14ac:dyDescent="0.25">
      <c r="A118" s="101" t="str">
        <f>'Data Vlaue (Cr)'!C113</f>
        <v>KPITTECH</v>
      </c>
      <c r="B118" s="50">
        <f>VLOOKUP($A118,'Data Vlaue (Cr)'!$C:$FB,8)</f>
        <v>959.4</v>
      </c>
      <c r="C118" s="50">
        <f>VLOOKUP($A118,'Data Vlaue (Cr)'!$C:$FB,11)*100</f>
        <v>-1.46</v>
      </c>
      <c r="D118" s="50">
        <f>VLOOKUP($A118,'Data Vlaue (Cr)'!$C:$FB,143)</f>
        <v>395.57</v>
      </c>
      <c r="E118" s="50">
        <f>VLOOKUP($A118,'Data Vlaue (Cr)'!$C:$FB,144)</f>
        <v>924.91</v>
      </c>
      <c r="F118" s="50">
        <f>VLOOKUP($A118,'Data Vlaue (Cr)'!$C:$FB,146)*100</f>
        <v>-57.230000000000004</v>
      </c>
      <c r="G118" s="49">
        <f>VLOOKUP($A118,'Data Vlaue (Cr)'!$C:$FB,43)</f>
        <v>78</v>
      </c>
      <c r="H118" s="49">
        <f>VLOOKUP($A118,'Data Vlaue (Cr)'!$C:$FB,44)</f>
        <v>109</v>
      </c>
      <c r="I118" s="49">
        <f>VLOOKUP($A118,'Data Vlaue (Cr)'!$C:$FB,46)*100</f>
        <v>-28.689999999999998</v>
      </c>
      <c r="J118" s="51">
        <f>VLOOKUP($A118,'Data Vlaue (Cr)'!$C:$FB,59)</f>
        <v>234</v>
      </c>
      <c r="K118" s="51">
        <f>VLOOKUP($A118,'Data Vlaue (Cr)'!$C:$FB,60)</f>
        <v>643</v>
      </c>
      <c r="L118" s="51">
        <f>VLOOKUP($A118,'Data Vlaue (Cr)'!$C:$FB,62)*100</f>
        <v>-63.629999999999995</v>
      </c>
      <c r="M118" s="51">
        <f>VLOOKUP($A118,'Data Vlaue (Cr)'!$C:$FB,63)</f>
        <v>62</v>
      </c>
      <c r="N118" s="51">
        <f>VLOOKUP($A118,'Data Vlaue (Cr)'!$C:$FB,64)</f>
        <v>111</v>
      </c>
      <c r="O118" s="51">
        <f>VLOOKUP($A118,'Data Vlaue (Cr)'!$C:$FB,66)*100</f>
        <v>-44.17</v>
      </c>
    </row>
    <row r="119" spans="1:15" x14ac:dyDescent="0.25">
      <c r="A119" s="101" t="str">
        <f>'Data Vlaue (Cr)'!C114</f>
        <v>LAURUSLABS</v>
      </c>
      <c r="B119" s="50">
        <f>VLOOKUP($A119,'Data Vlaue (Cr)'!$C:$FB,8)</f>
        <v>1013.65</v>
      </c>
      <c r="C119" s="50">
        <f>VLOOKUP($A119,'Data Vlaue (Cr)'!$C:$FB,11)*100</f>
        <v>4.8899999999999997</v>
      </c>
      <c r="D119" s="50">
        <f>VLOOKUP($A119,'Data Vlaue (Cr)'!$C:$FB,143)</f>
        <v>4319.93</v>
      </c>
      <c r="E119" s="50">
        <f>VLOOKUP($A119,'Data Vlaue (Cr)'!$C:$FB,144)</f>
        <v>1052.42</v>
      </c>
      <c r="F119" s="50">
        <f>VLOOKUP($A119,'Data Vlaue (Cr)'!$C:$FB,146)*100</f>
        <v>310.48</v>
      </c>
      <c r="G119" s="49">
        <f>VLOOKUP($A119,'Data Vlaue (Cr)'!$C:$FB,43)</f>
        <v>545</v>
      </c>
      <c r="H119" s="49">
        <f>VLOOKUP($A119,'Data Vlaue (Cr)'!$C:$FB,44)</f>
        <v>201</v>
      </c>
      <c r="I119" s="49">
        <f>VLOOKUP($A119,'Data Vlaue (Cr)'!$C:$FB,46)*100</f>
        <v>170.44</v>
      </c>
      <c r="J119" s="51">
        <f>VLOOKUP($A119,'Data Vlaue (Cr)'!$C:$FB,59)</f>
        <v>2881</v>
      </c>
      <c r="K119" s="51">
        <f>VLOOKUP($A119,'Data Vlaue (Cr)'!$C:$FB,60)</f>
        <v>559</v>
      </c>
      <c r="L119" s="51">
        <f>VLOOKUP($A119,'Data Vlaue (Cr)'!$C:$FB,62)*100</f>
        <v>415.86</v>
      </c>
      <c r="M119" s="51">
        <f>VLOOKUP($A119,'Data Vlaue (Cr)'!$C:$FB,63)</f>
        <v>825</v>
      </c>
      <c r="N119" s="51">
        <f>VLOOKUP($A119,'Data Vlaue (Cr)'!$C:$FB,64)</f>
        <v>299</v>
      </c>
      <c r="O119" s="51">
        <f>VLOOKUP($A119,'Data Vlaue (Cr)'!$C:$FB,66)*100</f>
        <v>175.92000000000002</v>
      </c>
    </row>
    <row r="120" spans="1:15" x14ac:dyDescent="0.25">
      <c r="A120" s="101" t="str">
        <f>'Data Vlaue (Cr)'!C115</f>
        <v>LICHSGFIN</v>
      </c>
      <c r="B120" s="50">
        <f>VLOOKUP($A120,'Data Vlaue (Cr)'!$C:$FB,8)</f>
        <v>525.54999999999995</v>
      </c>
      <c r="C120" s="50">
        <f>VLOOKUP($A120,'Data Vlaue (Cr)'!$C:$FB,11)*100</f>
        <v>0.57000000000000006</v>
      </c>
      <c r="D120" s="50">
        <f>VLOOKUP($A120,'Data Vlaue (Cr)'!$C:$FB,143)</f>
        <v>657.96</v>
      </c>
      <c r="E120" s="50">
        <f>VLOOKUP($A120,'Data Vlaue (Cr)'!$C:$FB,144)</f>
        <v>389.79</v>
      </c>
      <c r="F120" s="50">
        <f>VLOOKUP($A120,'Data Vlaue (Cr)'!$C:$FB,146)*100</f>
        <v>68.8</v>
      </c>
      <c r="G120" s="49">
        <f>VLOOKUP($A120,'Data Vlaue (Cr)'!$C:$FB,43)</f>
        <v>175</v>
      </c>
      <c r="H120" s="49">
        <f>VLOOKUP($A120,'Data Vlaue (Cr)'!$C:$FB,44)</f>
        <v>121</v>
      </c>
      <c r="I120" s="49">
        <f>VLOOKUP($A120,'Data Vlaue (Cr)'!$C:$FB,46)*100</f>
        <v>45.269999999999996</v>
      </c>
      <c r="J120" s="51">
        <f>VLOOKUP($A120,'Data Vlaue (Cr)'!$C:$FB,59)</f>
        <v>345</v>
      </c>
      <c r="K120" s="51">
        <f>VLOOKUP($A120,'Data Vlaue (Cr)'!$C:$FB,60)</f>
        <v>195</v>
      </c>
      <c r="L120" s="51">
        <f>VLOOKUP($A120,'Data Vlaue (Cr)'!$C:$FB,62)*100</f>
        <v>77.259999999999991</v>
      </c>
      <c r="M120" s="51">
        <f>VLOOKUP($A120,'Data Vlaue (Cr)'!$C:$FB,63)</f>
        <v>133</v>
      </c>
      <c r="N120" s="51">
        <f>VLOOKUP($A120,'Data Vlaue (Cr)'!$C:$FB,64)</f>
        <v>69</v>
      </c>
      <c r="O120" s="51">
        <f>VLOOKUP($A120,'Data Vlaue (Cr)'!$C:$FB,66)*100</f>
        <v>92.179999999999993</v>
      </c>
    </row>
    <row r="121" spans="1:15" x14ac:dyDescent="0.25">
      <c r="A121" s="101" t="str">
        <f>'Data Vlaue (Cr)'!C116</f>
        <v>LICI</v>
      </c>
      <c r="B121" s="50">
        <f>VLOOKUP($A121,'Data Vlaue (Cr)'!$C:$FB,8)</f>
        <v>875.3</v>
      </c>
      <c r="C121" s="50">
        <f>VLOOKUP($A121,'Data Vlaue (Cr)'!$C:$FB,11)*100</f>
        <v>-1.8399999999999999</v>
      </c>
      <c r="D121" s="50">
        <f>VLOOKUP($A121,'Data Vlaue (Cr)'!$C:$FB,143)</f>
        <v>2810.54</v>
      </c>
      <c r="E121" s="50">
        <f>VLOOKUP($A121,'Data Vlaue (Cr)'!$C:$FB,144)</f>
        <v>1511.29</v>
      </c>
      <c r="F121" s="50">
        <f>VLOOKUP($A121,'Data Vlaue (Cr)'!$C:$FB,146)*100</f>
        <v>85.97</v>
      </c>
      <c r="G121" s="49">
        <f>VLOOKUP($A121,'Data Vlaue (Cr)'!$C:$FB,43)</f>
        <v>347</v>
      </c>
      <c r="H121" s="49">
        <f>VLOOKUP($A121,'Data Vlaue (Cr)'!$C:$FB,44)</f>
        <v>186</v>
      </c>
      <c r="I121" s="49">
        <f>VLOOKUP($A121,'Data Vlaue (Cr)'!$C:$FB,46)*100</f>
        <v>86.49</v>
      </c>
      <c r="J121" s="51">
        <f>VLOOKUP($A121,'Data Vlaue (Cr)'!$C:$FB,59)</f>
        <v>1485</v>
      </c>
      <c r="K121" s="51">
        <f>VLOOKUP($A121,'Data Vlaue (Cr)'!$C:$FB,60)</f>
        <v>816</v>
      </c>
      <c r="L121" s="51">
        <f>VLOOKUP($A121,'Data Vlaue (Cr)'!$C:$FB,62)*100</f>
        <v>82.04</v>
      </c>
      <c r="M121" s="51">
        <f>VLOOKUP($A121,'Data Vlaue (Cr)'!$C:$FB,63)</f>
        <v>906</v>
      </c>
      <c r="N121" s="51">
        <f>VLOOKUP($A121,'Data Vlaue (Cr)'!$C:$FB,64)</f>
        <v>451</v>
      </c>
      <c r="O121" s="51">
        <f>VLOOKUP($A121,'Data Vlaue (Cr)'!$C:$FB,66)*100</f>
        <v>100.86999999999999</v>
      </c>
    </row>
    <row r="122" spans="1:15" x14ac:dyDescent="0.25">
      <c r="A122" s="101" t="str">
        <f>'Data Vlaue (Cr)'!C117</f>
        <v>LODHA</v>
      </c>
      <c r="B122" s="50">
        <f>VLOOKUP($A122,'Data Vlaue (Cr)'!$C:$FB,8)</f>
        <v>1094.9000000000001</v>
      </c>
      <c r="C122" s="50">
        <f>VLOOKUP($A122,'Data Vlaue (Cr)'!$C:$FB,11)*100</f>
        <v>-0.01</v>
      </c>
      <c r="D122" s="50">
        <f>VLOOKUP($A122,'Data Vlaue (Cr)'!$C:$FB,143)</f>
        <v>431.52</v>
      </c>
      <c r="E122" s="50">
        <f>VLOOKUP($A122,'Data Vlaue (Cr)'!$C:$FB,144)</f>
        <v>871.11</v>
      </c>
      <c r="F122" s="50">
        <f>VLOOKUP($A122,'Data Vlaue (Cr)'!$C:$FB,146)*100</f>
        <v>-50.460000000000008</v>
      </c>
      <c r="G122" s="49">
        <f>VLOOKUP($A122,'Data Vlaue (Cr)'!$C:$FB,43)</f>
        <v>107</v>
      </c>
      <c r="H122" s="49">
        <f>VLOOKUP($A122,'Data Vlaue (Cr)'!$C:$FB,44)</f>
        <v>171</v>
      </c>
      <c r="I122" s="49">
        <f>VLOOKUP($A122,'Data Vlaue (Cr)'!$C:$FB,46)*100</f>
        <v>-37.409999999999997</v>
      </c>
      <c r="J122" s="51">
        <f>VLOOKUP($A122,'Data Vlaue (Cr)'!$C:$FB,59)</f>
        <v>184</v>
      </c>
      <c r="K122" s="51">
        <f>VLOOKUP($A122,'Data Vlaue (Cr)'!$C:$FB,60)</f>
        <v>441</v>
      </c>
      <c r="L122" s="51">
        <f>VLOOKUP($A122,'Data Vlaue (Cr)'!$C:$FB,62)*100</f>
        <v>-58.269999999999996</v>
      </c>
      <c r="M122" s="51">
        <f>VLOOKUP($A122,'Data Vlaue (Cr)'!$C:$FB,63)</f>
        <v>143</v>
      </c>
      <c r="N122" s="51">
        <f>VLOOKUP($A122,'Data Vlaue (Cr)'!$C:$FB,64)</f>
        <v>255</v>
      </c>
      <c r="O122" s="51">
        <f>VLOOKUP($A122,'Data Vlaue (Cr)'!$C:$FB,66)*100</f>
        <v>-44.04</v>
      </c>
    </row>
    <row r="123" spans="1:15" x14ac:dyDescent="0.25">
      <c r="A123" s="101" t="str">
        <f>'Data Vlaue (Cr)'!C118</f>
        <v>LT</v>
      </c>
      <c r="B123" s="50">
        <f>VLOOKUP($A123,'Data Vlaue (Cr)'!$C:$FB,8)</f>
        <v>4170.3999999999996</v>
      </c>
      <c r="C123" s="50">
        <f>VLOOKUP($A123,'Data Vlaue (Cr)'!$C:$FB,11)*100</f>
        <v>0.03</v>
      </c>
      <c r="D123" s="50">
        <f>VLOOKUP($A123,'Data Vlaue (Cr)'!$C:$FB,143)</f>
        <v>6384.89</v>
      </c>
      <c r="E123" s="50">
        <f>VLOOKUP($A123,'Data Vlaue (Cr)'!$C:$FB,144)</f>
        <v>6665.05</v>
      </c>
      <c r="F123" s="50">
        <f>VLOOKUP($A123,'Data Vlaue (Cr)'!$C:$FB,146)*100</f>
        <v>-4.2</v>
      </c>
      <c r="G123" s="49">
        <f>VLOOKUP($A123,'Data Vlaue (Cr)'!$C:$FB,43)</f>
        <v>555</v>
      </c>
      <c r="H123" s="49">
        <f>VLOOKUP($A123,'Data Vlaue (Cr)'!$C:$FB,44)</f>
        <v>625</v>
      </c>
      <c r="I123" s="49">
        <f>VLOOKUP($A123,'Data Vlaue (Cr)'!$C:$FB,46)*100</f>
        <v>-11.33</v>
      </c>
      <c r="J123" s="51">
        <f>VLOOKUP($A123,'Data Vlaue (Cr)'!$C:$FB,59)</f>
        <v>2548</v>
      </c>
      <c r="K123" s="51">
        <f>VLOOKUP($A123,'Data Vlaue (Cr)'!$C:$FB,60)</f>
        <v>3640</v>
      </c>
      <c r="L123" s="51">
        <f>VLOOKUP($A123,'Data Vlaue (Cr)'!$C:$FB,62)*100</f>
        <v>-30</v>
      </c>
      <c r="M123" s="51">
        <f>VLOOKUP($A123,'Data Vlaue (Cr)'!$C:$FB,63)</f>
        <v>3295</v>
      </c>
      <c r="N123" s="51">
        <f>VLOOKUP($A123,'Data Vlaue (Cr)'!$C:$FB,64)</f>
        <v>2409</v>
      </c>
      <c r="O123" s="51">
        <f>VLOOKUP($A123,'Data Vlaue (Cr)'!$C:$FB,66)*100</f>
        <v>36.770000000000003</v>
      </c>
    </row>
    <row r="124" spans="1:15" x14ac:dyDescent="0.25">
      <c r="A124" s="101" t="str">
        <f>'Data Vlaue (Cr)'!C119</f>
        <v>LTF</v>
      </c>
      <c r="B124" s="50">
        <f>VLOOKUP($A124,'Data Vlaue (Cr)'!$C:$FB,8)</f>
        <v>288.3</v>
      </c>
      <c r="C124" s="50">
        <f>VLOOKUP($A124,'Data Vlaue (Cr)'!$C:$FB,11)*100</f>
        <v>-1.94</v>
      </c>
      <c r="D124" s="50">
        <f>VLOOKUP($A124,'Data Vlaue (Cr)'!$C:$FB,143)</f>
        <v>2282.38</v>
      </c>
      <c r="E124" s="50">
        <f>VLOOKUP($A124,'Data Vlaue (Cr)'!$C:$FB,144)</f>
        <v>1551.74</v>
      </c>
      <c r="F124" s="50">
        <f>VLOOKUP($A124,'Data Vlaue (Cr)'!$C:$FB,146)*100</f>
        <v>47.08</v>
      </c>
      <c r="G124" s="49">
        <f>VLOOKUP($A124,'Data Vlaue (Cr)'!$C:$FB,43)</f>
        <v>483</v>
      </c>
      <c r="H124" s="49">
        <f>VLOOKUP($A124,'Data Vlaue (Cr)'!$C:$FB,44)</f>
        <v>314</v>
      </c>
      <c r="I124" s="49">
        <f>VLOOKUP($A124,'Data Vlaue (Cr)'!$C:$FB,46)*100</f>
        <v>53.92</v>
      </c>
      <c r="J124" s="51">
        <f>VLOOKUP($A124,'Data Vlaue (Cr)'!$C:$FB,59)</f>
        <v>1198</v>
      </c>
      <c r="K124" s="51">
        <f>VLOOKUP($A124,'Data Vlaue (Cr)'!$C:$FB,60)</f>
        <v>811</v>
      </c>
      <c r="L124" s="51">
        <f>VLOOKUP($A124,'Data Vlaue (Cr)'!$C:$FB,62)*100</f>
        <v>47.79</v>
      </c>
      <c r="M124" s="51">
        <f>VLOOKUP($A124,'Data Vlaue (Cr)'!$C:$FB,63)</f>
        <v>516</v>
      </c>
      <c r="N124" s="51">
        <f>VLOOKUP($A124,'Data Vlaue (Cr)'!$C:$FB,64)</f>
        <v>342</v>
      </c>
      <c r="O124" s="51">
        <f>VLOOKUP($A124,'Data Vlaue (Cr)'!$C:$FB,66)*100</f>
        <v>50.99</v>
      </c>
    </row>
    <row r="125" spans="1:15" x14ac:dyDescent="0.25">
      <c r="A125" s="101" t="str">
        <f>'Data Vlaue (Cr)'!C120</f>
        <v>LTIM</v>
      </c>
      <c r="B125" s="50">
        <f>VLOOKUP($A125,'Data Vlaue (Cr)'!$C:$FB,8)</f>
        <v>5515.5</v>
      </c>
      <c r="C125" s="50">
        <f>VLOOKUP($A125,'Data Vlaue (Cr)'!$C:$FB,11)*100</f>
        <v>-2.59</v>
      </c>
      <c r="D125" s="50">
        <f>VLOOKUP($A125,'Data Vlaue (Cr)'!$C:$FB,143)</f>
        <v>1867.11</v>
      </c>
      <c r="E125" s="50">
        <f>VLOOKUP($A125,'Data Vlaue (Cr)'!$C:$FB,144)</f>
        <v>1468.35</v>
      </c>
      <c r="F125" s="50">
        <f>VLOOKUP($A125,'Data Vlaue (Cr)'!$C:$FB,146)*100</f>
        <v>27.16</v>
      </c>
      <c r="G125" s="49">
        <f>VLOOKUP($A125,'Data Vlaue (Cr)'!$C:$FB,43)</f>
        <v>368</v>
      </c>
      <c r="H125" s="49">
        <f>VLOOKUP($A125,'Data Vlaue (Cr)'!$C:$FB,44)</f>
        <v>261</v>
      </c>
      <c r="I125" s="49">
        <f>VLOOKUP($A125,'Data Vlaue (Cr)'!$C:$FB,46)*100</f>
        <v>40.96</v>
      </c>
      <c r="J125" s="51">
        <f>VLOOKUP($A125,'Data Vlaue (Cr)'!$C:$FB,59)</f>
        <v>872</v>
      </c>
      <c r="K125" s="51">
        <f>VLOOKUP($A125,'Data Vlaue (Cr)'!$C:$FB,60)</f>
        <v>732</v>
      </c>
      <c r="L125" s="51">
        <f>VLOOKUP($A125,'Data Vlaue (Cr)'!$C:$FB,62)*100</f>
        <v>19.239999999999998</v>
      </c>
      <c r="M125" s="51">
        <f>VLOOKUP($A125,'Data Vlaue (Cr)'!$C:$FB,63)</f>
        <v>573</v>
      </c>
      <c r="N125" s="51">
        <f>VLOOKUP($A125,'Data Vlaue (Cr)'!$C:$FB,64)</f>
        <v>422</v>
      </c>
      <c r="O125" s="51">
        <f>VLOOKUP($A125,'Data Vlaue (Cr)'!$C:$FB,66)*100</f>
        <v>35.839999999999996</v>
      </c>
    </row>
    <row r="126" spans="1:15" x14ac:dyDescent="0.25">
      <c r="A126" s="101" t="str">
        <f>'Data Vlaue (Cr)'!C121</f>
        <v>LUPIN</v>
      </c>
      <c r="B126" s="50">
        <f>VLOOKUP($A126,'Data Vlaue (Cr)'!$C:$FB,8)</f>
        <v>2209.1</v>
      </c>
      <c r="C126" s="50">
        <f>VLOOKUP($A126,'Data Vlaue (Cr)'!$C:$FB,11)*100</f>
        <v>0.22999999999999998</v>
      </c>
      <c r="D126" s="50">
        <f>VLOOKUP($A126,'Data Vlaue (Cr)'!$C:$FB,143)</f>
        <v>2616.84</v>
      </c>
      <c r="E126" s="50">
        <f>VLOOKUP($A126,'Data Vlaue (Cr)'!$C:$FB,144)</f>
        <v>2708.85</v>
      </c>
      <c r="F126" s="50">
        <f>VLOOKUP($A126,'Data Vlaue (Cr)'!$C:$FB,146)*100</f>
        <v>-3.4000000000000004</v>
      </c>
      <c r="G126" s="49">
        <f>VLOOKUP($A126,'Data Vlaue (Cr)'!$C:$FB,43)</f>
        <v>441</v>
      </c>
      <c r="H126" s="49">
        <f>VLOOKUP($A126,'Data Vlaue (Cr)'!$C:$FB,44)</f>
        <v>591</v>
      </c>
      <c r="I126" s="49">
        <f>VLOOKUP($A126,'Data Vlaue (Cr)'!$C:$FB,46)*100</f>
        <v>-25.44</v>
      </c>
      <c r="J126" s="51">
        <f>VLOOKUP($A126,'Data Vlaue (Cr)'!$C:$FB,59)</f>
        <v>1581</v>
      </c>
      <c r="K126" s="51">
        <f>VLOOKUP($A126,'Data Vlaue (Cr)'!$C:$FB,60)</f>
        <v>1474</v>
      </c>
      <c r="L126" s="51">
        <f>VLOOKUP($A126,'Data Vlaue (Cr)'!$C:$FB,62)*100</f>
        <v>7.23</v>
      </c>
      <c r="M126" s="51">
        <f>VLOOKUP($A126,'Data Vlaue (Cr)'!$C:$FB,63)</f>
        <v>518</v>
      </c>
      <c r="N126" s="51">
        <f>VLOOKUP($A126,'Data Vlaue (Cr)'!$C:$FB,64)</f>
        <v>574</v>
      </c>
      <c r="O126" s="51">
        <f>VLOOKUP($A126,'Data Vlaue (Cr)'!$C:$FB,66)*100</f>
        <v>-9.7799999999999994</v>
      </c>
    </row>
    <row r="127" spans="1:15" x14ac:dyDescent="0.25">
      <c r="A127" s="101" t="str">
        <f>'Data Vlaue (Cr)'!C122</f>
        <v>M&amp;M</v>
      </c>
      <c r="B127" s="50">
        <f>VLOOKUP($A127,'Data Vlaue (Cr)'!$C:$FB,8)</f>
        <v>3674.9</v>
      </c>
      <c r="C127" s="50">
        <f>VLOOKUP($A127,'Data Vlaue (Cr)'!$C:$FB,11)*100</f>
        <v>-0.02</v>
      </c>
      <c r="D127" s="50">
        <f>VLOOKUP($A127,'Data Vlaue (Cr)'!$C:$FB,143)</f>
        <v>38822.79</v>
      </c>
      <c r="E127" s="50">
        <f>VLOOKUP($A127,'Data Vlaue (Cr)'!$C:$FB,144)</f>
        <v>7939.75</v>
      </c>
      <c r="F127" s="50">
        <f>VLOOKUP($A127,'Data Vlaue (Cr)'!$C:$FB,146)*100</f>
        <v>388.96999999999997</v>
      </c>
      <c r="G127" s="49">
        <f>VLOOKUP($A127,'Data Vlaue (Cr)'!$C:$FB,43)</f>
        <v>2515</v>
      </c>
      <c r="H127" s="49">
        <f>VLOOKUP($A127,'Data Vlaue (Cr)'!$C:$FB,44)</f>
        <v>741</v>
      </c>
      <c r="I127" s="49">
        <f>VLOOKUP($A127,'Data Vlaue (Cr)'!$C:$FB,46)*100</f>
        <v>239.54</v>
      </c>
      <c r="J127" s="51">
        <f>VLOOKUP($A127,'Data Vlaue (Cr)'!$C:$FB,59)</f>
        <v>24776</v>
      </c>
      <c r="K127" s="51">
        <f>VLOOKUP($A127,'Data Vlaue (Cr)'!$C:$FB,60)</f>
        <v>5229</v>
      </c>
      <c r="L127" s="51">
        <f>VLOOKUP($A127,'Data Vlaue (Cr)'!$C:$FB,62)*100</f>
        <v>373.78</v>
      </c>
      <c r="M127" s="51">
        <f>VLOOKUP($A127,'Data Vlaue (Cr)'!$C:$FB,63)</f>
        <v>10028</v>
      </c>
      <c r="N127" s="51">
        <f>VLOOKUP($A127,'Data Vlaue (Cr)'!$C:$FB,64)</f>
        <v>1830</v>
      </c>
      <c r="O127" s="51">
        <f>VLOOKUP($A127,'Data Vlaue (Cr)'!$C:$FB,66)*100</f>
        <v>448.10999999999996</v>
      </c>
    </row>
    <row r="128" spans="1:15" x14ac:dyDescent="0.25">
      <c r="A128" s="101" t="str">
        <f>'Data Vlaue (Cr)'!C123</f>
        <v>MANAPPURAM</v>
      </c>
      <c r="B128" s="50">
        <f>VLOOKUP($A128,'Data Vlaue (Cr)'!$C:$FB,8)</f>
        <v>302.55</v>
      </c>
      <c r="C128" s="50">
        <f>VLOOKUP($A128,'Data Vlaue (Cr)'!$C:$FB,11)*100</f>
        <v>-2.0699999999999998</v>
      </c>
      <c r="D128" s="50">
        <f>VLOOKUP($A128,'Data Vlaue (Cr)'!$C:$FB,143)</f>
        <v>2669.5</v>
      </c>
      <c r="E128" s="50">
        <f>VLOOKUP($A128,'Data Vlaue (Cr)'!$C:$FB,144)</f>
        <v>2087.86</v>
      </c>
      <c r="F128" s="50">
        <f>VLOOKUP($A128,'Data Vlaue (Cr)'!$C:$FB,146)*100</f>
        <v>27.860000000000003</v>
      </c>
      <c r="G128" s="49">
        <f>VLOOKUP($A128,'Data Vlaue (Cr)'!$C:$FB,43)</f>
        <v>680</v>
      </c>
      <c r="H128" s="49">
        <f>VLOOKUP($A128,'Data Vlaue (Cr)'!$C:$FB,44)</f>
        <v>515</v>
      </c>
      <c r="I128" s="49">
        <f>VLOOKUP($A128,'Data Vlaue (Cr)'!$C:$FB,46)*100</f>
        <v>32.090000000000003</v>
      </c>
      <c r="J128" s="51">
        <f>VLOOKUP($A128,'Data Vlaue (Cr)'!$C:$FB,59)</f>
        <v>1071</v>
      </c>
      <c r="K128" s="51">
        <f>VLOOKUP($A128,'Data Vlaue (Cr)'!$C:$FB,60)</f>
        <v>981</v>
      </c>
      <c r="L128" s="51">
        <f>VLOOKUP($A128,'Data Vlaue (Cr)'!$C:$FB,62)*100</f>
        <v>9.1999999999999993</v>
      </c>
      <c r="M128" s="51">
        <f>VLOOKUP($A128,'Data Vlaue (Cr)'!$C:$FB,63)</f>
        <v>832</v>
      </c>
      <c r="N128" s="51">
        <f>VLOOKUP($A128,'Data Vlaue (Cr)'!$C:$FB,64)</f>
        <v>521</v>
      </c>
      <c r="O128" s="51">
        <f>VLOOKUP($A128,'Data Vlaue (Cr)'!$C:$FB,66)*100</f>
        <v>59.599999999999994</v>
      </c>
    </row>
    <row r="129" spans="1:15" x14ac:dyDescent="0.25">
      <c r="A129" s="101" t="str">
        <f>'Data Vlaue (Cr)'!C124</f>
        <v>MANKIND</v>
      </c>
      <c r="B129" s="50">
        <f>VLOOKUP($A129,'Data Vlaue (Cr)'!$C:$FB,8)</f>
        <v>2087</v>
      </c>
      <c r="C129" s="50">
        <f>VLOOKUP($A129,'Data Vlaue (Cr)'!$C:$FB,11)*100</f>
        <v>0.67</v>
      </c>
      <c r="D129" s="50">
        <f>VLOOKUP($A129,'Data Vlaue (Cr)'!$C:$FB,143)</f>
        <v>293.57</v>
      </c>
      <c r="E129" s="50">
        <f>VLOOKUP($A129,'Data Vlaue (Cr)'!$C:$FB,144)</f>
        <v>248.62</v>
      </c>
      <c r="F129" s="50">
        <f>VLOOKUP($A129,'Data Vlaue (Cr)'!$C:$FB,146)*100</f>
        <v>18.079999999999998</v>
      </c>
      <c r="G129" s="49">
        <f>VLOOKUP($A129,'Data Vlaue (Cr)'!$C:$FB,43)</f>
        <v>55</v>
      </c>
      <c r="H129" s="49">
        <f>VLOOKUP($A129,'Data Vlaue (Cr)'!$C:$FB,44)</f>
        <v>68</v>
      </c>
      <c r="I129" s="49">
        <f>VLOOKUP($A129,'Data Vlaue (Cr)'!$C:$FB,46)*100</f>
        <v>-18.670000000000002</v>
      </c>
      <c r="J129" s="51">
        <f>VLOOKUP($A129,'Data Vlaue (Cr)'!$C:$FB,59)</f>
        <v>192</v>
      </c>
      <c r="K129" s="51">
        <f>VLOOKUP($A129,'Data Vlaue (Cr)'!$C:$FB,60)</f>
        <v>139</v>
      </c>
      <c r="L129" s="51">
        <f>VLOOKUP($A129,'Data Vlaue (Cr)'!$C:$FB,62)*100</f>
        <v>37.549999999999997</v>
      </c>
      <c r="M129" s="51">
        <f>VLOOKUP($A129,'Data Vlaue (Cr)'!$C:$FB,63)</f>
        <v>37</v>
      </c>
      <c r="N129" s="51">
        <f>VLOOKUP($A129,'Data Vlaue (Cr)'!$C:$FB,64)</f>
        <v>34</v>
      </c>
      <c r="O129" s="51">
        <f>VLOOKUP($A129,'Data Vlaue (Cr)'!$C:$FB,66)*100</f>
        <v>10.220000000000001</v>
      </c>
    </row>
    <row r="130" spans="1:15" x14ac:dyDescent="0.25">
      <c r="A130" s="101" t="str">
        <f>'Data Vlaue (Cr)'!C125</f>
        <v>MARICO</v>
      </c>
      <c r="B130" s="50">
        <f>VLOOKUP($A130,'Data Vlaue (Cr)'!$C:$FB,8)</f>
        <v>770.4</v>
      </c>
      <c r="C130" s="50">
        <f>VLOOKUP($A130,'Data Vlaue (Cr)'!$C:$FB,11)*100</f>
        <v>0.73</v>
      </c>
      <c r="D130" s="50">
        <f>VLOOKUP($A130,'Data Vlaue (Cr)'!$C:$FB,143)</f>
        <v>1299.8900000000001</v>
      </c>
      <c r="E130" s="50">
        <f>VLOOKUP($A130,'Data Vlaue (Cr)'!$C:$FB,144)</f>
        <v>1085.74</v>
      </c>
      <c r="F130" s="50">
        <f>VLOOKUP($A130,'Data Vlaue (Cr)'!$C:$FB,146)*100</f>
        <v>19.72</v>
      </c>
      <c r="G130" s="49">
        <f>VLOOKUP($A130,'Data Vlaue (Cr)'!$C:$FB,43)</f>
        <v>129</v>
      </c>
      <c r="H130" s="49">
        <f>VLOOKUP($A130,'Data Vlaue (Cr)'!$C:$FB,44)</f>
        <v>144</v>
      </c>
      <c r="I130" s="49">
        <f>VLOOKUP($A130,'Data Vlaue (Cr)'!$C:$FB,46)*100</f>
        <v>-10.440000000000001</v>
      </c>
      <c r="J130" s="51">
        <f>VLOOKUP($A130,'Data Vlaue (Cr)'!$C:$FB,59)</f>
        <v>812</v>
      </c>
      <c r="K130" s="51">
        <f>VLOOKUP($A130,'Data Vlaue (Cr)'!$C:$FB,60)</f>
        <v>658</v>
      </c>
      <c r="L130" s="51">
        <f>VLOOKUP($A130,'Data Vlaue (Cr)'!$C:$FB,62)*100</f>
        <v>23.28</v>
      </c>
      <c r="M130" s="51">
        <f>VLOOKUP($A130,'Data Vlaue (Cr)'!$C:$FB,63)</f>
        <v>357</v>
      </c>
      <c r="N130" s="51">
        <f>VLOOKUP($A130,'Data Vlaue (Cr)'!$C:$FB,64)</f>
        <v>286</v>
      </c>
      <c r="O130" s="51">
        <f>VLOOKUP($A130,'Data Vlaue (Cr)'!$C:$FB,66)*100</f>
        <v>24.77</v>
      </c>
    </row>
    <row r="131" spans="1:15" x14ac:dyDescent="0.25">
      <c r="A131" s="101" t="str">
        <f>'Data Vlaue (Cr)'!C126</f>
        <v>MARUTI</v>
      </c>
      <c r="B131" s="50">
        <f>VLOOKUP($A131,'Data Vlaue (Cr)'!$C:$FB,8)</f>
        <v>15412</v>
      </c>
      <c r="C131" s="50">
        <f>VLOOKUP($A131,'Data Vlaue (Cr)'!$C:$FB,11)*100</f>
        <v>1.76</v>
      </c>
      <c r="D131" s="50">
        <f>VLOOKUP($A131,'Data Vlaue (Cr)'!$C:$FB,143)</f>
        <v>17691.509999999998</v>
      </c>
      <c r="E131" s="50">
        <f>VLOOKUP($A131,'Data Vlaue (Cr)'!$C:$FB,144)</f>
        <v>19575.189999999999</v>
      </c>
      <c r="F131" s="50">
        <f>VLOOKUP($A131,'Data Vlaue (Cr)'!$C:$FB,146)*100</f>
        <v>-9.6199999999999992</v>
      </c>
      <c r="G131" s="49">
        <f>VLOOKUP($A131,'Data Vlaue (Cr)'!$C:$FB,43)</f>
        <v>898</v>
      </c>
      <c r="H131" s="49">
        <f>VLOOKUP($A131,'Data Vlaue (Cr)'!$C:$FB,44)</f>
        <v>861</v>
      </c>
      <c r="I131" s="49">
        <f>VLOOKUP($A131,'Data Vlaue (Cr)'!$C:$FB,46)*100</f>
        <v>4.26</v>
      </c>
      <c r="J131" s="51">
        <f>VLOOKUP($A131,'Data Vlaue (Cr)'!$C:$FB,59)</f>
        <v>11598</v>
      </c>
      <c r="K131" s="51">
        <f>VLOOKUP($A131,'Data Vlaue (Cr)'!$C:$FB,60)</f>
        <v>13160</v>
      </c>
      <c r="L131" s="51">
        <f>VLOOKUP($A131,'Data Vlaue (Cr)'!$C:$FB,62)*100</f>
        <v>-11.87</v>
      </c>
      <c r="M131" s="51">
        <f>VLOOKUP($A131,'Data Vlaue (Cr)'!$C:$FB,63)</f>
        <v>5022</v>
      </c>
      <c r="N131" s="51">
        <f>VLOOKUP($A131,'Data Vlaue (Cr)'!$C:$FB,64)</f>
        <v>5462</v>
      </c>
      <c r="O131" s="51">
        <f>VLOOKUP($A131,'Data Vlaue (Cr)'!$C:$FB,66)*100</f>
        <v>-8.0500000000000007</v>
      </c>
    </row>
    <row r="132" spans="1:15" x14ac:dyDescent="0.25">
      <c r="A132" s="101" t="str">
        <f>'Data Vlaue (Cr)'!C127</f>
        <v>MAXHEALTH</v>
      </c>
      <c r="B132" s="50">
        <f>VLOOKUP($A132,'Data Vlaue (Cr)'!$C:$FB,8)</f>
        <v>1055.1500000000001</v>
      </c>
      <c r="C132" s="50">
        <f>VLOOKUP($A132,'Data Vlaue (Cr)'!$C:$FB,11)*100</f>
        <v>3.29</v>
      </c>
      <c r="D132" s="50">
        <f>VLOOKUP($A132,'Data Vlaue (Cr)'!$C:$FB,143)</f>
        <v>3716.09</v>
      </c>
      <c r="E132" s="50">
        <f>VLOOKUP($A132,'Data Vlaue (Cr)'!$C:$FB,144)</f>
        <v>871.93</v>
      </c>
      <c r="F132" s="50">
        <f>VLOOKUP($A132,'Data Vlaue (Cr)'!$C:$FB,146)*100</f>
        <v>326.19</v>
      </c>
      <c r="G132" s="49">
        <f>VLOOKUP($A132,'Data Vlaue (Cr)'!$C:$FB,43)</f>
        <v>474</v>
      </c>
      <c r="H132" s="49">
        <f>VLOOKUP($A132,'Data Vlaue (Cr)'!$C:$FB,44)</f>
        <v>253</v>
      </c>
      <c r="I132" s="49">
        <f>VLOOKUP($A132,'Data Vlaue (Cr)'!$C:$FB,46)*100</f>
        <v>87.45</v>
      </c>
      <c r="J132" s="51">
        <f>VLOOKUP($A132,'Data Vlaue (Cr)'!$C:$FB,59)</f>
        <v>2514</v>
      </c>
      <c r="K132" s="51">
        <f>VLOOKUP($A132,'Data Vlaue (Cr)'!$C:$FB,60)</f>
        <v>432</v>
      </c>
      <c r="L132" s="51">
        <f>VLOOKUP($A132,'Data Vlaue (Cr)'!$C:$FB,62)*100</f>
        <v>481.78000000000003</v>
      </c>
      <c r="M132" s="51">
        <f>VLOOKUP($A132,'Data Vlaue (Cr)'!$C:$FB,63)</f>
        <v>680</v>
      </c>
      <c r="N132" s="51">
        <f>VLOOKUP($A132,'Data Vlaue (Cr)'!$C:$FB,64)</f>
        <v>202</v>
      </c>
      <c r="O132" s="51">
        <f>VLOOKUP($A132,'Data Vlaue (Cr)'!$C:$FB,66)*100</f>
        <v>236.14000000000001</v>
      </c>
    </row>
    <row r="133" spans="1:15" x14ac:dyDescent="0.25">
      <c r="A133" s="101" t="str">
        <f>'Data Vlaue (Cr)'!C128</f>
        <v>MAZDOCK</v>
      </c>
      <c r="B133" s="50">
        <f>VLOOKUP($A133,'Data Vlaue (Cr)'!$C:$FB,8)</f>
        <v>2430.6</v>
      </c>
      <c r="C133" s="50">
        <f>VLOOKUP($A133,'Data Vlaue (Cr)'!$C:$FB,11)*100</f>
        <v>-0.35000000000000003</v>
      </c>
      <c r="D133" s="50">
        <f>VLOOKUP($A133,'Data Vlaue (Cr)'!$C:$FB,143)</f>
        <v>948.8</v>
      </c>
      <c r="E133" s="50">
        <f>VLOOKUP($A133,'Data Vlaue (Cr)'!$C:$FB,144)</f>
        <v>1130.71</v>
      </c>
      <c r="F133" s="50">
        <f>VLOOKUP($A133,'Data Vlaue (Cr)'!$C:$FB,146)*100</f>
        <v>-16.09</v>
      </c>
      <c r="G133" s="49">
        <f>VLOOKUP($A133,'Data Vlaue (Cr)'!$C:$FB,43)</f>
        <v>165</v>
      </c>
      <c r="H133" s="49">
        <f>VLOOKUP($A133,'Data Vlaue (Cr)'!$C:$FB,44)</f>
        <v>192</v>
      </c>
      <c r="I133" s="49">
        <f>VLOOKUP($A133,'Data Vlaue (Cr)'!$C:$FB,46)*100</f>
        <v>-13.94</v>
      </c>
      <c r="J133" s="51">
        <f>VLOOKUP($A133,'Data Vlaue (Cr)'!$C:$FB,59)</f>
        <v>585</v>
      </c>
      <c r="K133" s="51">
        <f>VLOOKUP($A133,'Data Vlaue (Cr)'!$C:$FB,60)</f>
        <v>711</v>
      </c>
      <c r="L133" s="51">
        <f>VLOOKUP($A133,'Data Vlaue (Cr)'!$C:$FB,62)*100</f>
        <v>-17.68</v>
      </c>
      <c r="M133" s="51">
        <f>VLOOKUP($A133,'Data Vlaue (Cr)'!$C:$FB,63)</f>
        <v>160</v>
      </c>
      <c r="N133" s="51">
        <f>VLOOKUP($A133,'Data Vlaue (Cr)'!$C:$FB,64)</f>
        <v>171</v>
      </c>
      <c r="O133" s="51">
        <f>VLOOKUP($A133,'Data Vlaue (Cr)'!$C:$FB,66)*100</f>
        <v>-6.3</v>
      </c>
    </row>
    <row r="134" spans="1:15" x14ac:dyDescent="0.25">
      <c r="A134" s="101" t="str">
        <f>'Data Vlaue (Cr)'!C129</f>
        <v>MCX</v>
      </c>
      <c r="B134" s="50">
        <f>VLOOKUP($A134,'Data Vlaue (Cr)'!$C:$FB,8)</f>
        <v>2372.8000000000002</v>
      </c>
      <c r="C134" s="50">
        <f>VLOOKUP($A134,'Data Vlaue (Cr)'!$C:$FB,11)*100</f>
        <v>-3.9600000000000004</v>
      </c>
      <c r="D134" s="50">
        <f>VLOOKUP($A134,'Data Vlaue (Cr)'!$C:$FB,143)</f>
        <v>13502.22</v>
      </c>
      <c r="E134" s="50">
        <f>VLOOKUP($A134,'Data Vlaue (Cr)'!$C:$FB,144)</f>
        <v>8415.6200000000008</v>
      </c>
      <c r="F134" s="50">
        <f>VLOOKUP($A134,'Data Vlaue (Cr)'!$C:$FB,146)*100</f>
        <v>60.440000000000005</v>
      </c>
      <c r="G134" s="49">
        <f>VLOOKUP($A134,'Data Vlaue (Cr)'!$C:$FB,43)</f>
        <v>2254</v>
      </c>
      <c r="H134" s="49">
        <f>VLOOKUP($A134,'Data Vlaue (Cr)'!$C:$FB,44)</f>
        <v>1127</v>
      </c>
      <c r="I134" s="49">
        <f>VLOOKUP($A134,'Data Vlaue (Cr)'!$C:$FB,46)*100</f>
        <v>99.960000000000008</v>
      </c>
      <c r="J134" s="51">
        <f>VLOOKUP($A134,'Data Vlaue (Cr)'!$C:$FB,59)</f>
        <v>6916</v>
      </c>
      <c r="K134" s="51">
        <f>VLOOKUP($A134,'Data Vlaue (Cr)'!$C:$FB,60)</f>
        <v>4589</v>
      </c>
      <c r="L134" s="51">
        <f>VLOOKUP($A134,'Data Vlaue (Cr)'!$C:$FB,62)*100</f>
        <v>50.72</v>
      </c>
      <c r="M134" s="51">
        <f>VLOOKUP($A134,'Data Vlaue (Cr)'!$C:$FB,63)</f>
        <v>3705</v>
      </c>
      <c r="N134" s="51">
        <f>VLOOKUP($A134,'Data Vlaue (Cr)'!$C:$FB,64)</f>
        <v>2166</v>
      </c>
      <c r="O134" s="51">
        <f>VLOOKUP($A134,'Data Vlaue (Cr)'!$C:$FB,66)*100</f>
        <v>71.05</v>
      </c>
    </row>
    <row r="135" spans="1:15" x14ac:dyDescent="0.25">
      <c r="A135" s="101" t="str">
        <f>'Data Vlaue (Cr)'!C130</f>
        <v>MFSL</v>
      </c>
      <c r="B135" s="50">
        <f>VLOOKUP($A135,'Data Vlaue (Cr)'!$C:$FB,8)</f>
        <v>1734.1</v>
      </c>
      <c r="C135" s="50">
        <f>VLOOKUP($A135,'Data Vlaue (Cr)'!$C:$FB,11)*100</f>
        <v>-0.75</v>
      </c>
      <c r="D135" s="50">
        <f>VLOOKUP($A135,'Data Vlaue (Cr)'!$C:$FB,143)</f>
        <v>1803.23</v>
      </c>
      <c r="E135" s="50">
        <f>VLOOKUP($A135,'Data Vlaue (Cr)'!$C:$FB,144)</f>
        <v>819.81</v>
      </c>
      <c r="F135" s="50">
        <f>VLOOKUP($A135,'Data Vlaue (Cr)'!$C:$FB,146)*100</f>
        <v>119.96</v>
      </c>
      <c r="G135" s="49">
        <f>VLOOKUP($A135,'Data Vlaue (Cr)'!$C:$FB,43)</f>
        <v>266</v>
      </c>
      <c r="H135" s="49">
        <f>VLOOKUP($A135,'Data Vlaue (Cr)'!$C:$FB,44)</f>
        <v>213</v>
      </c>
      <c r="I135" s="49">
        <f>VLOOKUP($A135,'Data Vlaue (Cr)'!$C:$FB,46)*100</f>
        <v>24.560000000000002</v>
      </c>
      <c r="J135" s="51">
        <f>VLOOKUP($A135,'Data Vlaue (Cr)'!$C:$FB,59)</f>
        <v>981</v>
      </c>
      <c r="K135" s="51">
        <f>VLOOKUP($A135,'Data Vlaue (Cr)'!$C:$FB,60)</f>
        <v>413</v>
      </c>
      <c r="L135" s="51">
        <f>VLOOKUP($A135,'Data Vlaue (Cr)'!$C:$FB,62)*100</f>
        <v>137.29</v>
      </c>
      <c r="M135" s="51">
        <f>VLOOKUP($A135,'Data Vlaue (Cr)'!$C:$FB,63)</f>
        <v>508</v>
      </c>
      <c r="N135" s="51">
        <f>VLOOKUP($A135,'Data Vlaue (Cr)'!$C:$FB,64)</f>
        <v>174</v>
      </c>
      <c r="O135" s="51">
        <f>VLOOKUP($A135,'Data Vlaue (Cr)'!$C:$FB,66)*100</f>
        <v>192.79</v>
      </c>
    </row>
    <row r="136" spans="1:15" x14ac:dyDescent="0.25">
      <c r="A136" s="101" t="str">
        <f>'Data Vlaue (Cr)'!C131</f>
        <v>MIDCPNIFTY</v>
      </c>
      <c r="B136" s="50">
        <f>VLOOKUP($A136,'Data Vlaue (Cr)'!$C:$FB,8)</f>
        <v>13952.8</v>
      </c>
      <c r="C136" s="50">
        <f>VLOOKUP($A136,'Data Vlaue (Cr)'!$C:$FB,11)*100</f>
        <v>0</v>
      </c>
      <c r="D136" s="50">
        <f>VLOOKUP($A136,'Data Vlaue (Cr)'!$C:$FB,143)</f>
        <v>35444.17</v>
      </c>
      <c r="E136" s="50">
        <f>VLOOKUP($A136,'Data Vlaue (Cr)'!$C:$FB,144)</f>
        <v>37737.620000000003</v>
      </c>
      <c r="F136" s="50">
        <f>VLOOKUP($A136,'Data Vlaue (Cr)'!$C:$FB,146)*100</f>
        <v>-6.08</v>
      </c>
      <c r="G136" s="49">
        <f>VLOOKUP($A136,'Data Vlaue (Cr)'!$C:$FB,43)</f>
        <v>721</v>
      </c>
      <c r="H136" s="49">
        <f>VLOOKUP($A136,'Data Vlaue (Cr)'!$C:$FB,44)</f>
        <v>613</v>
      </c>
      <c r="I136" s="49">
        <f>VLOOKUP($A136,'Data Vlaue (Cr)'!$C:$FB,46)*100</f>
        <v>17.59</v>
      </c>
      <c r="J136" s="51">
        <f>VLOOKUP($A136,'Data Vlaue (Cr)'!$C:$FB,59)</f>
        <v>17471</v>
      </c>
      <c r="K136" s="51">
        <f>VLOOKUP($A136,'Data Vlaue (Cr)'!$C:$FB,60)</f>
        <v>19363</v>
      </c>
      <c r="L136" s="51">
        <f>VLOOKUP($A136,'Data Vlaue (Cr)'!$C:$FB,62)*100</f>
        <v>-9.77</v>
      </c>
      <c r="M136" s="51">
        <f>VLOOKUP($A136,'Data Vlaue (Cr)'!$C:$FB,63)</f>
        <v>17188</v>
      </c>
      <c r="N136" s="51">
        <f>VLOOKUP($A136,'Data Vlaue (Cr)'!$C:$FB,64)</f>
        <v>17842</v>
      </c>
      <c r="O136" s="51">
        <f>VLOOKUP($A136,'Data Vlaue (Cr)'!$C:$FB,66)*100</f>
        <v>-3.6700000000000004</v>
      </c>
    </row>
    <row r="137" spans="1:15" x14ac:dyDescent="0.25">
      <c r="A137" s="101" t="str">
        <f>'Data Vlaue (Cr)'!C132</f>
        <v>MOTHERSON</v>
      </c>
      <c r="B137" s="50">
        <f>VLOOKUP($A137,'Data Vlaue (Cr)'!$C:$FB,8)</f>
        <v>130.16999999999999</v>
      </c>
      <c r="C137" s="50">
        <f>VLOOKUP($A137,'Data Vlaue (Cr)'!$C:$FB,11)*100</f>
        <v>0.57000000000000006</v>
      </c>
      <c r="D137" s="50">
        <f>VLOOKUP($A137,'Data Vlaue (Cr)'!$C:$FB,143)</f>
        <v>8041.05</v>
      </c>
      <c r="E137" s="50">
        <f>VLOOKUP($A137,'Data Vlaue (Cr)'!$C:$FB,144)</f>
        <v>8662.1299999999992</v>
      </c>
      <c r="F137" s="50">
        <f>VLOOKUP($A137,'Data Vlaue (Cr)'!$C:$FB,146)*100</f>
        <v>-7.17</v>
      </c>
      <c r="G137" s="49">
        <f>VLOOKUP($A137,'Data Vlaue (Cr)'!$C:$FB,43)</f>
        <v>1311</v>
      </c>
      <c r="H137" s="49">
        <f>VLOOKUP($A137,'Data Vlaue (Cr)'!$C:$FB,44)</f>
        <v>1437</v>
      </c>
      <c r="I137" s="49">
        <f>VLOOKUP($A137,'Data Vlaue (Cr)'!$C:$FB,46)*100</f>
        <v>-8.75</v>
      </c>
      <c r="J137" s="51">
        <f>VLOOKUP($A137,'Data Vlaue (Cr)'!$C:$FB,59)</f>
        <v>4178</v>
      </c>
      <c r="K137" s="51">
        <f>VLOOKUP($A137,'Data Vlaue (Cr)'!$C:$FB,60)</f>
        <v>5343</v>
      </c>
      <c r="L137" s="51">
        <f>VLOOKUP($A137,'Data Vlaue (Cr)'!$C:$FB,62)*100</f>
        <v>-21.81</v>
      </c>
      <c r="M137" s="51">
        <f>VLOOKUP($A137,'Data Vlaue (Cr)'!$C:$FB,63)</f>
        <v>2241</v>
      </c>
      <c r="N137" s="51">
        <f>VLOOKUP($A137,'Data Vlaue (Cr)'!$C:$FB,64)</f>
        <v>1788</v>
      </c>
      <c r="O137" s="51">
        <f>VLOOKUP($A137,'Data Vlaue (Cr)'!$C:$FB,66)*100</f>
        <v>25.380000000000003</v>
      </c>
    </row>
    <row r="138" spans="1:15" x14ac:dyDescent="0.25">
      <c r="A138" s="101" t="str">
        <f>'Data Vlaue (Cr)'!C133</f>
        <v>MPHASIS</v>
      </c>
      <c r="B138" s="50">
        <f>VLOOKUP($A138,'Data Vlaue (Cr)'!$C:$FB,8)</f>
        <v>2588.1999999999998</v>
      </c>
      <c r="C138" s="50">
        <f>VLOOKUP($A138,'Data Vlaue (Cr)'!$C:$FB,11)*100</f>
        <v>-0.9900000000000001</v>
      </c>
      <c r="D138" s="50">
        <f>VLOOKUP($A138,'Data Vlaue (Cr)'!$C:$FB,143)</f>
        <v>1040.05</v>
      </c>
      <c r="E138" s="50">
        <f>VLOOKUP($A138,'Data Vlaue (Cr)'!$C:$FB,144)</f>
        <v>689.79</v>
      </c>
      <c r="F138" s="50">
        <f>VLOOKUP($A138,'Data Vlaue (Cr)'!$C:$FB,146)*100</f>
        <v>50.78</v>
      </c>
      <c r="G138" s="49">
        <f>VLOOKUP($A138,'Data Vlaue (Cr)'!$C:$FB,43)</f>
        <v>205</v>
      </c>
      <c r="H138" s="49">
        <f>VLOOKUP($A138,'Data Vlaue (Cr)'!$C:$FB,44)</f>
        <v>192</v>
      </c>
      <c r="I138" s="49">
        <f>VLOOKUP($A138,'Data Vlaue (Cr)'!$C:$FB,46)*100</f>
        <v>6.6000000000000005</v>
      </c>
      <c r="J138" s="51">
        <f>VLOOKUP($A138,'Data Vlaue (Cr)'!$C:$FB,59)</f>
        <v>468</v>
      </c>
      <c r="K138" s="51">
        <f>VLOOKUP($A138,'Data Vlaue (Cr)'!$C:$FB,60)</f>
        <v>354</v>
      </c>
      <c r="L138" s="51">
        <f>VLOOKUP($A138,'Data Vlaue (Cr)'!$C:$FB,62)*100</f>
        <v>32.029999999999994</v>
      </c>
      <c r="M138" s="51">
        <f>VLOOKUP($A138,'Data Vlaue (Cr)'!$C:$FB,63)</f>
        <v>344</v>
      </c>
      <c r="N138" s="51">
        <f>VLOOKUP($A138,'Data Vlaue (Cr)'!$C:$FB,64)</f>
        <v>116</v>
      </c>
      <c r="O138" s="51">
        <f>VLOOKUP($A138,'Data Vlaue (Cr)'!$C:$FB,66)*100</f>
        <v>196.98</v>
      </c>
    </row>
    <row r="139" spans="1:15" x14ac:dyDescent="0.25">
      <c r="A139" s="101" t="str">
        <f>'Data Vlaue (Cr)'!C134</f>
        <v>MUTHOOTFIN</v>
      </c>
      <c r="B139" s="50">
        <f>VLOOKUP($A139,'Data Vlaue (Cr)'!$C:$FB,8)</f>
        <v>3933.2</v>
      </c>
      <c r="C139" s="50">
        <f>VLOOKUP($A139,'Data Vlaue (Cr)'!$C:$FB,11)*100</f>
        <v>1.32</v>
      </c>
      <c r="D139" s="50">
        <f>VLOOKUP($A139,'Data Vlaue (Cr)'!$C:$FB,143)</f>
        <v>4395.62</v>
      </c>
      <c r="E139" s="50">
        <f>VLOOKUP($A139,'Data Vlaue (Cr)'!$C:$FB,144)</f>
        <v>4556.8</v>
      </c>
      <c r="F139" s="50">
        <f>VLOOKUP($A139,'Data Vlaue (Cr)'!$C:$FB,146)*100</f>
        <v>-3.54</v>
      </c>
      <c r="G139" s="49">
        <f>VLOOKUP($A139,'Data Vlaue (Cr)'!$C:$FB,43)</f>
        <v>509</v>
      </c>
      <c r="H139" s="49">
        <f>VLOOKUP($A139,'Data Vlaue (Cr)'!$C:$FB,44)</f>
        <v>590</v>
      </c>
      <c r="I139" s="49">
        <f>VLOOKUP($A139,'Data Vlaue (Cr)'!$C:$FB,46)*100</f>
        <v>-13.76</v>
      </c>
      <c r="J139" s="51">
        <f>VLOOKUP($A139,'Data Vlaue (Cr)'!$C:$FB,59)</f>
        <v>2996</v>
      </c>
      <c r="K139" s="51">
        <f>VLOOKUP($A139,'Data Vlaue (Cr)'!$C:$FB,60)</f>
        <v>3039</v>
      </c>
      <c r="L139" s="51">
        <f>VLOOKUP($A139,'Data Vlaue (Cr)'!$C:$FB,62)*100</f>
        <v>-1.4200000000000002</v>
      </c>
      <c r="M139" s="51">
        <f>VLOOKUP($A139,'Data Vlaue (Cr)'!$C:$FB,63)</f>
        <v>644</v>
      </c>
      <c r="N139" s="51">
        <f>VLOOKUP($A139,'Data Vlaue (Cr)'!$C:$FB,64)</f>
        <v>824</v>
      </c>
      <c r="O139" s="51">
        <f>VLOOKUP($A139,'Data Vlaue (Cr)'!$C:$FB,66)*100</f>
        <v>-21.8</v>
      </c>
    </row>
    <row r="140" spans="1:15" x14ac:dyDescent="0.25">
      <c r="A140" s="101" t="str">
        <f>'Data Vlaue (Cr)'!C135</f>
        <v>NATIONALUM</v>
      </c>
      <c r="B140" s="50">
        <f>VLOOKUP($A140,'Data Vlaue (Cr)'!$C:$FB,8)</f>
        <v>367.7</v>
      </c>
      <c r="C140" s="50">
        <f>VLOOKUP($A140,'Data Vlaue (Cr)'!$C:$FB,11)*100</f>
        <v>-0.26</v>
      </c>
      <c r="D140" s="50">
        <f>VLOOKUP($A140,'Data Vlaue (Cr)'!$C:$FB,143)</f>
        <v>3257.44</v>
      </c>
      <c r="E140" s="50">
        <f>VLOOKUP($A140,'Data Vlaue (Cr)'!$C:$FB,144)</f>
        <v>2744.03</v>
      </c>
      <c r="F140" s="50">
        <f>VLOOKUP($A140,'Data Vlaue (Cr)'!$C:$FB,146)*100</f>
        <v>18.709999999999997</v>
      </c>
      <c r="G140" s="49">
        <f>VLOOKUP($A140,'Data Vlaue (Cr)'!$C:$FB,43)</f>
        <v>605</v>
      </c>
      <c r="H140" s="49">
        <f>VLOOKUP($A140,'Data Vlaue (Cr)'!$C:$FB,44)</f>
        <v>496</v>
      </c>
      <c r="I140" s="49">
        <f>VLOOKUP($A140,'Data Vlaue (Cr)'!$C:$FB,46)*100</f>
        <v>21.93</v>
      </c>
      <c r="J140" s="51">
        <f>VLOOKUP($A140,'Data Vlaue (Cr)'!$C:$FB,59)</f>
        <v>1588</v>
      </c>
      <c r="K140" s="51">
        <f>VLOOKUP($A140,'Data Vlaue (Cr)'!$C:$FB,60)</f>
        <v>1368</v>
      </c>
      <c r="L140" s="51">
        <f>VLOOKUP($A140,'Data Vlaue (Cr)'!$C:$FB,62)*100</f>
        <v>16.059999999999999</v>
      </c>
      <c r="M140" s="51">
        <f>VLOOKUP($A140,'Data Vlaue (Cr)'!$C:$FB,63)</f>
        <v>968</v>
      </c>
      <c r="N140" s="51">
        <f>VLOOKUP($A140,'Data Vlaue (Cr)'!$C:$FB,64)</f>
        <v>796</v>
      </c>
      <c r="O140" s="51">
        <f>VLOOKUP($A140,'Data Vlaue (Cr)'!$C:$FB,66)*100</f>
        <v>21.59</v>
      </c>
    </row>
    <row r="141" spans="1:15" x14ac:dyDescent="0.25">
      <c r="A141" s="101" t="str">
        <f>'Data Vlaue (Cr)'!C136</f>
        <v>NAUKRI</v>
      </c>
      <c r="B141" s="50">
        <f>VLOOKUP($A141,'Data Vlaue (Cr)'!$C:$FB,8)</f>
        <v>1171.7</v>
      </c>
      <c r="C141" s="50">
        <f>VLOOKUP($A141,'Data Vlaue (Cr)'!$C:$FB,11)*100</f>
        <v>-1.8900000000000001</v>
      </c>
      <c r="D141" s="50">
        <f>VLOOKUP($A141,'Data Vlaue (Cr)'!$C:$FB,143)</f>
        <v>1698.14</v>
      </c>
      <c r="E141" s="50">
        <f>VLOOKUP($A141,'Data Vlaue (Cr)'!$C:$FB,144)</f>
        <v>1157.02</v>
      </c>
      <c r="F141" s="50">
        <f>VLOOKUP($A141,'Data Vlaue (Cr)'!$C:$FB,146)*100</f>
        <v>46.77</v>
      </c>
      <c r="G141" s="49">
        <f>VLOOKUP($A141,'Data Vlaue (Cr)'!$C:$FB,43)</f>
        <v>334</v>
      </c>
      <c r="H141" s="49">
        <f>VLOOKUP($A141,'Data Vlaue (Cr)'!$C:$FB,44)</f>
        <v>238</v>
      </c>
      <c r="I141" s="49">
        <f>VLOOKUP($A141,'Data Vlaue (Cr)'!$C:$FB,46)*100</f>
        <v>40.04</v>
      </c>
      <c r="J141" s="51">
        <f>VLOOKUP($A141,'Data Vlaue (Cr)'!$C:$FB,59)</f>
        <v>779</v>
      </c>
      <c r="K141" s="51">
        <f>VLOOKUP($A141,'Data Vlaue (Cr)'!$C:$FB,60)</f>
        <v>657</v>
      </c>
      <c r="L141" s="51">
        <f>VLOOKUP($A141,'Data Vlaue (Cr)'!$C:$FB,62)*100</f>
        <v>18.61</v>
      </c>
      <c r="M141" s="51">
        <f>VLOOKUP($A141,'Data Vlaue (Cr)'!$C:$FB,63)</f>
        <v>515</v>
      </c>
      <c r="N141" s="51">
        <f>VLOOKUP($A141,'Data Vlaue (Cr)'!$C:$FB,64)</f>
        <v>210</v>
      </c>
      <c r="O141" s="51">
        <f>VLOOKUP($A141,'Data Vlaue (Cr)'!$C:$FB,66)*100</f>
        <v>145.57999999999998</v>
      </c>
    </row>
    <row r="142" spans="1:15" x14ac:dyDescent="0.25">
      <c r="A142" s="101" t="str">
        <f>'Data Vlaue (Cr)'!C137</f>
        <v>NBCC</v>
      </c>
      <c r="B142" s="50">
        <f>VLOOKUP($A142,'Data Vlaue (Cr)'!$C:$FB,8)</f>
        <v>101.68</v>
      </c>
      <c r="C142" s="50">
        <f>VLOOKUP($A142,'Data Vlaue (Cr)'!$C:$FB,11)*100</f>
        <v>0.24</v>
      </c>
      <c r="D142" s="50">
        <f>VLOOKUP($A142,'Data Vlaue (Cr)'!$C:$FB,143)</f>
        <v>480.55</v>
      </c>
      <c r="E142" s="50">
        <f>VLOOKUP($A142,'Data Vlaue (Cr)'!$C:$FB,144)</f>
        <v>372.97</v>
      </c>
      <c r="F142" s="50">
        <f>VLOOKUP($A142,'Data Vlaue (Cr)'!$C:$FB,146)*100</f>
        <v>28.84</v>
      </c>
      <c r="G142" s="49">
        <f>VLOOKUP($A142,'Data Vlaue (Cr)'!$C:$FB,43)</f>
        <v>164</v>
      </c>
      <c r="H142" s="49">
        <f>VLOOKUP($A142,'Data Vlaue (Cr)'!$C:$FB,44)</f>
        <v>109</v>
      </c>
      <c r="I142" s="49">
        <f>VLOOKUP($A142,'Data Vlaue (Cr)'!$C:$FB,46)*100</f>
        <v>51.4</v>
      </c>
      <c r="J142" s="51">
        <f>VLOOKUP($A142,'Data Vlaue (Cr)'!$C:$FB,59)</f>
        <v>226</v>
      </c>
      <c r="K142" s="51">
        <f>VLOOKUP($A142,'Data Vlaue (Cr)'!$C:$FB,60)</f>
        <v>190</v>
      </c>
      <c r="L142" s="51">
        <f>VLOOKUP($A142,'Data Vlaue (Cr)'!$C:$FB,62)*100</f>
        <v>18.55</v>
      </c>
      <c r="M142" s="51">
        <f>VLOOKUP($A142,'Data Vlaue (Cr)'!$C:$FB,63)</f>
        <v>77</v>
      </c>
      <c r="N142" s="51">
        <f>VLOOKUP($A142,'Data Vlaue (Cr)'!$C:$FB,64)</f>
        <v>62</v>
      </c>
      <c r="O142" s="51">
        <f>VLOOKUP($A142,'Data Vlaue (Cr)'!$C:$FB,66)*100</f>
        <v>25.3</v>
      </c>
    </row>
    <row r="143" spans="1:15" x14ac:dyDescent="0.25">
      <c r="A143" s="101" t="str">
        <f>'Data Vlaue (Cr)'!C138</f>
        <v>NESTLEIND</v>
      </c>
      <c r="B143" s="50">
        <f>VLOOKUP($A143,'Data Vlaue (Cr)'!$C:$FB,8)</f>
        <v>1305.3</v>
      </c>
      <c r="C143" s="50">
        <f>VLOOKUP($A143,'Data Vlaue (Cr)'!$C:$FB,11)*100</f>
        <v>-0.25</v>
      </c>
      <c r="D143" s="50">
        <f>VLOOKUP($A143,'Data Vlaue (Cr)'!$C:$FB,143)</f>
        <v>1307.52</v>
      </c>
      <c r="E143" s="50">
        <f>VLOOKUP($A143,'Data Vlaue (Cr)'!$C:$FB,144)</f>
        <v>850.51</v>
      </c>
      <c r="F143" s="50">
        <f>VLOOKUP($A143,'Data Vlaue (Cr)'!$C:$FB,146)*100</f>
        <v>53.73</v>
      </c>
      <c r="G143" s="49">
        <f>VLOOKUP($A143,'Data Vlaue (Cr)'!$C:$FB,43)</f>
        <v>214</v>
      </c>
      <c r="H143" s="49">
        <f>VLOOKUP($A143,'Data Vlaue (Cr)'!$C:$FB,44)</f>
        <v>141</v>
      </c>
      <c r="I143" s="49">
        <f>VLOOKUP($A143,'Data Vlaue (Cr)'!$C:$FB,46)*100</f>
        <v>51.83</v>
      </c>
      <c r="J143" s="51">
        <f>VLOOKUP($A143,'Data Vlaue (Cr)'!$C:$FB,59)</f>
        <v>784</v>
      </c>
      <c r="K143" s="51">
        <f>VLOOKUP($A143,'Data Vlaue (Cr)'!$C:$FB,60)</f>
        <v>557</v>
      </c>
      <c r="L143" s="51">
        <f>VLOOKUP($A143,'Data Vlaue (Cr)'!$C:$FB,62)*100</f>
        <v>40.869999999999997</v>
      </c>
      <c r="M143" s="51">
        <f>VLOOKUP($A143,'Data Vlaue (Cr)'!$C:$FB,63)</f>
        <v>286</v>
      </c>
      <c r="N143" s="51">
        <f>VLOOKUP($A143,'Data Vlaue (Cr)'!$C:$FB,64)</f>
        <v>139</v>
      </c>
      <c r="O143" s="51">
        <f>VLOOKUP($A143,'Data Vlaue (Cr)'!$C:$FB,66)*100</f>
        <v>105.25</v>
      </c>
    </row>
    <row r="144" spans="1:15" x14ac:dyDescent="0.25">
      <c r="A144" s="101" t="str">
        <f>'Data Vlaue (Cr)'!C139</f>
        <v>NHPC</v>
      </c>
      <c r="B144" s="50">
        <f>VLOOKUP($A144,'Data Vlaue (Cr)'!$C:$FB,8)</f>
        <v>77.58</v>
      </c>
      <c r="C144" s="50">
        <f>VLOOKUP($A144,'Data Vlaue (Cr)'!$C:$FB,11)*100</f>
        <v>0.82000000000000006</v>
      </c>
      <c r="D144" s="50">
        <f>VLOOKUP($A144,'Data Vlaue (Cr)'!$C:$FB,143)</f>
        <v>483.47</v>
      </c>
      <c r="E144" s="50">
        <f>VLOOKUP($A144,'Data Vlaue (Cr)'!$C:$FB,144)</f>
        <v>437.51</v>
      </c>
      <c r="F144" s="50">
        <f>VLOOKUP($A144,'Data Vlaue (Cr)'!$C:$FB,146)*100</f>
        <v>10.5</v>
      </c>
      <c r="G144" s="49">
        <f>VLOOKUP($A144,'Data Vlaue (Cr)'!$C:$FB,43)</f>
        <v>98</v>
      </c>
      <c r="H144" s="49">
        <f>VLOOKUP($A144,'Data Vlaue (Cr)'!$C:$FB,44)</f>
        <v>91</v>
      </c>
      <c r="I144" s="49">
        <f>VLOOKUP($A144,'Data Vlaue (Cr)'!$C:$FB,46)*100</f>
        <v>7.6899999999999995</v>
      </c>
      <c r="J144" s="51">
        <f>VLOOKUP($A144,'Data Vlaue (Cr)'!$C:$FB,59)</f>
        <v>252</v>
      </c>
      <c r="K144" s="51">
        <f>VLOOKUP($A144,'Data Vlaue (Cr)'!$C:$FB,60)</f>
        <v>226</v>
      </c>
      <c r="L144" s="51">
        <f>VLOOKUP($A144,'Data Vlaue (Cr)'!$C:$FB,62)*100</f>
        <v>11.42</v>
      </c>
      <c r="M144" s="51">
        <f>VLOOKUP($A144,'Data Vlaue (Cr)'!$C:$FB,63)</f>
        <v>124</v>
      </c>
      <c r="N144" s="51">
        <f>VLOOKUP($A144,'Data Vlaue (Cr)'!$C:$FB,64)</f>
        <v>110</v>
      </c>
      <c r="O144" s="51">
        <f>VLOOKUP($A144,'Data Vlaue (Cr)'!$C:$FB,66)*100</f>
        <v>13.13</v>
      </c>
    </row>
    <row r="145" spans="1:15" x14ac:dyDescent="0.25">
      <c r="A145" s="101" t="str">
        <f>'Data Vlaue (Cr)'!C140</f>
        <v>NIFTY</v>
      </c>
      <c r="B145" s="50">
        <f>VLOOKUP($A145,'Data Vlaue (Cr)'!$C:$FB,8)</f>
        <v>25953.85</v>
      </c>
      <c r="C145" s="50">
        <f>VLOOKUP($A145,'Data Vlaue (Cr)'!$C:$FB,11)*100</f>
        <v>6.9999999999999993E-2</v>
      </c>
      <c r="D145" s="50">
        <f>VLOOKUP($A145,'Data Vlaue (Cr)'!$C:$FB,143)</f>
        <v>8630932.6799999997</v>
      </c>
      <c r="E145" s="50">
        <f>VLOOKUP($A145,'Data Vlaue (Cr)'!$C:$FB,144)</f>
        <v>58893279.890000001</v>
      </c>
      <c r="F145" s="50">
        <f>VLOOKUP($A145,'Data Vlaue (Cr)'!$C:$FB,146)*100</f>
        <v>-85.34</v>
      </c>
      <c r="G145" s="49">
        <f>VLOOKUP($A145,'Data Vlaue (Cr)'!$C:$FB,43)</f>
        <v>9877</v>
      </c>
      <c r="H145" s="49">
        <f>VLOOKUP($A145,'Data Vlaue (Cr)'!$C:$FB,44)</f>
        <v>11255</v>
      </c>
      <c r="I145" s="49">
        <f>VLOOKUP($A145,'Data Vlaue (Cr)'!$C:$FB,46)*100</f>
        <v>-12.25</v>
      </c>
      <c r="J145" s="51">
        <f>VLOOKUP($A145,'Data Vlaue (Cr)'!$C:$FB,59)</f>
        <v>4154468</v>
      </c>
      <c r="K145" s="51">
        <f>VLOOKUP($A145,'Data Vlaue (Cr)'!$C:$FB,60)</f>
        <v>28829200</v>
      </c>
      <c r="L145" s="51">
        <f>VLOOKUP($A145,'Data Vlaue (Cr)'!$C:$FB,62)*100</f>
        <v>-85.59</v>
      </c>
      <c r="M145" s="51">
        <f>VLOOKUP($A145,'Data Vlaue (Cr)'!$C:$FB,63)</f>
        <v>4460659</v>
      </c>
      <c r="N145" s="51">
        <f>VLOOKUP($A145,'Data Vlaue (Cr)'!$C:$FB,64)</f>
        <v>30212045</v>
      </c>
      <c r="O145" s="51">
        <f>VLOOKUP($A145,'Data Vlaue (Cr)'!$C:$FB,66)*100</f>
        <v>-85.240000000000009</v>
      </c>
    </row>
    <row r="146" spans="1:15" x14ac:dyDescent="0.25">
      <c r="A146" s="101" t="str">
        <f>'Data Vlaue (Cr)'!C141</f>
        <v>NIFTYNXT50</v>
      </c>
      <c r="B146" s="50">
        <f>VLOOKUP($A146,'Data Vlaue (Cr)'!$C:$FB,8)</f>
        <v>70216.55</v>
      </c>
      <c r="C146" s="50">
        <f>VLOOKUP($A146,'Data Vlaue (Cr)'!$C:$FB,11)*100</f>
        <v>0.54999999999999993</v>
      </c>
      <c r="D146" s="50">
        <f>VLOOKUP($A146,'Data Vlaue (Cr)'!$C:$FB,143)</f>
        <v>191.74</v>
      </c>
      <c r="E146" s="50">
        <f>VLOOKUP($A146,'Data Vlaue (Cr)'!$C:$FB,144)</f>
        <v>110.31</v>
      </c>
      <c r="F146" s="50">
        <f>VLOOKUP($A146,'Data Vlaue (Cr)'!$C:$FB,146)*100</f>
        <v>73.81</v>
      </c>
      <c r="G146" s="49">
        <f>VLOOKUP($A146,'Data Vlaue (Cr)'!$C:$FB,43)</f>
        <v>44</v>
      </c>
      <c r="H146" s="49">
        <f>VLOOKUP($A146,'Data Vlaue (Cr)'!$C:$FB,44)</f>
        <v>31</v>
      </c>
      <c r="I146" s="49">
        <f>VLOOKUP($A146,'Data Vlaue (Cr)'!$C:$FB,46)*100</f>
        <v>42.53</v>
      </c>
      <c r="J146" s="51">
        <f>VLOOKUP($A146,'Data Vlaue (Cr)'!$C:$FB,59)</f>
        <v>78</v>
      </c>
      <c r="K146" s="51">
        <f>VLOOKUP($A146,'Data Vlaue (Cr)'!$C:$FB,60)</f>
        <v>38</v>
      </c>
      <c r="L146" s="51">
        <f>VLOOKUP($A146,'Data Vlaue (Cr)'!$C:$FB,62)*100</f>
        <v>104.15</v>
      </c>
      <c r="M146" s="51">
        <f>VLOOKUP($A146,'Data Vlaue (Cr)'!$C:$FB,63)</f>
        <v>71</v>
      </c>
      <c r="N146" s="51">
        <f>VLOOKUP($A146,'Data Vlaue (Cr)'!$C:$FB,64)</f>
        <v>42</v>
      </c>
      <c r="O146" s="51">
        <f>VLOOKUP($A146,'Data Vlaue (Cr)'!$C:$FB,66)*100</f>
        <v>69.040000000000006</v>
      </c>
    </row>
    <row r="147" spans="1:15" x14ac:dyDescent="0.25">
      <c r="A147" s="101" t="str">
        <f>'Data Vlaue (Cr)'!C142</f>
        <v>NMDC</v>
      </c>
      <c r="B147" s="50">
        <f>VLOOKUP($A147,'Data Vlaue (Cr)'!$C:$FB,8)</f>
        <v>85.46</v>
      </c>
      <c r="C147" s="50">
        <f>VLOOKUP($A147,'Data Vlaue (Cr)'!$C:$FB,11)*100</f>
        <v>0.45999999999999996</v>
      </c>
      <c r="D147" s="50">
        <f>VLOOKUP($A147,'Data Vlaue (Cr)'!$C:$FB,143)</f>
        <v>2010.35</v>
      </c>
      <c r="E147" s="50">
        <f>VLOOKUP($A147,'Data Vlaue (Cr)'!$C:$FB,144)</f>
        <v>1950.51</v>
      </c>
      <c r="F147" s="50">
        <f>VLOOKUP($A147,'Data Vlaue (Cr)'!$C:$FB,146)*100</f>
        <v>3.0700000000000003</v>
      </c>
      <c r="G147" s="49">
        <f>VLOOKUP($A147,'Data Vlaue (Cr)'!$C:$FB,43)</f>
        <v>433</v>
      </c>
      <c r="H147" s="49">
        <f>VLOOKUP($A147,'Data Vlaue (Cr)'!$C:$FB,44)</f>
        <v>453</v>
      </c>
      <c r="I147" s="49">
        <f>VLOOKUP($A147,'Data Vlaue (Cr)'!$C:$FB,46)*100</f>
        <v>-4.47</v>
      </c>
      <c r="J147" s="51">
        <f>VLOOKUP($A147,'Data Vlaue (Cr)'!$C:$FB,59)</f>
        <v>1130</v>
      </c>
      <c r="K147" s="51">
        <f>VLOOKUP($A147,'Data Vlaue (Cr)'!$C:$FB,60)</f>
        <v>1117</v>
      </c>
      <c r="L147" s="51">
        <f>VLOOKUP($A147,'Data Vlaue (Cr)'!$C:$FB,62)*100</f>
        <v>1.1900000000000002</v>
      </c>
      <c r="M147" s="51">
        <f>VLOOKUP($A147,'Data Vlaue (Cr)'!$C:$FB,63)</f>
        <v>410</v>
      </c>
      <c r="N147" s="51">
        <f>VLOOKUP($A147,'Data Vlaue (Cr)'!$C:$FB,64)</f>
        <v>355</v>
      </c>
      <c r="O147" s="51">
        <f>VLOOKUP($A147,'Data Vlaue (Cr)'!$C:$FB,66)*100</f>
        <v>15.459999999999999</v>
      </c>
    </row>
    <row r="148" spans="1:15" x14ac:dyDescent="0.25">
      <c r="A148" s="101" t="str">
        <f>'Data Vlaue (Cr)'!C143</f>
        <v>NTPC</v>
      </c>
      <c r="B148" s="50">
        <f>VLOOKUP($A148,'Data Vlaue (Cr)'!$C:$FB,8)</f>
        <v>368.45</v>
      </c>
      <c r="C148" s="50">
        <f>VLOOKUP($A148,'Data Vlaue (Cr)'!$C:$FB,11)*100</f>
        <v>0.42</v>
      </c>
      <c r="D148" s="50">
        <f>VLOOKUP($A148,'Data Vlaue (Cr)'!$C:$FB,143)</f>
        <v>3538.8</v>
      </c>
      <c r="E148" s="50">
        <f>VLOOKUP($A148,'Data Vlaue (Cr)'!$C:$FB,144)</f>
        <v>4415.46</v>
      </c>
      <c r="F148" s="50">
        <f>VLOOKUP($A148,'Data Vlaue (Cr)'!$C:$FB,146)*100</f>
        <v>-19.850000000000001</v>
      </c>
      <c r="G148" s="49">
        <f>VLOOKUP($A148,'Data Vlaue (Cr)'!$C:$FB,43)</f>
        <v>293</v>
      </c>
      <c r="H148" s="49">
        <f>VLOOKUP($A148,'Data Vlaue (Cr)'!$C:$FB,44)</f>
        <v>349</v>
      </c>
      <c r="I148" s="49">
        <f>VLOOKUP($A148,'Data Vlaue (Cr)'!$C:$FB,46)*100</f>
        <v>-16.150000000000002</v>
      </c>
      <c r="J148" s="51">
        <f>VLOOKUP($A148,'Data Vlaue (Cr)'!$C:$FB,59)</f>
        <v>2228</v>
      </c>
      <c r="K148" s="51">
        <f>VLOOKUP($A148,'Data Vlaue (Cr)'!$C:$FB,60)</f>
        <v>2673</v>
      </c>
      <c r="L148" s="51">
        <f>VLOOKUP($A148,'Data Vlaue (Cr)'!$C:$FB,62)*100</f>
        <v>-16.650000000000002</v>
      </c>
      <c r="M148" s="51">
        <f>VLOOKUP($A148,'Data Vlaue (Cr)'!$C:$FB,63)</f>
        <v>989</v>
      </c>
      <c r="N148" s="51">
        <f>VLOOKUP($A148,'Data Vlaue (Cr)'!$C:$FB,64)</f>
        <v>1370</v>
      </c>
      <c r="O148" s="51">
        <f>VLOOKUP($A148,'Data Vlaue (Cr)'!$C:$FB,66)*100</f>
        <v>-27.77</v>
      </c>
    </row>
    <row r="149" spans="1:15" x14ac:dyDescent="0.25">
      <c r="A149" s="101" t="str">
        <f>'Data Vlaue (Cr)'!C144</f>
        <v>NUVAMA</v>
      </c>
      <c r="B149" s="50">
        <f>VLOOKUP($A149,'Data Vlaue (Cr)'!$C:$FB,8)</f>
        <v>1324.2</v>
      </c>
      <c r="C149" s="50">
        <f>VLOOKUP($A149,'Data Vlaue (Cr)'!$C:$FB,11)*100</f>
        <v>-4.46</v>
      </c>
      <c r="D149" s="50">
        <f>VLOOKUP($A149,'Data Vlaue (Cr)'!$C:$FB,143)</f>
        <v>914.65</v>
      </c>
      <c r="E149" s="50">
        <f>VLOOKUP($A149,'Data Vlaue (Cr)'!$C:$FB,144)</f>
        <v>486.83</v>
      </c>
      <c r="F149" s="50">
        <f>VLOOKUP($A149,'Data Vlaue (Cr)'!$C:$FB,146)*100</f>
        <v>87.88</v>
      </c>
      <c r="G149" s="49">
        <f>VLOOKUP($A149,'Data Vlaue (Cr)'!$C:$FB,43)</f>
        <v>244</v>
      </c>
      <c r="H149" s="49">
        <f>VLOOKUP($A149,'Data Vlaue (Cr)'!$C:$FB,44)</f>
        <v>133</v>
      </c>
      <c r="I149" s="49">
        <f>VLOOKUP($A149,'Data Vlaue (Cr)'!$C:$FB,46)*100</f>
        <v>83.73</v>
      </c>
      <c r="J149" s="51">
        <f>VLOOKUP($A149,'Data Vlaue (Cr)'!$C:$FB,59)</f>
        <v>368</v>
      </c>
      <c r="K149" s="51">
        <f>VLOOKUP($A149,'Data Vlaue (Cr)'!$C:$FB,60)</f>
        <v>247</v>
      </c>
      <c r="L149" s="51">
        <f>VLOOKUP($A149,'Data Vlaue (Cr)'!$C:$FB,62)*100</f>
        <v>48.809999999999995</v>
      </c>
      <c r="M149" s="51">
        <f>VLOOKUP($A149,'Data Vlaue (Cr)'!$C:$FB,63)</f>
        <v>260</v>
      </c>
      <c r="N149" s="51">
        <f>VLOOKUP($A149,'Data Vlaue (Cr)'!$C:$FB,64)</f>
        <v>72</v>
      </c>
      <c r="O149" s="51">
        <f>VLOOKUP($A149,'Data Vlaue (Cr)'!$C:$FB,66)*100</f>
        <v>259.49</v>
      </c>
    </row>
    <row r="150" spans="1:15" x14ac:dyDescent="0.25">
      <c r="A150" s="101" t="str">
        <f>'Data Vlaue (Cr)'!C145</f>
        <v>NYKAA</v>
      </c>
      <c r="B150" s="50">
        <f>VLOOKUP($A150,'Data Vlaue (Cr)'!$C:$FB,8)</f>
        <v>277.54000000000002</v>
      </c>
      <c r="C150" s="50">
        <f>VLOOKUP($A150,'Data Vlaue (Cr)'!$C:$FB,11)*100</f>
        <v>-1.1199999999999999</v>
      </c>
      <c r="D150" s="50">
        <f>VLOOKUP($A150,'Data Vlaue (Cr)'!$C:$FB,143)</f>
        <v>1386.24</v>
      </c>
      <c r="E150" s="50">
        <f>VLOOKUP($A150,'Data Vlaue (Cr)'!$C:$FB,144)</f>
        <v>1710.25</v>
      </c>
      <c r="F150" s="50">
        <f>VLOOKUP($A150,'Data Vlaue (Cr)'!$C:$FB,146)*100</f>
        <v>-18.95</v>
      </c>
      <c r="G150" s="49">
        <f>VLOOKUP($A150,'Data Vlaue (Cr)'!$C:$FB,43)</f>
        <v>213</v>
      </c>
      <c r="H150" s="49">
        <f>VLOOKUP($A150,'Data Vlaue (Cr)'!$C:$FB,44)</f>
        <v>323</v>
      </c>
      <c r="I150" s="49">
        <f>VLOOKUP($A150,'Data Vlaue (Cr)'!$C:$FB,46)*100</f>
        <v>-33.989999999999995</v>
      </c>
      <c r="J150" s="51">
        <f>VLOOKUP($A150,'Data Vlaue (Cr)'!$C:$FB,59)</f>
        <v>694</v>
      </c>
      <c r="K150" s="51">
        <f>VLOOKUP($A150,'Data Vlaue (Cr)'!$C:$FB,60)</f>
        <v>922</v>
      </c>
      <c r="L150" s="51">
        <f>VLOOKUP($A150,'Data Vlaue (Cr)'!$C:$FB,62)*100</f>
        <v>-24.72</v>
      </c>
      <c r="M150" s="51">
        <f>VLOOKUP($A150,'Data Vlaue (Cr)'!$C:$FB,63)</f>
        <v>448</v>
      </c>
      <c r="N150" s="51">
        <f>VLOOKUP($A150,'Data Vlaue (Cr)'!$C:$FB,64)</f>
        <v>427</v>
      </c>
      <c r="O150" s="51">
        <f>VLOOKUP($A150,'Data Vlaue (Cr)'!$C:$FB,66)*100</f>
        <v>4.8899999999999997</v>
      </c>
    </row>
    <row r="151" spans="1:15" x14ac:dyDescent="0.25">
      <c r="A151" s="101" t="str">
        <f>'Data Vlaue (Cr)'!C146</f>
        <v>OBEROIRLTY</v>
      </c>
      <c r="B151" s="50">
        <f>VLOOKUP($A151,'Data Vlaue (Cr)'!$C:$FB,8)</f>
        <v>1577.3</v>
      </c>
      <c r="C151" s="50">
        <f>VLOOKUP($A151,'Data Vlaue (Cr)'!$C:$FB,11)*100</f>
        <v>0.54</v>
      </c>
      <c r="D151" s="50">
        <f>VLOOKUP($A151,'Data Vlaue (Cr)'!$C:$FB,143)</f>
        <v>374.2</v>
      </c>
      <c r="E151" s="50">
        <f>VLOOKUP($A151,'Data Vlaue (Cr)'!$C:$FB,144)</f>
        <v>467.14</v>
      </c>
      <c r="F151" s="50">
        <f>VLOOKUP($A151,'Data Vlaue (Cr)'!$C:$FB,146)*100</f>
        <v>-19.900000000000002</v>
      </c>
      <c r="G151" s="49">
        <f>VLOOKUP($A151,'Data Vlaue (Cr)'!$C:$FB,43)</f>
        <v>80</v>
      </c>
      <c r="H151" s="49">
        <f>VLOOKUP($A151,'Data Vlaue (Cr)'!$C:$FB,44)</f>
        <v>90</v>
      </c>
      <c r="I151" s="49">
        <f>VLOOKUP($A151,'Data Vlaue (Cr)'!$C:$FB,46)*100</f>
        <v>-11.4</v>
      </c>
      <c r="J151" s="51">
        <f>VLOOKUP($A151,'Data Vlaue (Cr)'!$C:$FB,59)</f>
        <v>208</v>
      </c>
      <c r="K151" s="51">
        <f>VLOOKUP($A151,'Data Vlaue (Cr)'!$C:$FB,60)</f>
        <v>246</v>
      </c>
      <c r="L151" s="51">
        <f>VLOOKUP($A151,'Data Vlaue (Cr)'!$C:$FB,62)*100</f>
        <v>-15.18</v>
      </c>
      <c r="M151" s="51">
        <f>VLOOKUP($A151,'Data Vlaue (Cr)'!$C:$FB,63)</f>
        <v>81</v>
      </c>
      <c r="N151" s="51">
        <f>VLOOKUP($A151,'Data Vlaue (Cr)'!$C:$FB,64)</f>
        <v>130</v>
      </c>
      <c r="O151" s="51">
        <f>VLOOKUP($A151,'Data Vlaue (Cr)'!$C:$FB,66)*100</f>
        <v>-37.47</v>
      </c>
    </row>
    <row r="152" spans="1:15" x14ac:dyDescent="0.25">
      <c r="A152" s="101" t="str">
        <f>'Data Vlaue (Cr)'!C147</f>
        <v>OFSS</v>
      </c>
      <c r="B152" s="50">
        <f>VLOOKUP($A152,'Data Vlaue (Cr)'!$C:$FB,8)</f>
        <v>7217.5</v>
      </c>
      <c r="C152" s="50">
        <f>VLOOKUP($A152,'Data Vlaue (Cr)'!$C:$FB,11)*100</f>
        <v>-1.7000000000000002</v>
      </c>
      <c r="D152" s="50">
        <f>VLOOKUP($A152,'Data Vlaue (Cr)'!$C:$FB,143)</f>
        <v>746.38</v>
      </c>
      <c r="E152" s="50">
        <f>VLOOKUP($A152,'Data Vlaue (Cr)'!$C:$FB,144)</f>
        <v>708.44</v>
      </c>
      <c r="F152" s="50">
        <f>VLOOKUP($A152,'Data Vlaue (Cr)'!$C:$FB,146)*100</f>
        <v>5.36</v>
      </c>
      <c r="G152" s="49">
        <f>VLOOKUP($A152,'Data Vlaue (Cr)'!$C:$FB,43)</f>
        <v>110</v>
      </c>
      <c r="H152" s="49">
        <f>VLOOKUP($A152,'Data Vlaue (Cr)'!$C:$FB,44)</f>
        <v>115</v>
      </c>
      <c r="I152" s="49">
        <f>VLOOKUP($A152,'Data Vlaue (Cr)'!$C:$FB,46)*100</f>
        <v>-3.8600000000000003</v>
      </c>
      <c r="J152" s="51">
        <f>VLOOKUP($A152,'Data Vlaue (Cr)'!$C:$FB,59)</f>
        <v>406</v>
      </c>
      <c r="K152" s="51">
        <f>VLOOKUP($A152,'Data Vlaue (Cr)'!$C:$FB,60)</f>
        <v>431</v>
      </c>
      <c r="L152" s="51">
        <f>VLOOKUP($A152,'Data Vlaue (Cr)'!$C:$FB,62)*100</f>
        <v>-5.88</v>
      </c>
      <c r="M152" s="51">
        <f>VLOOKUP($A152,'Data Vlaue (Cr)'!$C:$FB,63)</f>
        <v>194</v>
      </c>
      <c r="N152" s="51">
        <f>VLOOKUP($A152,'Data Vlaue (Cr)'!$C:$FB,64)</f>
        <v>127</v>
      </c>
      <c r="O152" s="51">
        <f>VLOOKUP($A152,'Data Vlaue (Cr)'!$C:$FB,66)*100</f>
        <v>52.470000000000006</v>
      </c>
    </row>
    <row r="153" spans="1:15" x14ac:dyDescent="0.25">
      <c r="A153" s="101" t="str">
        <f>'Data Vlaue (Cr)'!C148</f>
        <v>OIL</v>
      </c>
      <c r="B153" s="50">
        <f>VLOOKUP($A153,'Data Vlaue (Cr)'!$C:$FB,8)</f>
        <v>479.25</v>
      </c>
      <c r="C153" s="50">
        <f>VLOOKUP($A153,'Data Vlaue (Cr)'!$C:$FB,11)*100</f>
        <v>-1.96</v>
      </c>
      <c r="D153" s="50">
        <f>VLOOKUP($A153,'Data Vlaue (Cr)'!$C:$FB,143)</f>
        <v>2894.03</v>
      </c>
      <c r="E153" s="50">
        <f>VLOOKUP($A153,'Data Vlaue (Cr)'!$C:$FB,144)</f>
        <v>1530.57</v>
      </c>
      <c r="F153" s="50">
        <f>VLOOKUP($A153,'Data Vlaue (Cr)'!$C:$FB,146)*100</f>
        <v>89.08</v>
      </c>
      <c r="G153" s="49">
        <f>VLOOKUP($A153,'Data Vlaue (Cr)'!$C:$FB,43)</f>
        <v>612</v>
      </c>
      <c r="H153" s="49">
        <f>VLOOKUP($A153,'Data Vlaue (Cr)'!$C:$FB,44)</f>
        <v>279</v>
      </c>
      <c r="I153" s="49">
        <f>VLOOKUP($A153,'Data Vlaue (Cr)'!$C:$FB,46)*100</f>
        <v>119.04999999999998</v>
      </c>
      <c r="J153" s="51">
        <f>VLOOKUP($A153,'Data Vlaue (Cr)'!$C:$FB,59)</f>
        <v>1513</v>
      </c>
      <c r="K153" s="51">
        <f>VLOOKUP($A153,'Data Vlaue (Cr)'!$C:$FB,60)</f>
        <v>846</v>
      </c>
      <c r="L153" s="51">
        <f>VLOOKUP($A153,'Data Vlaue (Cr)'!$C:$FB,62)*100</f>
        <v>78.91</v>
      </c>
      <c r="M153" s="51">
        <f>VLOOKUP($A153,'Data Vlaue (Cr)'!$C:$FB,63)</f>
        <v>642</v>
      </c>
      <c r="N153" s="51">
        <f>VLOOKUP($A153,'Data Vlaue (Cr)'!$C:$FB,64)</f>
        <v>312</v>
      </c>
      <c r="O153" s="51">
        <f>VLOOKUP($A153,'Data Vlaue (Cr)'!$C:$FB,66)*100</f>
        <v>105.78</v>
      </c>
    </row>
    <row r="154" spans="1:15" x14ac:dyDescent="0.25">
      <c r="A154" s="101" t="str">
        <f>'Data Vlaue (Cr)'!C149</f>
        <v>ONGC</v>
      </c>
      <c r="B154" s="50">
        <f>VLOOKUP($A154,'Data Vlaue (Cr)'!$C:$FB,8)</f>
        <v>274.60000000000002</v>
      </c>
      <c r="C154" s="50">
        <f>VLOOKUP($A154,'Data Vlaue (Cr)'!$C:$FB,11)*100</f>
        <v>0.89999999999999991</v>
      </c>
      <c r="D154" s="50">
        <f>VLOOKUP($A154,'Data Vlaue (Cr)'!$C:$FB,143)</f>
        <v>4504.47</v>
      </c>
      <c r="E154" s="50">
        <f>VLOOKUP($A154,'Data Vlaue (Cr)'!$C:$FB,144)</f>
        <v>2439.61</v>
      </c>
      <c r="F154" s="50">
        <f>VLOOKUP($A154,'Data Vlaue (Cr)'!$C:$FB,146)*100</f>
        <v>84.64</v>
      </c>
      <c r="G154" s="49">
        <f>VLOOKUP($A154,'Data Vlaue (Cr)'!$C:$FB,43)</f>
        <v>709</v>
      </c>
      <c r="H154" s="49">
        <f>VLOOKUP($A154,'Data Vlaue (Cr)'!$C:$FB,44)</f>
        <v>396</v>
      </c>
      <c r="I154" s="49">
        <f>VLOOKUP($A154,'Data Vlaue (Cr)'!$C:$FB,46)*100</f>
        <v>78.959999999999994</v>
      </c>
      <c r="J154" s="51">
        <f>VLOOKUP($A154,'Data Vlaue (Cr)'!$C:$FB,59)</f>
        <v>2791</v>
      </c>
      <c r="K154" s="51">
        <f>VLOOKUP($A154,'Data Vlaue (Cr)'!$C:$FB,60)</f>
        <v>1521</v>
      </c>
      <c r="L154" s="51">
        <f>VLOOKUP($A154,'Data Vlaue (Cr)'!$C:$FB,62)*100</f>
        <v>83.49</v>
      </c>
      <c r="M154" s="51">
        <f>VLOOKUP($A154,'Data Vlaue (Cr)'!$C:$FB,63)</f>
        <v>933</v>
      </c>
      <c r="N154" s="51">
        <f>VLOOKUP($A154,'Data Vlaue (Cr)'!$C:$FB,64)</f>
        <v>505</v>
      </c>
      <c r="O154" s="51">
        <f>VLOOKUP($A154,'Data Vlaue (Cr)'!$C:$FB,66)*100</f>
        <v>84.75</v>
      </c>
    </row>
    <row r="155" spans="1:15" x14ac:dyDescent="0.25">
      <c r="A155" s="101" t="str">
        <f>'Data Vlaue (Cr)'!C150</f>
        <v>PAGEIND</v>
      </c>
      <c r="B155" s="50">
        <f>VLOOKUP($A155,'Data Vlaue (Cr)'!$C:$FB,8)</f>
        <v>34360</v>
      </c>
      <c r="C155" s="50">
        <f>VLOOKUP($A155,'Data Vlaue (Cr)'!$C:$FB,11)*100</f>
        <v>-0.69</v>
      </c>
      <c r="D155" s="50">
        <f>VLOOKUP($A155,'Data Vlaue (Cr)'!$C:$FB,143)</f>
        <v>1294.29</v>
      </c>
      <c r="E155" s="50">
        <f>VLOOKUP($A155,'Data Vlaue (Cr)'!$C:$FB,144)</f>
        <v>1092.6500000000001</v>
      </c>
      <c r="F155" s="50">
        <f>VLOOKUP($A155,'Data Vlaue (Cr)'!$C:$FB,146)*100</f>
        <v>18.459999999999997</v>
      </c>
      <c r="G155" s="49">
        <f>VLOOKUP($A155,'Data Vlaue (Cr)'!$C:$FB,43)</f>
        <v>236</v>
      </c>
      <c r="H155" s="49">
        <f>VLOOKUP($A155,'Data Vlaue (Cr)'!$C:$FB,44)</f>
        <v>120</v>
      </c>
      <c r="I155" s="49">
        <f>VLOOKUP($A155,'Data Vlaue (Cr)'!$C:$FB,46)*100</f>
        <v>96.98</v>
      </c>
      <c r="J155" s="51">
        <f>VLOOKUP($A155,'Data Vlaue (Cr)'!$C:$FB,59)</f>
        <v>748</v>
      </c>
      <c r="K155" s="51">
        <f>VLOOKUP($A155,'Data Vlaue (Cr)'!$C:$FB,60)</f>
        <v>679</v>
      </c>
      <c r="L155" s="51">
        <f>VLOOKUP($A155,'Data Vlaue (Cr)'!$C:$FB,62)*100</f>
        <v>10.14</v>
      </c>
      <c r="M155" s="51">
        <f>VLOOKUP($A155,'Data Vlaue (Cr)'!$C:$FB,63)</f>
        <v>265</v>
      </c>
      <c r="N155" s="51">
        <f>VLOOKUP($A155,'Data Vlaue (Cr)'!$C:$FB,64)</f>
        <v>232</v>
      </c>
      <c r="O155" s="51">
        <f>VLOOKUP($A155,'Data Vlaue (Cr)'!$C:$FB,66)*100</f>
        <v>14.46</v>
      </c>
    </row>
    <row r="156" spans="1:15" x14ac:dyDescent="0.25">
      <c r="A156" s="101" t="str">
        <f>'Data Vlaue (Cr)'!C151</f>
        <v>PATANJALI</v>
      </c>
      <c r="B156" s="50">
        <f>VLOOKUP($A156,'Data Vlaue (Cr)'!$C:$FB,8)</f>
        <v>521.75</v>
      </c>
      <c r="C156" s="50">
        <f>VLOOKUP($A156,'Data Vlaue (Cr)'!$C:$FB,11)*100</f>
        <v>0.04</v>
      </c>
      <c r="D156" s="50">
        <f>VLOOKUP($A156,'Data Vlaue (Cr)'!$C:$FB,143)</f>
        <v>809.51</v>
      </c>
      <c r="E156" s="50">
        <f>VLOOKUP($A156,'Data Vlaue (Cr)'!$C:$FB,144)</f>
        <v>876.24</v>
      </c>
      <c r="F156" s="50">
        <f>VLOOKUP($A156,'Data Vlaue (Cr)'!$C:$FB,146)*100</f>
        <v>-7.61</v>
      </c>
      <c r="G156" s="49">
        <f>VLOOKUP($A156,'Data Vlaue (Cr)'!$C:$FB,43)</f>
        <v>159</v>
      </c>
      <c r="H156" s="49">
        <f>VLOOKUP($A156,'Data Vlaue (Cr)'!$C:$FB,44)</f>
        <v>233</v>
      </c>
      <c r="I156" s="49">
        <f>VLOOKUP($A156,'Data Vlaue (Cr)'!$C:$FB,46)*100</f>
        <v>-31.6</v>
      </c>
      <c r="J156" s="51">
        <f>VLOOKUP($A156,'Data Vlaue (Cr)'!$C:$FB,59)</f>
        <v>408</v>
      </c>
      <c r="K156" s="51">
        <f>VLOOKUP($A156,'Data Vlaue (Cr)'!$C:$FB,60)</f>
        <v>340</v>
      </c>
      <c r="L156" s="51">
        <f>VLOOKUP($A156,'Data Vlaue (Cr)'!$C:$FB,62)*100</f>
        <v>20.200000000000003</v>
      </c>
      <c r="M156" s="51">
        <f>VLOOKUP($A156,'Data Vlaue (Cr)'!$C:$FB,63)</f>
        <v>218</v>
      </c>
      <c r="N156" s="51">
        <f>VLOOKUP($A156,'Data Vlaue (Cr)'!$C:$FB,64)</f>
        <v>273</v>
      </c>
      <c r="O156" s="51">
        <f>VLOOKUP($A156,'Data Vlaue (Cr)'!$C:$FB,66)*100</f>
        <v>-19.989999999999998</v>
      </c>
    </row>
    <row r="157" spans="1:15" x14ac:dyDescent="0.25">
      <c r="A157" s="101" t="str">
        <f>'Data Vlaue (Cr)'!C152</f>
        <v>PAYTM</v>
      </c>
      <c r="B157" s="50">
        <f>VLOOKUP($A157,'Data Vlaue (Cr)'!$C:$FB,8)</f>
        <v>1160</v>
      </c>
      <c r="C157" s="50">
        <f>VLOOKUP($A157,'Data Vlaue (Cr)'!$C:$FB,11)*100</f>
        <v>-0.11</v>
      </c>
      <c r="D157" s="50">
        <f>VLOOKUP($A157,'Data Vlaue (Cr)'!$C:$FB,143)</f>
        <v>2181.02</v>
      </c>
      <c r="E157" s="50">
        <f>VLOOKUP($A157,'Data Vlaue (Cr)'!$C:$FB,144)</f>
        <v>3934.25</v>
      </c>
      <c r="F157" s="50">
        <f>VLOOKUP($A157,'Data Vlaue (Cr)'!$C:$FB,146)*100</f>
        <v>-44.56</v>
      </c>
      <c r="G157" s="49">
        <f>VLOOKUP($A157,'Data Vlaue (Cr)'!$C:$FB,43)</f>
        <v>444</v>
      </c>
      <c r="H157" s="49">
        <f>VLOOKUP($A157,'Data Vlaue (Cr)'!$C:$FB,44)</f>
        <v>726</v>
      </c>
      <c r="I157" s="49">
        <f>VLOOKUP($A157,'Data Vlaue (Cr)'!$C:$FB,46)*100</f>
        <v>-38.800000000000004</v>
      </c>
      <c r="J157" s="51">
        <f>VLOOKUP($A157,'Data Vlaue (Cr)'!$C:$FB,59)</f>
        <v>1235</v>
      </c>
      <c r="K157" s="51">
        <f>VLOOKUP($A157,'Data Vlaue (Cr)'!$C:$FB,60)</f>
        <v>2033</v>
      </c>
      <c r="L157" s="51">
        <f>VLOOKUP($A157,'Data Vlaue (Cr)'!$C:$FB,62)*100</f>
        <v>-39.26</v>
      </c>
      <c r="M157" s="51">
        <f>VLOOKUP($A157,'Data Vlaue (Cr)'!$C:$FB,63)</f>
        <v>426</v>
      </c>
      <c r="N157" s="51">
        <f>VLOOKUP($A157,'Data Vlaue (Cr)'!$C:$FB,64)</f>
        <v>1056</v>
      </c>
      <c r="O157" s="51">
        <f>VLOOKUP($A157,'Data Vlaue (Cr)'!$C:$FB,66)*100</f>
        <v>-59.599999999999994</v>
      </c>
    </row>
    <row r="158" spans="1:15" x14ac:dyDescent="0.25">
      <c r="A158" s="101" t="str">
        <f>'Data Vlaue (Cr)'!C153</f>
        <v>PERSISTENT</v>
      </c>
      <c r="B158" s="50">
        <f>VLOOKUP($A158,'Data Vlaue (Cr)'!$C:$FB,8)</f>
        <v>5724</v>
      </c>
      <c r="C158" s="50">
        <f>VLOOKUP($A158,'Data Vlaue (Cr)'!$C:$FB,11)*100</f>
        <v>-2.5299999999999998</v>
      </c>
      <c r="D158" s="50">
        <f>VLOOKUP($A158,'Data Vlaue (Cr)'!$C:$FB,143)</f>
        <v>4060.28</v>
      </c>
      <c r="E158" s="50">
        <f>VLOOKUP($A158,'Data Vlaue (Cr)'!$C:$FB,144)</f>
        <v>1884</v>
      </c>
      <c r="F158" s="50">
        <f>VLOOKUP($A158,'Data Vlaue (Cr)'!$C:$FB,146)*100</f>
        <v>115.51</v>
      </c>
      <c r="G158" s="49">
        <f>VLOOKUP($A158,'Data Vlaue (Cr)'!$C:$FB,43)</f>
        <v>690</v>
      </c>
      <c r="H158" s="49">
        <f>VLOOKUP($A158,'Data Vlaue (Cr)'!$C:$FB,44)</f>
        <v>320</v>
      </c>
      <c r="I158" s="49">
        <f>VLOOKUP($A158,'Data Vlaue (Cr)'!$C:$FB,46)*100</f>
        <v>115.39999999999999</v>
      </c>
      <c r="J158" s="51">
        <f>VLOOKUP($A158,'Data Vlaue (Cr)'!$C:$FB,59)</f>
        <v>1796</v>
      </c>
      <c r="K158" s="51">
        <f>VLOOKUP($A158,'Data Vlaue (Cr)'!$C:$FB,60)</f>
        <v>1042</v>
      </c>
      <c r="L158" s="51">
        <f>VLOOKUP($A158,'Data Vlaue (Cr)'!$C:$FB,62)*100</f>
        <v>72.3</v>
      </c>
      <c r="M158" s="51">
        <f>VLOOKUP($A158,'Data Vlaue (Cr)'!$C:$FB,63)</f>
        <v>1437</v>
      </c>
      <c r="N158" s="51">
        <f>VLOOKUP($A158,'Data Vlaue (Cr)'!$C:$FB,64)</f>
        <v>423</v>
      </c>
      <c r="O158" s="51">
        <f>VLOOKUP($A158,'Data Vlaue (Cr)'!$C:$FB,66)*100</f>
        <v>239.54</v>
      </c>
    </row>
    <row r="159" spans="1:15" x14ac:dyDescent="0.25">
      <c r="A159" s="101" t="str">
        <f>'Data Vlaue (Cr)'!C154</f>
        <v>PETRONET</v>
      </c>
      <c r="B159" s="50">
        <f>VLOOKUP($A159,'Data Vlaue (Cr)'!$C:$FB,8)</f>
        <v>303.89999999999998</v>
      </c>
      <c r="C159" s="50">
        <f>VLOOKUP($A159,'Data Vlaue (Cr)'!$C:$FB,11)*100</f>
        <v>6.9999999999999993E-2</v>
      </c>
      <c r="D159" s="50">
        <f>VLOOKUP($A159,'Data Vlaue (Cr)'!$C:$FB,143)</f>
        <v>516.28</v>
      </c>
      <c r="E159" s="50">
        <f>VLOOKUP($A159,'Data Vlaue (Cr)'!$C:$FB,144)</f>
        <v>943.64</v>
      </c>
      <c r="F159" s="50">
        <f>VLOOKUP($A159,'Data Vlaue (Cr)'!$C:$FB,146)*100</f>
        <v>-45.29</v>
      </c>
      <c r="G159" s="49">
        <f>VLOOKUP($A159,'Data Vlaue (Cr)'!$C:$FB,43)</f>
        <v>57</v>
      </c>
      <c r="H159" s="49">
        <f>VLOOKUP($A159,'Data Vlaue (Cr)'!$C:$FB,44)</f>
        <v>118</v>
      </c>
      <c r="I159" s="49">
        <f>VLOOKUP($A159,'Data Vlaue (Cr)'!$C:$FB,46)*100</f>
        <v>-51.470000000000006</v>
      </c>
      <c r="J159" s="51">
        <f>VLOOKUP($A159,'Data Vlaue (Cr)'!$C:$FB,59)</f>
        <v>310</v>
      </c>
      <c r="K159" s="51">
        <f>VLOOKUP($A159,'Data Vlaue (Cr)'!$C:$FB,60)</f>
        <v>655</v>
      </c>
      <c r="L159" s="51">
        <f>VLOOKUP($A159,'Data Vlaue (Cr)'!$C:$FB,62)*100</f>
        <v>-52.629999999999995</v>
      </c>
      <c r="M159" s="51">
        <f>VLOOKUP($A159,'Data Vlaue (Cr)'!$C:$FB,63)</f>
        <v>142</v>
      </c>
      <c r="N159" s="51">
        <f>VLOOKUP($A159,'Data Vlaue (Cr)'!$C:$FB,64)</f>
        <v>152</v>
      </c>
      <c r="O159" s="51">
        <f>VLOOKUP($A159,'Data Vlaue (Cr)'!$C:$FB,66)*100</f>
        <v>-7.0499999999999989</v>
      </c>
    </row>
    <row r="160" spans="1:15" x14ac:dyDescent="0.25">
      <c r="A160" s="101" t="str">
        <f>'Data Vlaue (Cr)'!C155</f>
        <v>PFC</v>
      </c>
      <c r="B160" s="50">
        <f>VLOOKUP($A160,'Data Vlaue (Cr)'!$C:$FB,8)</f>
        <v>415.85</v>
      </c>
      <c r="C160" s="50">
        <f>VLOOKUP($A160,'Data Vlaue (Cr)'!$C:$FB,11)*100</f>
        <v>0.63</v>
      </c>
      <c r="D160" s="50">
        <f>VLOOKUP($A160,'Data Vlaue (Cr)'!$C:$FB,143)</f>
        <v>2064.9499999999998</v>
      </c>
      <c r="E160" s="50">
        <f>VLOOKUP($A160,'Data Vlaue (Cr)'!$C:$FB,144)</f>
        <v>3214.95</v>
      </c>
      <c r="F160" s="50">
        <f>VLOOKUP($A160,'Data Vlaue (Cr)'!$C:$FB,146)*100</f>
        <v>-35.770000000000003</v>
      </c>
      <c r="G160" s="49">
        <f>VLOOKUP($A160,'Data Vlaue (Cr)'!$C:$FB,43)</f>
        <v>365</v>
      </c>
      <c r="H160" s="49">
        <f>VLOOKUP($A160,'Data Vlaue (Cr)'!$C:$FB,44)</f>
        <v>593</v>
      </c>
      <c r="I160" s="49">
        <f>VLOOKUP($A160,'Data Vlaue (Cr)'!$C:$FB,46)*100</f>
        <v>-38.58</v>
      </c>
      <c r="J160" s="51">
        <f>VLOOKUP($A160,'Data Vlaue (Cr)'!$C:$FB,59)</f>
        <v>1110</v>
      </c>
      <c r="K160" s="51">
        <f>VLOOKUP($A160,'Data Vlaue (Cr)'!$C:$FB,60)</f>
        <v>1706</v>
      </c>
      <c r="L160" s="51">
        <f>VLOOKUP($A160,'Data Vlaue (Cr)'!$C:$FB,62)*100</f>
        <v>-34.96</v>
      </c>
      <c r="M160" s="51">
        <f>VLOOKUP($A160,'Data Vlaue (Cr)'!$C:$FB,63)</f>
        <v>560</v>
      </c>
      <c r="N160" s="51">
        <f>VLOOKUP($A160,'Data Vlaue (Cr)'!$C:$FB,64)</f>
        <v>866</v>
      </c>
      <c r="O160" s="51">
        <f>VLOOKUP($A160,'Data Vlaue (Cr)'!$C:$FB,66)*100</f>
        <v>-35.35</v>
      </c>
    </row>
    <row r="161" spans="1:15" x14ac:dyDescent="0.25">
      <c r="A161" s="101" t="str">
        <f>'Data Vlaue (Cr)'!C156</f>
        <v>PGEL</v>
      </c>
      <c r="B161" s="50">
        <f>VLOOKUP($A161,'Data Vlaue (Cr)'!$C:$FB,8)</f>
        <v>617.75</v>
      </c>
      <c r="C161" s="50">
        <f>VLOOKUP($A161,'Data Vlaue (Cr)'!$C:$FB,11)*100</f>
        <v>2.65</v>
      </c>
      <c r="D161" s="50">
        <f>VLOOKUP($A161,'Data Vlaue (Cr)'!$C:$FB,143)</f>
        <v>2130.0100000000002</v>
      </c>
      <c r="E161" s="50">
        <f>VLOOKUP($A161,'Data Vlaue (Cr)'!$C:$FB,144)</f>
        <v>2873.44</v>
      </c>
      <c r="F161" s="50">
        <f>VLOOKUP($A161,'Data Vlaue (Cr)'!$C:$FB,146)*100</f>
        <v>-25.869999999999997</v>
      </c>
      <c r="G161" s="49">
        <f>VLOOKUP($A161,'Data Vlaue (Cr)'!$C:$FB,43)</f>
        <v>276</v>
      </c>
      <c r="H161" s="49">
        <f>VLOOKUP($A161,'Data Vlaue (Cr)'!$C:$FB,44)</f>
        <v>320</v>
      </c>
      <c r="I161" s="49">
        <f>VLOOKUP($A161,'Data Vlaue (Cr)'!$C:$FB,46)*100</f>
        <v>-13.76</v>
      </c>
      <c r="J161" s="51">
        <f>VLOOKUP($A161,'Data Vlaue (Cr)'!$C:$FB,59)</f>
        <v>1286</v>
      </c>
      <c r="K161" s="51">
        <f>VLOOKUP($A161,'Data Vlaue (Cr)'!$C:$FB,60)</f>
        <v>1924</v>
      </c>
      <c r="L161" s="51">
        <f>VLOOKUP($A161,'Data Vlaue (Cr)'!$C:$FB,62)*100</f>
        <v>-33.129999999999995</v>
      </c>
      <c r="M161" s="51">
        <f>VLOOKUP($A161,'Data Vlaue (Cr)'!$C:$FB,63)</f>
        <v>532</v>
      </c>
      <c r="N161" s="51">
        <f>VLOOKUP($A161,'Data Vlaue (Cr)'!$C:$FB,64)</f>
        <v>608</v>
      </c>
      <c r="O161" s="51">
        <f>VLOOKUP($A161,'Data Vlaue (Cr)'!$C:$FB,66)*100</f>
        <v>-12.43</v>
      </c>
    </row>
    <row r="162" spans="1:15" x14ac:dyDescent="0.25">
      <c r="A162" s="101" t="str">
        <f>'Data Vlaue (Cr)'!C157</f>
        <v>PHOENIXLTD</v>
      </c>
      <c r="B162" s="50">
        <f>VLOOKUP($A162,'Data Vlaue (Cr)'!$C:$FB,8)</f>
        <v>1784</v>
      </c>
      <c r="C162" s="50">
        <f>VLOOKUP($A162,'Data Vlaue (Cr)'!$C:$FB,11)*100</f>
        <v>1.44</v>
      </c>
      <c r="D162" s="50">
        <f>VLOOKUP($A162,'Data Vlaue (Cr)'!$C:$FB,143)</f>
        <v>1161.72</v>
      </c>
      <c r="E162" s="50">
        <f>VLOOKUP($A162,'Data Vlaue (Cr)'!$C:$FB,144)</f>
        <v>422.69</v>
      </c>
      <c r="F162" s="50">
        <f>VLOOKUP($A162,'Data Vlaue (Cr)'!$C:$FB,146)*100</f>
        <v>174.84</v>
      </c>
      <c r="G162" s="49">
        <f>VLOOKUP($A162,'Data Vlaue (Cr)'!$C:$FB,43)</f>
        <v>113</v>
      </c>
      <c r="H162" s="49">
        <f>VLOOKUP($A162,'Data Vlaue (Cr)'!$C:$FB,44)</f>
        <v>46</v>
      </c>
      <c r="I162" s="49">
        <f>VLOOKUP($A162,'Data Vlaue (Cr)'!$C:$FB,46)*100</f>
        <v>143.05000000000001</v>
      </c>
      <c r="J162" s="51">
        <f>VLOOKUP($A162,'Data Vlaue (Cr)'!$C:$FB,59)</f>
        <v>668</v>
      </c>
      <c r="K162" s="51">
        <f>VLOOKUP($A162,'Data Vlaue (Cr)'!$C:$FB,60)</f>
        <v>259</v>
      </c>
      <c r="L162" s="51">
        <f>VLOOKUP($A162,'Data Vlaue (Cr)'!$C:$FB,62)*100</f>
        <v>157.6</v>
      </c>
      <c r="M162" s="51">
        <f>VLOOKUP($A162,'Data Vlaue (Cr)'!$C:$FB,63)</f>
        <v>368</v>
      </c>
      <c r="N162" s="51">
        <f>VLOOKUP($A162,'Data Vlaue (Cr)'!$C:$FB,64)</f>
        <v>115</v>
      </c>
      <c r="O162" s="51">
        <f>VLOOKUP($A162,'Data Vlaue (Cr)'!$C:$FB,66)*100</f>
        <v>219.70999999999998</v>
      </c>
    </row>
    <row r="163" spans="1:15" x14ac:dyDescent="0.25">
      <c r="A163" s="101" t="str">
        <f>'Data Vlaue (Cr)'!C158</f>
        <v>PIDILITIND</v>
      </c>
      <c r="B163" s="50">
        <f>VLOOKUP($A163,'Data Vlaue (Cr)'!$C:$FB,8)</f>
        <v>1480.1</v>
      </c>
      <c r="C163" s="50">
        <f>VLOOKUP($A163,'Data Vlaue (Cr)'!$C:$FB,11)*100</f>
        <v>0.08</v>
      </c>
      <c r="D163" s="50">
        <f>VLOOKUP($A163,'Data Vlaue (Cr)'!$C:$FB,143)</f>
        <v>509.95</v>
      </c>
      <c r="E163" s="50">
        <f>VLOOKUP($A163,'Data Vlaue (Cr)'!$C:$FB,144)</f>
        <v>431.07</v>
      </c>
      <c r="F163" s="50">
        <f>VLOOKUP($A163,'Data Vlaue (Cr)'!$C:$FB,146)*100</f>
        <v>18.3</v>
      </c>
      <c r="G163" s="49">
        <f>VLOOKUP($A163,'Data Vlaue (Cr)'!$C:$FB,43)</f>
        <v>156</v>
      </c>
      <c r="H163" s="49">
        <f>VLOOKUP($A163,'Data Vlaue (Cr)'!$C:$FB,44)</f>
        <v>111</v>
      </c>
      <c r="I163" s="49">
        <f>VLOOKUP($A163,'Data Vlaue (Cr)'!$C:$FB,46)*100</f>
        <v>40.479999999999997</v>
      </c>
      <c r="J163" s="51">
        <f>VLOOKUP($A163,'Data Vlaue (Cr)'!$C:$FB,59)</f>
        <v>246</v>
      </c>
      <c r="K163" s="51">
        <f>VLOOKUP($A163,'Data Vlaue (Cr)'!$C:$FB,60)</f>
        <v>197</v>
      </c>
      <c r="L163" s="51">
        <f>VLOOKUP($A163,'Data Vlaue (Cr)'!$C:$FB,62)*100</f>
        <v>25.1</v>
      </c>
      <c r="M163" s="51">
        <f>VLOOKUP($A163,'Data Vlaue (Cr)'!$C:$FB,63)</f>
        <v>102</v>
      </c>
      <c r="N163" s="51">
        <f>VLOOKUP($A163,'Data Vlaue (Cr)'!$C:$FB,64)</f>
        <v>120</v>
      </c>
      <c r="O163" s="51">
        <f>VLOOKUP($A163,'Data Vlaue (Cr)'!$C:$FB,66)*100</f>
        <v>-14.78</v>
      </c>
    </row>
    <row r="164" spans="1:15" x14ac:dyDescent="0.25">
      <c r="A164" s="101" t="str">
        <f>'Data Vlaue (Cr)'!C159</f>
        <v>PIIND</v>
      </c>
      <c r="B164" s="50">
        <f>VLOOKUP($A164,'Data Vlaue (Cr)'!$C:$FB,8)</f>
        <v>3281.1</v>
      </c>
      <c r="C164" s="50">
        <f>VLOOKUP($A164,'Data Vlaue (Cr)'!$C:$FB,11)*100</f>
        <v>2.8400000000000003</v>
      </c>
      <c r="D164" s="50">
        <f>VLOOKUP($A164,'Data Vlaue (Cr)'!$C:$FB,143)</f>
        <v>3514.3</v>
      </c>
      <c r="E164" s="50">
        <f>VLOOKUP($A164,'Data Vlaue (Cr)'!$C:$FB,144)</f>
        <v>924.79</v>
      </c>
      <c r="F164" s="50">
        <f>VLOOKUP($A164,'Data Vlaue (Cr)'!$C:$FB,146)*100</f>
        <v>280.01</v>
      </c>
      <c r="G164" s="49">
        <f>VLOOKUP($A164,'Data Vlaue (Cr)'!$C:$FB,43)</f>
        <v>893</v>
      </c>
      <c r="H164" s="49">
        <f>VLOOKUP($A164,'Data Vlaue (Cr)'!$C:$FB,44)</f>
        <v>361</v>
      </c>
      <c r="I164" s="49">
        <f>VLOOKUP($A164,'Data Vlaue (Cr)'!$C:$FB,46)*100</f>
        <v>147.26999999999998</v>
      </c>
      <c r="J164" s="51">
        <f>VLOOKUP($A164,'Data Vlaue (Cr)'!$C:$FB,59)</f>
        <v>1575</v>
      </c>
      <c r="K164" s="51">
        <f>VLOOKUP($A164,'Data Vlaue (Cr)'!$C:$FB,60)</f>
        <v>319</v>
      </c>
      <c r="L164" s="51">
        <f>VLOOKUP($A164,'Data Vlaue (Cr)'!$C:$FB,62)*100</f>
        <v>393.37</v>
      </c>
      <c r="M164" s="51">
        <f>VLOOKUP($A164,'Data Vlaue (Cr)'!$C:$FB,63)</f>
        <v>1027</v>
      </c>
      <c r="N164" s="51">
        <f>VLOOKUP($A164,'Data Vlaue (Cr)'!$C:$FB,64)</f>
        <v>261</v>
      </c>
      <c r="O164" s="51">
        <f>VLOOKUP($A164,'Data Vlaue (Cr)'!$C:$FB,66)*100</f>
        <v>293.87</v>
      </c>
    </row>
    <row r="165" spans="1:15" x14ac:dyDescent="0.25">
      <c r="A165" s="101" t="str">
        <f>'Data Vlaue (Cr)'!C160</f>
        <v>PNB</v>
      </c>
      <c r="B165" s="50">
        <f>VLOOKUP($A165,'Data Vlaue (Cr)'!$C:$FB,8)</f>
        <v>122.91</v>
      </c>
      <c r="C165" s="50">
        <f>VLOOKUP($A165,'Data Vlaue (Cr)'!$C:$FB,11)*100</f>
        <v>-0.04</v>
      </c>
      <c r="D165" s="50">
        <f>VLOOKUP($A165,'Data Vlaue (Cr)'!$C:$FB,143)</f>
        <v>3257.39</v>
      </c>
      <c r="E165" s="50">
        <f>VLOOKUP($A165,'Data Vlaue (Cr)'!$C:$FB,144)</f>
        <v>1435.12</v>
      </c>
      <c r="F165" s="50">
        <f>VLOOKUP($A165,'Data Vlaue (Cr)'!$C:$FB,146)*100</f>
        <v>126.98</v>
      </c>
      <c r="G165" s="49">
        <f>VLOOKUP($A165,'Data Vlaue (Cr)'!$C:$FB,43)</f>
        <v>554</v>
      </c>
      <c r="H165" s="49">
        <f>VLOOKUP($A165,'Data Vlaue (Cr)'!$C:$FB,44)</f>
        <v>297</v>
      </c>
      <c r="I165" s="49">
        <f>VLOOKUP($A165,'Data Vlaue (Cr)'!$C:$FB,46)*100</f>
        <v>86.61</v>
      </c>
      <c r="J165" s="51">
        <f>VLOOKUP($A165,'Data Vlaue (Cr)'!$C:$FB,59)</f>
        <v>1793</v>
      </c>
      <c r="K165" s="51">
        <f>VLOOKUP($A165,'Data Vlaue (Cr)'!$C:$FB,60)</f>
        <v>776</v>
      </c>
      <c r="L165" s="51">
        <f>VLOOKUP($A165,'Data Vlaue (Cr)'!$C:$FB,62)*100</f>
        <v>131.19</v>
      </c>
      <c r="M165" s="51">
        <f>VLOOKUP($A165,'Data Vlaue (Cr)'!$C:$FB,63)</f>
        <v>847</v>
      </c>
      <c r="N165" s="51">
        <f>VLOOKUP($A165,'Data Vlaue (Cr)'!$C:$FB,64)</f>
        <v>324</v>
      </c>
      <c r="O165" s="51">
        <f>VLOOKUP($A165,'Data Vlaue (Cr)'!$C:$FB,66)*100</f>
        <v>161.72999999999999</v>
      </c>
    </row>
    <row r="166" spans="1:15" x14ac:dyDescent="0.25">
      <c r="A166" s="101" t="str">
        <f>'Data Vlaue (Cr)'!C161</f>
        <v>PNBHOUSING</v>
      </c>
      <c r="B166" s="50">
        <f>VLOOKUP($A166,'Data Vlaue (Cr)'!$C:$FB,8)</f>
        <v>854.9</v>
      </c>
      <c r="C166" s="50">
        <f>VLOOKUP($A166,'Data Vlaue (Cr)'!$C:$FB,11)*100</f>
        <v>0.02</v>
      </c>
      <c r="D166" s="50">
        <f>VLOOKUP($A166,'Data Vlaue (Cr)'!$C:$FB,143)</f>
        <v>257.02999999999997</v>
      </c>
      <c r="E166" s="50">
        <f>VLOOKUP($A166,'Data Vlaue (Cr)'!$C:$FB,144)</f>
        <v>561.48</v>
      </c>
      <c r="F166" s="50">
        <f>VLOOKUP($A166,'Data Vlaue (Cr)'!$C:$FB,146)*100</f>
        <v>-54.22</v>
      </c>
      <c r="G166" s="49">
        <f>VLOOKUP($A166,'Data Vlaue (Cr)'!$C:$FB,43)</f>
        <v>106</v>
      </c>
      <c r="H166" s="49">
        <f>VLOOKUP($A166,'Data Vlaue (Cr)'!$C:$FB,44)</f>
        <v>178</v>
      </c>
      <c r="I166" s="49">
        <f>VLOOKUP($A166,'Data Vlaue (Cr)'!$C:$FB,46)*100</f>
        <v>-40.589999999999996</v>
      </c>
      <c r="J166" s="51">
        <f>VLOOKUP($A166,'Data Vlaue (Cr)'!$C:$FB,59)</f>
        <v>115</v>
      </c>
      <c r="K166" s="51">
        <f>VLOOKUP($A166,'Data Vlaue (Cr)'!$C:$FB,60)</f>
        <v>277</v>
      </c>
      <c r="L166" s="51">
        <f>VLOOKUP($A166,'Data Vlaue (Cr)'!$C:$FB,62)*100</f>
        <v>-58.489999999999995</v>
      </c>
      <c r="M166" s="51">
        <f>VLOOKUP($A166,'Data Vlaue (Cr)'!$C:$FB,63)</f>
        <v>31</v>
      </c>
      <c r="N166" s="51">
        <f>VLOOKUP($A166,'Data Vlaue (Cr)'!$C:$FB,64)</f>
        <v>93</v>
      </c>
      <c r="O166" s="51">
        <f>VLOOKUP($A166,'Data Vlaue (Cr)'!$C:$FB,66)*100</f>
        <v>-66.430000000000007</v>
      </c>
    </row>
    <row r="167" spans="1:15" x14ac:dyDescent="0.25">
      <c r="A167" s="101" t="str">
        <f>'Data Vlaue (Cr)'!C162</f>
        <v>POLICYBZR</v>
      </c>
      <c r="B167" s="50">
        <f>VLOOKUP($A167,'Data Vlaue (Cr)'!$C:$FB,8)</f>
        <v>1554.6</v>
      </c>
      <c r="C167" s="50">
        <f>VLOOKUP($A167,'Data Vlaue (Cr)'!$C:$FB,11)*100</f>
        <v>3.32</v>
      </c>
      <c r="D167" s="50">
        <f>VLOOKUP($A167,'Data Vlaue (Cr)'!$C:$FB,143)</f>
        <v>1577.44</v>
      </c>
      <c r="E167" s="50">
        <f>VLOOKUP($A167,'Data Vlaue (Cr)'!$C:$FB,144)</f>
        <v>4062.39</v>
      </c>
      <c r="F167" s="50">
        <f>VLOOKUP($A167,'Data Vlaue (Cr)'!$C:$FB,146)*100</f>
        <v>-61.17</v>
      </c>
      <c r="G167" s="49">
        <f>VLOOKUP($A167,'Data Vlaue (Cr)'!$C:$FB,43)</f>
        <v>315</v>
      </c>
      <c r="H167" s="49">
        <f>VLOOKUP($A167,'Data Vlaue (Cr)'!$C:$FB,44)</f>
        <v>847</v>
      </c>
      <c r="I167" s="49">
        <f>VLOOKUP($A167,'Data Vlaue (Cr)'!$C:$FB,46)*100</f>
        <v>-62.839999999999996</v>
      </c>
      <c r="J167" s="51">
        <f>VLOOKUP($A167,'Data Vlaue (Cr)'!$C:$FB,59)</f>
        <v>867</v>
      </c>
      <c r="K167" s="51">
        <f>VLOOKUP($A167,'Data Vlaue (Cr)'!$C:$FB,60)</f>
        <v>1970</v>
      </c>
      <c r="L167" s="51">
        <f>VLOOKUP($A167,'Data Vlaue (Cr)'!$C:$FB,62)*100</f>
        <v>-55.98</v>
      </c>
      <c r="M167" s="51">
        <f>VLOOKUP($A167,'Data Vlaue (Cr)'!$C:$FB,63)</f>
        <v>364</v>
      </c>
      <c r="N167" s="51">
        <f>VLOOKUP($A167,'Data Vlaue (Cr)'!$C:$FB,64)</f>
        <v>1249</v>
      </c>
      <c r="O167" s="51">
        <f>VLOOKUP($A167,'Data Vlaue (Cr)'!$C:$FB,66)*100</f>
        <v>-70.850000000000009</v>
      </c>
    </row>
    <row r="168" spans="1:15" x14ac:dyDescent="0.25">
      <c r="A168" s="101" t="str">
        <f>'Data Vlaue (Cr)'!C163</f>
        <v>POLYCAB</v>
      </c>
      <c r="B168" s="50">
        <f>VLOOKUP($A168,'Data Vlaue (Cr)'!$C:$FB,8)</f>
        <v>7814</v>
      </c>
      <c r="C168" s="50">
        <f>VLOOKUP($A168,'Data Vlaue (Cr)'!$C:$FB,11)*100</f>
        <v>0.91999999999999993</v>
      </c>
      <c r="D168" s="50">
        <f>VLOOKUP($A168,'Data Vlaue (Cr)'!$C:$FB,143)</f>
        <v>1360.79</v>
      </c>
      <c r="E168" s="50">
        <f>VLOOKUP($A168,'Data Vlaue (Cr)'!$C:$FB,144)</f>
        <v>1490.02</v>
      </c>
      <c r="F168" s="50">
        <f>VLOOKUP($A168,'Data Vlaue (Cr)'!$C:$FB,146)*100</f>
        <v>-8.67</v>
      </c>
      <c r="G168" s="49">
        <f>VLOOKUP($A168,'Data Vlaue (Cr)'!$C:$FB,43)</f>
        <v>165</v>
      </c>
      <c r="H168" s="49">
        <f>VLOOKUP($A168,'Data Vlaue (Cr)'!$C:$FB,44)</f>
        <v>248</v>
      </c>
      <c r="I168" s="49">
        <f>VLOOKUP($A168,'Data Vlaue (Cr)'!$C:$FB,46)*100</f>
        <v>-33.410000000000004</v>
      </c>
      <c r="J168" s="51">
        <f>VLOOKUP($A168,'Data Vlaue (Cr)'!$C:$FB,59)</f>
        <v>715</v>
      </c>
      <c r="K168" s="51">
        <f>VLOOKUP($A168,'Data Vlaue (Cr)'!$C:$FB,60)</f>
        <v>719</v>
      </c>
      <c r="L168" s="51">
        <f>VLOOKUP($A168,'Data Vlaue (Cr)'!$C:$FB,62)*100</f>
        <v>-0.54</v>
      </c>
      <c r="M168" s="51">
        <f>VLOOKUP($A168,'Data Vlaue (Cr)'!$C:$FB,63)</f>
        <v>505</v>
      </c>
      <c r="N168" s="51">
        <f>VLOOKUP($A168,'Data Vlaue (Cr)'!$C:$FB,64)</f>
        <v>541</v>
      </c>
      <c r="O168" s="51">
        <f>VLOOKUP($A168,'Data Vlaue (Cr)'!$C:$FB,66)*100</f>
        <v>-6.72</v>
      </c>
    </row>
    <row r="169" spans="1:15" x14ac:dyDescent="0.25">
      <c r="A169" s="101" t="str">
        <f>'Data Vlaue (Cr)'!C164</f>
        <v>POWERGRID</v>
      </c>
      <c r="B169" s="50">
        <f>VLOOKUP($A169,'Data Vlaue (Cr)'!$C:$FB,8)</f>
        <v>294.45</v>
      </c>
      <c r="C169" s="50">
        <f>VLOOKUP($A169,'Data Vlaue (Cr)'!$C:$FB,11)*100</f>
        <v>0.03</v>
      </c>
      <c r="D169" s="50">
        <f>VLOOKUP($A169,'Data Vlaue (Cr)'!$C:$FB,143)</f>
        <v>2454.91</v>
      </c>
      <c r="E169" s="50">
        <f>VLOOKUP($A169,'Data Vlaue (Cr)'!$C:$FB,144)</f>
        <v>3447.29</v>
      </c>
      <c r="F169" s="50">
        <f>VLOOKUP($A169,'Data Vlaue (Cr)'!$C:$FB,146)*100</f>
        <v>-28.79</v>
      </c>
      <c r="G169" s="49">
        <f>VLOOKUP($A169,'Data Vlaue (Cr)'!$C:$FB,43)</f>
        <v>262</v>
      </c>
      <c r="H169" s="49">
        <f>VLOOKUP($A169,'Data Vlaue (Cr)'!$C:$FB,44)</f>
        <v>341</v>
      </c>
      <c r="I169" s="49">
        <f>VLOOKUP($A169,'Data Vlaue (Cr)'!$C:$FB,46)*100</f>
        <v>-23.26</v>
      </c>
      <c r="J169" s="51">
        <f>VLOOKUP($A169,'Data Vlaue (Cr)'!$C:$FB,59)</f>
        <v>1493</v>
      </c>
      <c r="K169" s="51">
        <f>VLOOKUP($A169,'Data Vlaue (Cr)'!$C:$FB,60)</f>
        <v>2172</v>
      </c>
      <c r="L169" s="51">
        <f>VLOOKUP($A169,'Data Vlaue (Cr)'!$C:$FB,62)*100</f>
        <v>-31.259999999999998</v>
      </c>
      <c r="M169" s="51">
        <f>VLOOKUP($A169,'Data Vlaue (Cr)'!$C:$FB,63)</f>
        <v>676</v>
      </c>
      <c r="N169" s="51">
        <f>VLOOKUP($A169,'Data Vlaue (Cr)'!$C:$FB,64)</f>
        <v>913</v>
      </c>
      <c r="O169" s="51">
        <f>VLOOKUP($A169,'Data Vlaue (Cr)'!$C:$FB,66)*100</f>
        <v>-25.900000000000002</v>
      </c>
    </row>
    <row r="170" spans="1:15" x14ac:dyDescent="0.25">
      <c r="A170" s="101" t="str">
        <f>'Data Vlaue (Cr)'!C165</f>
        <v>POWERINDIA</v>
      </c>
      <c r="B170" s="50">
        <f>VLOOKUP($A170,'Data Vlaue (Cr)'!$C:$FB,8)</f>
        <v>22731</v>
      </c>
      <c r="C170" s="50">
        <f>VLOOKUP($A170,'Data Vlaue (Cr)'!$C:$FB,11)*100</f>
        <v>1.22</v>
      </c>
      <c r="D170" s="50">
        <f>VLOOKUP($A170,'Data Vlaue (Cr)'!$C:$FB,143)</f>
        <v>1372.18</v>
      </c>
      <c r="E170" s="50">
        <f>VLOOKUP($A170,'Data Vlaue (Cr)'!$C:$FB,144)</f>
        <v>1604.47</v>
      </c>
      <c r="F170" s="50">
        <f>VLOOKUP($A170,'Data Vlaue (Cr)'!$C:$FB,146)*100</f>
        <v>-14.48</v>
      </c>
      <c r="G170" s="49">
        <f>VLOOKUP($A170,'Data Vlaue (Cr)'!$C:$FB,43)</f>
        <v>183</v>
      </c>
      <c r="H170" s="49">
        <f>VLOOKUP($A170,'Data Vlaue (Cr)'!$C:$FB,44)</f>
        <v>205</v>
      </c>
      <c r="I170" s="49">
        <f>VLOOKUP($A170,'Data Vlaue (Cr)'!$C:$FB,46)*100</f>
        <v>-10.81</v>
      </c>
      <c r="J170" s="51">
        <f>VLOOKUP($A170,'Data Vlaue (Cr)'!$C:$FB,59)</f>
        <v>733</v>
      </c>
      <c r="K170" s="51">
        <f>VLOOKUP($A170,'Data Vlaue (Cr)'!$C:$FB,60)</f>
        <v>678</v>
      </c>
      <c r="L170" s="51">
        <f>VLOOKUP($A170,'Data Vlaue (Cr)'!$C:$FB,62)*100</f>
        <v>8.1100000000000012</v>
      </c>
      <c r="M170" s="51">
        <f>VLOOKUP($A170,'Data Vlaue (Cr)'!$C:$FB,63)</f>
        <v>458</v>
      </c>
      <c r="N170" s="51">
        <f>VLOOKUP($A170,'Data Vlaue (Cr)'!$C:$FB,64)</f>
        <v>803</v>
      </c>
      <c r="O170" s="51">
        <f>VLOOKUP($A170,'Data Vlaue (Cr)'!$C:$FB,66)*100</f>
        <v>-42.9</v>
      </c>
    </row>
    <row r="171" spans="1:15" x14ac:dyDescent="0.25">
      <c r="A171" s="101" t="str">
        <f>'Data Vlaue (Cr)'!C166</f>
        <v>PPLPHARMA</v>
      </c>
      <c r="B171" s="50">
        <f>VLOOKUP($A171,'Data Vlaue (Cr)'!$C:$FB,8)</f>
        <v>164.36</v>
      </c>
      <c r="C171" s="50">
        <f>VLOOKUP($A171,'Data Vlaue (Cr)'!$C:$FB,11)*100</f>
        <v>0.57999999999999996</v>
      </c>
      <c r="D171" s="50">
        <f>VLOOKUP($A171,'Data Vlaue (Cr)'!$C:$FB,143)</f>
        <v>164.38</v>
      </c>
      <c r="E171" s="50">
        <f>VLOOKUP($A171,'Data Vlaue (Cr)'!$C:$FB,144)</f>
        <v>389.4</v>
      </c>
      <c r="F171" s="50">
        <f>VLOOKUP($A171,'Data Vlaue (Cr)'!$C:$FB,146)*100</f>
        <v>-57.79</v>
      </c>
      <c r="G171" s="49">
        <f>VLOOKUP($A171,'Data Vlaue (Cr)'!$C:$FB,43)</f>
        <v>74</v>
      </c>
      <c r="H171" s="49">
        <f>VLOOKUP($A171,'Data Vlaue (Cr)'!$C:$FB,44)</f>
        <v>109</v>
      </c>
      <c r="I171" s="49">
        <f>VLOOKUP($A171,'Data Vlaue (Cr)'!$C:$FB,46)*100</f>
        <v>-32.119999999999997</v>
      </c>
      <c r="J171" s="51">
        <f>VLOOKUP($A171,'Data Vlaue (Cr)'!$C:$FB,59)</f>
        <v>69</v>
      </c>
      <c r="K171" s="51">
        <f>VLOOKUP($A171,'Data Vlaue (Cr)'!$C:$FB,60)</f>
        <v>204</v>
      </c>
      <c r="L171" s="51">
        <f>VLOOKUP($A171,'Data Vlaue (Cr)'!$C:$FB,62)*100</f>
        <v>-66.36</v>
      </c>
      <c r="M171" s="51">
        <f>VLOOKUP($A171,'Data Vlaue (Cr)'!$C:$FB,63)</f>
        <v>19</v>
      </c>
      <c r="N171" s="51">
        <f>VLOOKUP($A171,'Data Vlaue (Cr)'!$C:$FB,64)</f>
        <v>70</v>
      </c>
      <c r="O171" s="51">
        <f>VLOOKUP($A171,'Data Vlaue (Cr)'!$C:$FB,66)*100</f>
        <v>-72.38</v>
      </c>
    </row>
    <row r="172" spans="1:15" x14ac:dyDescent="0.25">
      <c r="A172" s="101" t="str">
        <f>'Data Vlaue (Cr)'!C167</f>
        <v>PREMIERENE</v>
      </c>
      <c r="B172" s="50">
        <f>VLOOKUP($A172,'Data Vlaue (Cr)'!$C:$FB,8)</f>
        <v>780.65</v>
      </c>
      <c r="C172" s="50">
        <f>VLOOKUP($A172,'Data Vlaue (Cr)'!$C:$FB,11)*100</f>
        <v>-5.24</v>
      </c>
      <c r="D172" s="50">
        <f>VLOOKUP($A172,'Data Vlaue (Cr)'!$C:$FB,143)</f>
        <v>1790.13</v>
      </c>
      <c r="E172" s="50">
        <f>VLOOKUP($A172,'Data Vlaue (Cr)'!$C:$FB,144)</f>
        <v>1011.77</v>
      </c>
      <c r="F172" s="50">
        <f>VLOOKUP($A172,'Data Vlaue (Cr)'!$C:$FB,146)*100</f>
        <v>76.929999999999993</v>
      </c>
      <c r="G172" s="49">
        <f>VLOOKUP($A172,'Data Vlaue (Cr)'!$C:$FB,43)</f>
        <v>340</v>
      </c>
      <c r="H172" s="49">
        <f>VLOOKUP($A172,'Data Vlaue (Cr)'!$C:$FB,44)</f>
        <v>204</v>
      </c>
      <c r="I172" s="49">
        <f>VLOOKUP($A172,'Data Vlaue (Cr)'!$C:$FB,46)*100</f>
        <v>66.56</v>
      </c>
      <c r="J172" s="51">
        <f>VLOOKUP($A172,'Data Vlaue (Cr)'!$C:$FB,59)</f>
        <v>854</v>
      </c>
      <c r="K172" s="51">
        <f>VLOOKUP($A172,'Data Vlaue (Cr)'!$C:$FB,60)</f>
        <v>577</v>
      </c>
      <c r="L172" s="51">
        <f>VLOOKUP($A172,'Data Vlaue (Cr)'!$C:$FB,62)*100</f>
        <v>47.9</v>
      </c>
      <c r="M172" s="51">
        <f>VLOOKUP($A172,'Data Vlaue (Cr)'!$C:$FB,63)</f>
        <v>500</v>
      </c>
      <c r="N172" s="51">
        <f>VLOOKUP($A172,'Data Vlaue (Cr)'!$C:$FB,64)</f>
        <v>143</v>
      </c>
      <c r="O172" s="51">
        <f>VLOOKUP($A172,'Data Vlaue (Cr)'!$C:$FB,66)*100</f>
        <v>249.82999999999998</v>
      </c>
    </row>
    <row r="173" spans="1:15" x14ac:dyDescent="0.25">
      <c r="A173" s="101" t="str">
        <f>'Data Vlaue (Cr)'!C168</f>
        <v>PRESTIGE</v>
      </c>
      <c r="B173" s="50">
        <f>VLOOKUP($A173,'Data Vlaue (Cr)'!$C:$FB,8)</f>
        <v>1597.5</v>
      </c>
      <c r="C173" s="50">
        <f>VLOOKUP($A173,'Data Vlaue (Cr)'!$C:$FB,11)*100</f>
        <v>0.36</v>
      </c>
      <c r="D173" s="50">
        <f>VLOOKUP($A173,'Data Vlaue (Cr)'!$C:$FB,143)</f>
        <v>412.58</v>
      </c>
      <c r="E173" s="50">
        <f>VLOOKUP($A173,'Data Vlaue (Cr)'!$C:$FB,144)</f>
        <v>314.13</v>
      </c>
      <c r="F173" s="50">
        <f>VLOOKUP($A173,'Data Vlaue (Cr)'!$C:$FB,146)*100</f>
        <v>31.34</v>
      </c>
      <c r="G173" s="49">
        <f>VLOOKUP($A173,'Data Vlaue (Cr)'!$C:$FB,43)</f>
        <v>122</v>
      </c>
      <c r="H173" s="49">
        <f>VLOOKUP($A173,'Data Vlaue (Cr)'!$C:$FB,44)</f>
        <v>66</v>
      </c>
      <c r="I173" s="49">
        <f>VLOOKUP($A173,'Data Vlaue (Cr)'!$C:$FB,46)*100</f>
        <v>83.12</v>
      </c>
      <c r="J173" s="51">
        <f>VLOOKUP($A173,'Data Vlaue (Cr)'!$C:$FB,59)</f>
        <v>227</v>
      </c>
      <c r="K173" s="51">
        <f>VLOOKUP($A173,'Data Vlaue (Cr)'!$C:$FB,60)</f>
        <v>184</v>
      </c>
      <c r="L173" s="51">
        <f>VLOOKUP($A173,'Data Vlaue (Cr)'!$C:$FB,62)*100</f>
        <v>23.65</v>
      </c>
      <c r="M173" s="51">
        <f>VLOOKUP($A173,'Data Vlaue (Cr)'!$C:$FB,63)</f>
        <v>59</v>
      </c>
      <c r="N173" s="51">
        <f>VLOOKUP($A173,'Data Vlaue (Cr)'!$C:$FB,64)</f>
        <v>62</v>
      </c>
      <c r="O173" s="51">
        <f>VLOOKUP($A173,'Data Vlaue (Cr)'!$C:$FB,66)*100</f>
        <v>-5.43</v>
      </c>
    </row>
    <row r="174" spans="1:15" x14ac:dyDescent="0.25">
      <c r="A174" s="101" t="str">
        <f>'Data Vlaue (Cr)'!C169</f>
        <v>RBLBANK</v>
      </c>
      <c r="B174" s="50">
        <f>VLOOKUP($A174,'Data Vlaue (Cr)'!$C:$FB,8)</f>
        <v>308.8</v>
      </c>
      <c r="C174" s="50">
        <f>VLOOKUP($A174,'Data Vlaue (Cr)'!$C:$FB,11)*100</f>
        <v>0.67999999999999994</v>
      </c>
      <c r="D174" s="50">
        <f>VLOOKUP($A174,'Data Vlaue (Cr)'!$C:$FB,143)</f>
        <v>851.87</v>
      </c>
      <c r="E174" s="50">
        <f>VLOOKUP($A174,'Data Vlaue (Cr)'!$C:$FB,144)</f>
        <v>751.23</v>
      </c>
      <c r="F174" s="50">
        <f>VLOOKUP($A174,'Data Vlaue (Cr)'!$C:$FB,146)*100</f>
        <v>13.4</v>
      </c>
      <c r="G174" s="49">
        <f>VLOOKUP($A174,'Data Vlaue (Cr)'!$C:$FB,43)</f>
        <v>239</v>
      </c>
      <c r="H174" s="49">
        <f>VLOOKUP($A174,'Data Vlaue (Cr)'!$C:$FB,44)</f>
        <v>241</v>
      </c>
      <c r="I174" s="49">
        <f>VLOOKUP($A174,'Data Vlaue (Cr)'!$C:$FB,46)*100</f>
        <v>-0.92999999999999994</v>
      </c>
      <c r="J174" s="51">
        <f>VLOOKUP($A174,'Data Vlaue (Cr)'!$C:$FB,59)</f>
        <v>441</v>
      </c>
      <c r="K174" s="51">
        <f>VLOOKUP($A174,'Data Vlaue (Cr)'!$C:$FB,60)</f>
        <v>371</v>
      </c>
      <c r="L174" s="51">
        <f>VLOOKUP($A174,'Data Vlaue (Cr)'!$C:$FB,62)*100</f>
        <v>18.88</v>
      </c>
      <c r="M174" s="51">
        <f>VLOOKUP($A174,'Data Vlaue (Cr)'!$C:$FB,63)</f>
        <v>161</v>
      </c>
      <c r="N174" s="51">
        <f>VLOOKUP($A174,'Data Vlaue (Cr)'!$C:$FB,64)</f>
        <v>128</v>
      </c>
      <c r="O174" s="51">
        <f>VLOOKUP($A174,'Data Vlaue (Cr)'!$C:$FB,66)*100</f>
        <v>25.669999999999998</v>
      </c>
    </row>
    <row r="175" spans="1:15" x14ac:dyDescent="0.25">
      <c r="A175" s="101" t="str">
        <f>'Data Vlaue (Cr)'!C170</f>
        <v>RECLTD</v>
      </c>
      <c r="B175" s="50">
        <f>VLOOKUP($A175,'Data Vlaue (Cr)'!$C:$FB,8)</f>
        <v>353.95</v>
      </c>
      <c r="C175" s="50">
        <f>VLOOKUP($A175,'Data Vlaue (Cr)'!$C:$FB,11)*100</f>
        <v>-0.52</v>
      </c>
      <c r="D175" s="50">
        <f>VLOOKUP($A175,'Data Vlaue (Cr)'!$C:$FB,143)</f>
        <v>2309.64</v>
      </c>
      <c r="E175" s="50">
        <f>VLOOKUP($A175,'Data Vlaue (Cr)'!$C:$FB,144)</f>
        <v>2556.6</v>
      </c>
      <c r="F175" s="50">
        <f>VLOOKUP($A175,'Data Vlaue (Cr)'!$C:$FB,146)*100</f>
        <v>-9.66</v>
      </c>
      <c r="G175" s="49">
        <f>VLOOKUP($A175,'Data Vlaue (Cr)'!$C:$FB,43)</f>
        <v>435</v>
      </c>
      <c r="H175" s="49">
        <f>VLOOKUP($A175,'Data Vlaue (Cr)'!$C:$FB,44)</f>
        <v>432</v>
      </c>
      <c r="I175" s="49">
        <f>VLOOKUP($A175,'Data Vlaue (Cr)'!$C:$FB,46)*100</f>
        <v>0.73</v>
      </c>
      <c r="J175" s="51">
        <f>VLOOKUP($A175,'Data Vlaue (Cr)'!$C:$FB,59)</f>
        <v>1351</v>
      </c>
      <c r="K175" s="51">
        <f>VLOOKUP($A175,'Data Vlaue (Cr)'!$C:$FB,60)</f>
        <v>1511</v>
      </c>
      <c r="L175" s="51">
        <f>VLOOKUP($A175,'Data Vlaue (Cr)'!$C:$FB,62)*100</f>
        <v>-10.61</v>
      </c>
      <c r="M175" s="51">
        <f>VLOOKUP($A175,'Data Vlaue (Cr)'!$C:$FB,63)</f>
        <v>425</v>
      </c>
      <c r="N175" s="51">
        <f>VLOOKUP($A175,'Data Vlaue (Cr)'!$C:$FB,64)</f>
        <v>499</v>
      </c>
      <c r="O175" s="51">
        <f>VLOOKUP($A175,'Data Vlaue (Cr)'!$C:$FB,66)*100</f>
        <v>-14.680000000000001</v>
      </c>
    </row>
    <row r="176" spans="1:15" x14ac:dyDescent="0.25">
      <c r="A176" s="101" t="str">
        <f>'Data Vlaue (Cr)'!C171</f>
        <v>RELIANCE</v>
      </c>
      <c r="B176" s="50">
        <f>VLOOKUP($A176,'Data Vlaue (Cr)'!$C:$FB,8)</f>
        <v>1468.7</v>
      </c>
      <c r="C176" s="50">
        <f>VLOOKUP($A176,'Data Vlaue (Cr)'!$C:$FB,11)*100</f>
        <v>0.70000000000000007</v>
      </c>
      <c r="D176" s="50">
        <f>VLOOKUP($A176,'Data Vlaue (Cr)'!$C:$FB,143)</f>
        <v>10323.02</v>
      </c>
      <c r="E176" s="50">
        <f>VLOOKUP($A176,'Data Vlaue (Cr)'!$C:$FB,144)</f>
        <v>9345.77</v>
      </c>
      <c r="F176" s="50">
        <f>VLOOKUP($A176,'Data Vlaue (Cr)'!$C:$FB,146)*100</f>
        <v>10.459999999999999</v>
      </c>
      <c r="G176" s="49">
        <f>VLOOKUP($A176,'Data Vlaue (Cr)'!$C:$FB,43)</f>
        <v>1066</v>
      </c>
      <c r="H176" s="49">
        <f>VLOOKUP($A176,'Data Vlaue (Cr)'!$C:$FB,44)</f>
        <v>860</v>
      </c>
      <c r="I176" s="49">
        <f>VLOOKUP($A176,'Data Vlaue (Cr)'!$C:$FB,46)*100</f>
        <v>24.07</v>
      </c>
      <c r="J176" s="51">
        <f>VLOOKUP($A176,'Data Vlaue (Cr)'!$C:$FB,59)</f>
        <v>5677</v>
      </c>
      <c r="K176" s="51">
        <f>VLOOKUP($A176,'Data Vlaue (Cr)'!$C:$FB,60)</f>
        <v>4913</v>
      </c>
      <c r="L176" s="51">
        <f>VLOOKUP($A176,'Data Vlaue (Cr)'!$C:$FB,62)*100</f>
        <v>15.55</v>
      </c>
      <c r="M176" s="51">
        <f>VLOOKUP($A176,'Data Vlaue (Cr)'!$C:$FB,63)</f>
        <v>3508</v>
      </c>
      <c r="N176" s="51">
        <f>VLOOKUP($A176,'Data Vlaue (Cr)'!$C:$FB,64)</f>
        <v>3533</v>
      </c>
      <c r="O176" s="51">
        <f>VLOOKUP($A176,'Data Vlaue (Cr)'!$C:$FB,66)*100</f>
        <v>-0.73</v>
      </c>
    </row>
    <row r="177" spans="1:15" x14ac:dyDescent="0.25">
      <c r="A177" s="101" t="str">
        <f>'Data Vlaue (Cr)'!C172</f>
        <v>RVNL</v>
      </c>
      <c r="B177" s="50">
        <f>VLOOKUP($A177,'Data Vlaue (Cr)'!$C:$FB,8)</f>
        <v>316.55</v>
      </c>
      <c r="C177" s="50">
        <f>VLOOKUP($A177,'Data Vlaue (Cr)'!$C:$FB,11)*100</f>
        <v>-0.91</v>
      </c>
      <c r="D177" s="50">
        <f>VLOOKUP($A177,'Data Vlaue (Cr)'!$C:$FB,143)</f>
        <v>1514.88</v>
      </c>
      <c r="E177" s="50">
        <f>VLOOKUP($A177,'Data Vlaue (Cr)'!$C:$FB,144)</f>
        <v>3274.72</v>
      </c>
      <c r="F177" s="50">
        <f>VLOOKUP($A177,'Data Vlaue (Cr)'!$C:$FB,146)*100</f>
        <v>-53.74</v>
      </c>
      <c r="G177" s="49">
        <f>VLOOKUP($A177,'Data Vlaue (Cr)'!$C:$FB,43)</f>
        <v>322</v>
      </c>
      <c r="H177" s="49">
        <f>VLOOKUP($A177,'Data Vlaue (Cr)'!$C:$FB,44)</f>
        <v>660</v>
      </c>
      <c r="I177" s="49">
        <f>VLOOKUP($A177,'Data Vlaue (Cr)'!$C:$FB,46)*100</f>
        <v>-51.27</v>
      </c>
      <c r="J177" s="51">
        <f>VLOOKUP($A177,'Data Vlaue (Cr)'!$C:$FB,59)</f>
        <v>895</v>
      </c>
      <c r="K177" s="51">
        <f>VLOOKUP($A177,'Data Vlaue (Cr)'!$C:$FB,60)</f>
        <v>1909</v>
      </c>
      <c r="L177" s="51">
        <f>VLOOKUP($A177,'Data Vlaue (Cr)'!$C:$FB,62)*100</f>
        <v>-53.11</v>
      </c>
      <c r="M177" s="51">
        <f>VLOOKUP($A177,'Data Vlaue (Cr)'!$C:$FB,63)</f>
        <v>189</v>
      </c>
      <c r="N177" s="51">
        <f>VLOOKUP($A177,'Data Vlaue (Cr)'!$C:$FB,64)</f>
        <v>453</v>
      </c>
      <c r="O177" s="51">
        <f>VLOOKUP($A177,'Data Vlaue (Cr)'!$C:$FB,66)*100</f>
        <v>-58.19</v>
      </c>
    </row>
    <row r="178" spans="1:15" x14ac:dyDescent="0.25">
      <c r="A178" s="101" t="str">
        <f>'Data Vlaue (Cr)'!C173</f>
        <v>SAIL</v>
      </c>
      <c r="B178" s="50">
        <f>VLOOKUP($A178,'Data Vlaue (Cr)'!$C:$FB,8)</f>
        <v>162.12</v>
      </c>
      <c r="C178" s="50">
        <f>VLOOKUP($A178,'Data Vlaue (Cr)'!$C:$FB,11)*100</f>
        <v>0.70000000000000007</v>
      </c>
      <c r="D178" s="50">
        <f>VLOOKUP($A178,'Data Vlaue (Cr)'!$C:$FB,143)</f>
        <v>95.45</v>
      </c>
      <c r="E178" s="50">
        <f>VLOOKUP($A178,'Data Vlaue (Cr)'!$C:$FB,144)</f>
        <v>256.81</v>
      </c>
      <c r="F178" s="50">
        <f>VLOOKUP($A178,'Data Vlaue (Cr)'!$C:$FB,146)*100</f>
        <v>-62.83</v>
      </c>
      <c r="G178" s="49">
        <f>VLOOKUP($A178,'Data Vlaue (Cr)'!$C:$FB,43)</f>
        <v>43</v>
      </c>
      <c r="H178" s="49">
        <f>VLOOKUP($A178,'Data Vlaue (Cr)'!$C:$FB,44)</f>
        <v>148</v>
      </c>
      <c r="I178" s="49">
        <f>VLOOKUP($A178,'Data Vlaue (Cr)'!$C:$FB,46)*100</f>
        <v>-71.3</v>
      </c>
      <c r="J178" s="51">
        <f>VLOOKUP($A178,'Data Vlaue (Cr)'!$C:$FB,59)</f>
        <v>39</v>
      </c>
      <c r="K178" s="51">
        <f>VLOOKUP($A178,'Data Vlaue (Cr)'!$C:$FB,60)</f>
        <v>83</v>
      </c>
      <c r="L178" s="51">
        <f>VLOOKUP($A178,'Data Vlaue (Cr)'!$C:$FB,62)*100</f>
        <v>-53.23</v>
      </c>
      <c r="M178" s="51">
        <f>VLOOKUP($A178,'Data Vlaue (Cr)'!$C:$FB,63)</f>
        <v>14</v>
      </c>
      <c r="N178" s="51">
        <f>VLOOKUP($A178,'Data Vlaue (Cr)'!$C:$FB,64)</f>
        <v>27</v>
      </c>
      <c r="O178" s="51">
        <f>VLOOKUP($A178,'Data Vlaue (Cr)'!$C:$FB,66)*100</f>
        <v>-49.44</v>
      </c>
    </row>
    <row r="179" spans="1:15" x14ac:dyDescent="0.25">
      <c r="A179" s="101" t="str">
        <f>'Data Vlaue (Cr)'!C174</f>
        <v>SAMMAANCAP</v>
      </c>
      <c r="B179" s="50">
        <f>VLOOKUP($A179,'Data Vlaue (Cr)'!$C:$FB,8)</f>
        <v>148.35</v>
      </c>
      <c r="C179" s="50">
        <f>VLOOKUP($A179,'Data Vlaue (Cr)'!$C:$FB,11)*100</f>
        <v>0.76</v>
      </c>
      <c r="D179" s="50">
        <f>VLOOKUP($A179,'Data Vlaue (Cr)'!$C:$FB,143)</f>
        <v>11.48</v>
      </c>
      <c r="E179" s="50">
        <f>VLOOKUP($A179,'Data Vlaue (Cr)'!$C:$FB,144)</f>
        <v>8.76</v>
      </c>
      <c r="F179" s="50">
        <f>VLOOKUP($A179,'Data Vlaue (Cr)'!$C:$FB,146)*100</f>
        <v>31.080000000000002</v>
      </c>
      <c r="G179" s="49">
        <f>VLOOKUP($A179,'Data Vlaue (Cr)'!$C:$FB,43)</f>
        <v>6</v>
      </c>
      <c r="H179" s="49">
        <f>VLOOKUP($A179,'Data Vlaue (Cr)'!$C:$FB,44)</f>
        <v>3</v>
      </c>
      <c r="I179" s="49">
        <f>VLOOKUP($A179,'Data Vlaue (Cr)'!$C:$FB,46)*100</f>
        <v>80</v>
      </c>
      <c r="J179" s="51">
        <f>VLOOKUP($A179,'Data Vlaue (Cr)'!$C:$FB,59)</f>
        <v>4</v>
      </c>
      <c r="K179" s="51">
        <f>VLOOKUP($A179,'Data Vlaue (Cr)'!$C:$FB,60)</f>
        <v>4</v>
      </c>
      <c r="L179" s="51">
        <f>VLOOKUP($A179,'Data Vlaue (Cr)'!$C:$FB,62)*100</f>
        <v>-7.580000000000001</v>
      </c>
      <c r="M179" s="51">
        <f>VLOOKUP($A179,'Data Vlaue (Cr)'!$C:$FB,63)</f>
        <v>2</v>
      </c>
      <c r="N179" s="51">
        <f>VLOOKUP($A179,'Data Vlaue (Cr)'!$C:$FB,64)</f>
        <v>1</v>
      </c>
      <c r="O179" s="51">
        <f>VLOOKUP($A179,'Data Vlaue (Cr)'!$C:$FB,66)*100</f>
        <v>70.59</v>
      </c>
    </row>
    <row r="180" spans="1:15" x14ac:dyDescent="0.25">
      <c r="A180" s="101" t="str">
        <f>'Data Vlaue (Cr)'!C175</f>
        <v>SBICARD</v>
      </c>
      <c r="B180" s="50">
        <f>VLOOKUP($A180,'Data Vlaue (Cr)'!$C:$FB,8)</f>
        <v>768.85</v>
      </c>
      <c r="C180" s="50">
        <f>VLOOKUP($A180,'Data Vlaue (Cr)'!$C:$FB,11)*100</f>
        <v>0.38999999999999996</v>
      </c>
      <c r="D180" s="50">
        <f>VLOOKUP($A180,'Data Vlaue (Cr)'!$C:$FB,143)</f>
        <v>712.74</v>
      </c>
      <c r="E180" s="50">
        <f>VLOOKUP($A180,'Data Vlaue (Cr)'!$C:$FB,144)</f>
        <v>659.49</v>
      </c>
      <c r="F180" s="50">
        <f>VLOOKUP($A180,'Data Vlaue (Cr)'!$C:$FB,146)*100</f>
        <v>8.07</v>
      </c>
      <c r="G180" s="49">
        <f>VLOOKUP($A180,'Data Vlaue (Cr)'!$C:$FB,43)</f>
        <v>220</v>
      </c>
      <c r="H180" s="49">
        <f>VLOOKUP($A180,'Data Vlaue (Cr)'!$C:$FB,44)</f>
        <v>195</v>
      </c>
      <c r="I180" s="49">
        <f>VLOOKUP($A180,'Data Vlaue (Cr)'!$C:$FB,46)*100</f>
        <v>13.05</v>
      </c>
      <c r="J180" s="51">
        <f>VLOOKUP($A180,'Data Vlaue (Cr)'!$C:$FB,59)</f>
        <v>355</v>
      </c>
      <c r="K180" s="51">
        <f>VLOOKUP($A180,'Data Vlaue (Cr)'!$C:$FB,60)</f>
        <v>309</v>
      </c>
      <c r="L180" s="51">
        <f>VLOOKUP($A180,'Data Vlaue (Cr)'!$C:$FB,62)*100</f>
        <v>14.799999999999999</v>
      </c>
      <c r="M180" s="51">
        <f>VLOOKUP($A180,'Data Vlaue (Cr)'!$C:$FB,63)</f>
        <v>125</v>
      </c>
      <c r="N180" s="51">
        <f>VLOOKUP($A180,'Data Vlaue (Cr)'!$C:$FB,64)</f>
        <v>141</v>
      </c>
      <c r="O180" s="51">
        <f>VLOOKUP($A180,'Data Vlaue (Cr)'!$C:$FB,66)*100</f>
        <v>-11.5</v>
      </c>
    </row>
    <row r="181" spans="1:15" x14ac:dyDescent="0.25">
      <c r="A181" s="101" t="str">
        <f>'Data Vlaue (Cr)'!C176</f>
        <v>SBILIFE</v>
      </c>
      <c r="B181" s="50">
        <f>VLOOKUP($A181,'Data Vlaue (Cr)'!$C:$FB,8)</f>
        <v>2026.3</v>
      </c>
      <c r="C181" s="50">
        <f>VLOOKUP($A181,'Data Vlaue (Cr)'!$C:$FB,11)*100</f>
        <v>0.4</v>
      </c>
      <c r="D181" s="50">
        <f>VLOOKUP($A181,'Data Vlaue (Cr)'!$C:$FB,143)</f>
        <v>990.19</v>
      </c>
      <c r="E181" s="50">
        <f>VLOOKUP($A181,'Data Vlaue (Cr)'!$C:$FB,144)</f>
        <v>1454.46</v>
      </c>
      <c r="F181" s="50">
        <f>VLOOKUP($A181,'Data Vlaue (Cr)'!$C:$FB,146)*100</f>
        <v>-31.919999999999998</v>
      </c>
      <c r="G181" s="49">
        <f>VLOOKUP($A181,'Data Vlaue (Cr)'!$C:$FB,43)</f>
        <v>196</v>
      </c>
      <c r="H181" s="49">
        <f>VLOOKUP($A181,'Data Vlaue (Cr)'!$C:$FB,44)</f>
        <v>236</v>
      </c>
      <c r="I181" s="49">
        <f>VLOOKUP($A181,'Data Vlaue (Cr)'!$C:$FB,46)*100</f>
        <v>-16.89</v>
      </c>
      <c r="J181" s="51">
        <f>VLOOKUP($A181,'Data Vlaue (Cr)'!$C:$FB,59)</f>
        <v>560</v>
      </c>
      <c r="K181" s="51">
        <f>VLOOKUP($A181,'Data Vlaue (Cr)'!$C:$FB,60)</f>
        <v>822</v>
      </c>
      <c r="L181" s="51">
        <f>VLOOKUP($A181,'Data Vlaue (Cr)'!$C:$FB,62)*100</f>
        <v>-31.85</v>
      </c>
      <c r="M181" s="51">
        <f>VLOOKUP($A181,'Data Vlaue (Cr)'!$C:$FB,63)</f>
        <v>226</v>
      </c>
      <c r="N181" s="51">
        <f>VLOOKUP($A181,'Data Vlaue (Cr)'!$C:$FB,64)</f>
        <v>383</v>
      </c>
      <c r="O181" s="51">
        <f>VLOOKUP($A181,'Data Vlaue (Cr)'!$C:$FB,66)*100</f>
        <v>-41.160000000000004</v>
      </c>
    </row>
    <row r="182" spans="1:15" x14ac:dyDescent="0.25">
      <c r="A182" s="101" t="str">
        <f>'Data Vlaue (Cr)'!C177</f>
        <v>SBIN</v>
      </c>
      <c r="B182" s="50">
        <f>VLOOKUP($A182,'Data Vlaue (Cr)'!$C:$FB,8)</f>
        <v>1182.9000000000001</v>
      </c>
      <c r="C182" s="50">
        <f>VLOOKUP($A182,'Data Vlaue (Cr)'!$C:$FB,11)*100</f>
        <v>3.39</v>
      </c>
      <c r="D182" s="50">
        <f>VLOOKUP($A182,'Data Vlaue (Cr)'!$C:$FB,143)</f>
        <v>75149.789999999994</v>
      </c>
      <c r="E182" s="50">
        <f>VLOOKUP($A182,'Data Vlaue (Cr)'!$C:$FB,144)</f>
        <v>25970.07</v>
      </c>
      <c r="F182" s="50">
        <f>VLOOKUP($A182,'Data Vlaue (Cr)'!$C:$FB,146)*100</f>
        <v>189.37</v>
      </c>
      <c r="G182" s="49">
        <f>VLOOKUP($A182,'Data Vlaue (Cr)'!$C:$FB,43)</f>
        <v>4434</v>
      </c>
      <c r="H182" s="49">
        <f>VLOOKUP($A182,'Data Vlaue (Cr)'!$C:$FB,44)</f>
        <v>1972</v>
      </c>
      <c r="I182" s="49">
        <f>VLOOKUP($A182,'Data Vlaue (Cr)'!$C:$FB,46)*100</f>
        <v>124.88999999999999</v>
      </c>
      <c r="J182" s="51">
        <f>VLOOKUP($A182,'Data Vlaue (Cr)'!$C:$FB,59)</f>
        <v>44186</v>
      </c>
      <c r="K182" s="51">
        <f>VLOOKUP($A182,'Data Vlaue (Cr)'!$C:$FB,60)</f>
        <v>14561</v>
      </c>
      <c r="L182" s="51">
        <f>VLOOKUP($A182,'Data Vlaue (Cr)'!$C:$FB,62)*100</f>
        <v>203.45</v>
      </c>
      <c r="M182" s="51">
        <f>VLOOKUP($A182,'Data Vlaue (Cr)'!$C:$FB,63)</f>
        <v>26737</v>
      </c>
      <c r="N182" s="51">
        <f>VLOOKUP($A182,'Data Vlaue (Cr)'!$C:$FB,64)</f>
        <v>10058</v>
      </c>
      <c r="O182" s="51">
        <f>VLOOKUP($A182,'Data Vlaue (Cr)'!$C:$FB,66)*100</f>
        <v>165.83</v>
      </c>
    </row>
    <row r="183" spans="1:15" x14ac:dyDescent="0.25">
      <c r="A183" s="101" t="str">
        <f>'Data Vlaue (Cr)'!C178</f>
        <v>SHREECEM</v>
      </c>
      <c r="B183" s="50">
        <f>VLOOKUP($A183,'Data Vlaue (Cr)'!$C:$FB,8)</f>
        <v>26805</v>
      </c>
      <c r="C183" s="50">
        <f>VLOOKUP($A183,'Data Vlaue (Cr)'!$C:$FB,11)*100</f>
        <v>1.06</v>
      </c>
      <c r="D183" s="50">
        <f>VLOOKUP($A183,'Data Vlaue (Cr)'!$C:$FB,143)</f>
        <v>1015.21</v>
      </c>
      <c r="E183" s="50">
        <f>VLOOKUP($A183,'Data Vlaue (Cr)'!$C:$FB,144)</f>
        <v>1690.83</v>
      </c>
      <c r="F183" s="50">
        <f>VLOOKUP($A183,'Data Vlaue (Cr)'!$C:$FB,146)*100</f>
        <v>-39.96</v>
      </c>
      <c r="G183" s="49">
        <f>VLOOKUP($A183,'Data Vlaue (Cr)'!$C:$FB,43)</f>
        <v>159</v>
      </c>
      <c r="H183" s="49">
        <f>VLOOKUP($A183,'Data Vlaue (Cr)'!$C:$FB,44)</f>
        <v>217</v>
      </c>
      <c r="I183" s="49">
        <f>VLOOKUP($A183,'Data Vlaue (Cr)'!$C:$FB,46)*100</f>
        <v>-26.810000000000002</v>
      </c>
      <c r="J183" s="51">
        <f>VLOOKUP($A183,'Data Vlaue (Cr)'!$C:$FB,59)</f>
        <v>652</v>
      </c>
      <c r="K183" s="51">
        <f>VLOOKUP($A183,'Data Vlaue (Cr)'!$C:$FB,60)</f>
        <v>1066</v>
      </c>
      <c r="L183" s="51">
        <f>VLOOKUP($A183,'Data Vlaue (Cr)'!$C:$FB,62)*100</f>
        <v>-38.840000000000003</v>
      </c>
      <c r="M183" s="51">
        <f>VLOOKUP($A183,'Data Vlaue (Cr)'!$C:$FB,63)</f>
        <v>176</v>
      </c>
      <c r="N183" s="51">
        <f>VLOOKUP($A183,'Data Vlaue (Cr)'!$C:$FB,64)</f>
        <v>356</v>
      </c>
      <c r="O183" s="51">
        <f>VLOOKUP($A183,'Data Vlaue (Cr)'!$C:$FB,66)*100</f>
        <v>-50.49</v>
      </c>
    </row>
    <row r="184" spans="1:15" x14ac:dyDescent="0.25">
      <c r="A184" s="101" t="str">
        <f>'Data Vlaue (Cr)'!C179</f>
        <v>SHRIRAMFIN</v>
      </c>
      <c r="B184" s="50">
        <f>VLOOKUP($A184,'Data Vlaue (Cr)'!$C:$FB,8)</f>
        <v>1056.8</v>
      </c>
      <c r="C184" s="50">
        <f>VLOOKUP($A184,'Data Vlaue (Cr)'!$C:$FB,11)*100</f>
        <v>0.77999999999999992</v>
      </c>
      <c r="D184" s="50">
        <f>VLOOKUP($A184,'Data Vlaue (Cr)'!$C:$FB,143)</f>
        <v>3615.5</v>
      </c>
      <c r="E184" s="50">
        <f>VLOOKUP($A184,'Data Vlaue (Cr)'!$C:$FB,144)</f>
        <v>4980.8900000000003</v>
      </c>
      <c r="F184" s="50">
        <f>VLOOKUP($A184,'Data Vlaue (Cr)'!$C:$FB,146)*100</f>
        <v>-27.41</v>
      </c>
      <c r="G184" s="49">
        <f>VLOOKUP($A184,'Data Vlaue (Cr)'!$C:$FB,43)</f>
        <v>487</v>
      </c>
      <c r="H184" s="49">
        <f>VLOOKUP($A184,'Data Vlaue (Cr)'!$C:$FB,44)</f>
        <v>642</v>
      </c>
      <c r="I184" s="49">
        <f>VLOOKUP($A184,'Data Vlaue (Cr)'!$C:$FB,46)*100</f>
        <v>-24.12</v>
      </c>
      <c r="J184" s="51">
        <f>VLOOKUP($A184,'Data Vlaue (Cr)'!$C:$FB,59)</f>
        <v>2247</v>
      </c>
      <c r="K184" s="51">
        <f>VLOOKUP($A184,'Data Vlaue (Cr)'!$C:$FB,60)</f>
        <v>2631</v>
      </c>
      <c r="L184" s="51">
        <f>VLOOKUP($A184,'Data Vlaue (Cr)'!$C:$FB,62)*100</f>
        <v>-14.610000000000001</v>
      </c>
      <c r="M184" s="51">
        <f>VLOOKUP($A184,'Data Vlaue (Cr)'!$C:$FB,63)</f>
        <v>831</v>
      </c>
      <c r="N184" s="51">
        <f>VLOOKUP($A184,'Data Vlaue (Cr)'!$C:$FB,64)</f>
        <v>1661</v>
      </c>
      <c r="O184" s="51">
        <f>VLOOKUP($A184,'Data Vlaue (Cr)'!$C:$FB,66)*100</f>
        <v>-49.980000000000004</v>
      </c>
    </row>
    <row r="185" spans="1:15" x14ac:dyDescent="0.25">
      <c r="A185" s="101" t="str">
        <f>'Data Vlaue (Cr)'!C180</f>
        <v>SIEMENS</v>
      </c>
      <c r="B185" s="50">
        <f>VLOOKUP($A185,'Data Vlaue (Cr)'!$C:$FB,8)</f>
        <v>3151.6</v>
      </c>
      <c r="C185" s="50">
        <f>VLOOKUP($A185,'Data Vlaue (Cr)'!$C:$FB,11)*100</f>
        <v>1.29</v>
      </c>
      <c r="D185" s="50">
        <f>VLOOKUP($A185,'Data Vlaue (Cr)'!$C:$FB,143)</f>
        <v>1769.75</v>
      </c>
      <c r="E185" s="50">
        <f>VLOOKUP($A185,'Data Vlaue (Cr)'!$C:$FB,144)</f>
        <v>1554.58</v>
      </c>
      <c r="F185" s="50">
        <f>VLOOKUP($A185,'Data Vlaue (Cr)'!$C:$FB,146)*100</f>
        <v>13.84</v>
      </c>
      <c r="G185" s="49">
        <f>VLOOKUP($A185,'Data Vlaue (Cr)'!$C:$FB,43)</f>
        <v>185</v>
      </c>
      <c r="H185" s="49">
        <f>VLOOKUP($A185,'Data Vlaue (Cr)'!$C:$FB,44)</f>
        <v>201</v>
      </c>
      <c r="I185" s="49">
        <f>VLOOKUP($A185,'Data Vlaue (Cr)'!$C:$FB,46)*100</f>
        <v>-8.39</v>
      </c>
      <c r="J185" s="51">
        <f>VLOOKUP($A185,'Data Vlaue (Cr)'!$C:$FB,59)</f>
        <v>1201</v>
      </c>
      <c r="K185" s="51">
        <f>VLOOKUP($A185,'Data Vlaue (Cr)'!$C:$FB,60)</f>
        <v>980</v>
      </c>
      <c r="L185" s="51">
        <f>VLOOKUP($A185,'Data Vlaue (Cr)'!$C:$FB,62)*100</f>
        <v>22.470000000000002</v>
      </c>
      <c r="M185" s="51">
        <f>VLOOKUP($A185,'Data Vlaue (Cr)'!$C:$FB,63)</f>
        <v>341</v>
      </c>
      <c r="N185" s="51">
        <f>VLOOKUP($A185,'Data Vlaue (Cr)'!$C:$FB,64)</f>
        <v>342</v>
      </c>
      <c r="O185" s="51">
        <f>VLOOKUP($A185,'Data Vlaue (Cr)'!$C:$FB,66)*100</f>
        <v>-0.27</v>
      </c>
    </row>
    <row r="186" spans="1:15" x14ac:dyDescent="0.25">
      <c r="A186" s="101" t="str">
        <f>'Data Vlaue (Cr)'!C181</f>
        <v>SOLARINDS</v>
      </c>
      <c r="B186" s="50">
        <f>VLOOKUP($A186,'Data Vlaue (Cr)'!$C:$FB,8)</f>
        <v>13445</v>
      </c>
      <c r="C186" s="50">
        <f>VLOOKUP($A186,'Data Vlaue (Cr)'!$C:$FB,11)*100</f>
        <v>0.16</v>
      </c>
      <c r="D186" s="50">
        <f>VLOOKUP($A186,'Data Vlaue (Cr)'!$C:$FB,143)</f>
        <v>707.72</v>
      </c>
      <c r="E186" s="50">
        <f>VLOOKUP($A186,'Data Vlaue (Cr)'!$C:$FB,144)</f>
        <v>1020.37</v>
      </c>
      <c r="F186" s="50">
        <f>VLOOKUP($A186,'Data Vlaue (Cr)'!$C:$FB,146)*100</f>
        <v>-30.64</v>
      </c>
      <c r="G186" s="49">
        <f>VLOOKUP($A186,'Data Vlaue (Cr)'!$C:$FB,43)</f>
        <v>122</v>
      </c>
      <c r="H186" s="49">
        <f>VLOOKUP($A186,'Data Vlaue (Cr)'!$C:$FB,44)</f>
        <v>135</v>
      </c>
      <c r="I186" s="49">
        <f>VLOOKUP($A186,'Data Vlaue (Cr)'!$C:$FB,46)*100</f>
        <v>-9.7100000000000009</v>
      </c>
      <c r="J186" s="51">
        <f>VLOOKUP($A186,'Data Vlaue (Cr)'!$C:$FB,59)</f>
        <v>423</v>
      </c>
      <c r="K186" s="51">
        <f>VLOOKUP($A186,'Data Vlaue (Cr)'!$C:$FB,60)</f>
        <v>603</v>
      </c>
      <c r="L186" s="51">
        <f>VLOOKUP($A186,'Data Vlaue (Cr)'!$C:$FB,62)*100</f>
        <v>-29.79</v>
      </c>
      <c r="M186" s="51">
        <f>VLOOKUP($A186,'Data Vlaue (Cr)'!$C:$FB,63)</f>
        <v>138</v>
      </c>
      <c r="N186" s="51">
        <f>VLOOKUP($A186,'Data Vlaue (Cr)'!$C:$FB,64)</f>
        <v>263</v>
      </c>
      <c r="O186" s="51">
        <f>VLOOKUP($A186,'Data Vlaue (Cr)'!$C:$FB,66)*100</f>
        <v>-47.29</v>
      </c>
    </row>
    <row r="187" spans="1:15" x14ac:dyDescent="0.25">
      <c r="A187" s="101" t="str">
        <f>'Data Vlaue (Cr)'!C182</f>
        <v>SONACOMS</v>
      </c>
      <c r="B187" s="50">
        <f>VLOOKUP($A187,'Data Vlaue (Cr)'!$C:$FB,8)</f>
        <v>538</v>
      </c>
      <c r="C187" s="50">
        <f>VLOOKUP($A187,'Data Vlaue (Cr)'!$C:$FB,11)*100</f>
        <v>1.3</v>
      </c>
      <c r="D187" s="50">
        <f>VLOOKUP($A187,'Data Vlaue (Cr)'!$C:$FB,143)</f>
        <v>984</v>
      </c>
      <c r="E187" s="50">
        <f>VLOOKUP($A187,'Data Vlaue (Cr)'!$C:$FB,144)</f>
        <v>453.74</v>
      </c>
      <c r="F187" s="50">
        <f>VLOOKUP($A187,'Data Vlaue (Cr)'!$C:$FB,146)*100</f>
        <v>116.86000000000001</v>
      </c>
      <c r="G187" s="49">
        <f>VLOOKUP($A187,'Data Vlaue (Cr)'!$C:$FB,43)</f>
        <v>242</v>
      </c>
      <c r="H187" s="49">
        <f>VLOOKUP($A187,'Data Vlaue (Cr)'!$C:$FB,44)</f>
        <v>124</v>
      </c>
      <c r="I187" s="49">
        <f>VLOOKUP($A187,'Data Vlaue (Cr)'!$C:$FB,46)*100</f>
        <v>94.94</v>
      </c>
      <c r="J187" s="51">
        <f>VLOOKUP($A187,'Data Vlaue (Cr)'!$C:$FB,59)</f>
        <v>594</v>
      </c>
      <c r="K187" s="51">
        <f>VLOOKUP($A187,'Data Vlaue (Cr)'!$C:$FB,60)</f>
        <v>218</v>
      </c>
      <c r="L187" s="51">
        <f>VLOOKUP($A187,'Data Vlaue (Cr)'!$C:$FB,62)*100</f>
        <v>172.04999999999998</v>
      </c>
      <c r="M187" s="51">
        <f>VLOOKUP($A187,'Data Vlaue (Cr)'!$C:$FB,63)</f>
        <v>133</v>
      </c>
      <c r="N187" s="51">
        <f>VLOOKUP($A187,'Data Vlaue (Cr)'!$C:$FB,64)</f>
        <v>108</v>
      </c>
      <c r="O187" s="51">
        <f>VLOOKUP($A187,'Data Vlaue (Cr)'!$C:$FB,66)*100</f>
        <v>23.44</v>
      </c>
    </row>
    <row r="188" spans="1:15" x14ac:dyDescent="0.25">
      <c r="A188" s="101" t="str">
        <f>'Data Vlaue (Cr)'!C183</f>
        <v>SRF</v>
      </c>
      <c r="B188" s="50">
        <f>VLOOKUP($A188,'Data Vlaue (Cr)'!$C:$FB,8)</f>
        <v>2949.1</v>
      </c>
      <c r="C188" s="50">
        <f>VLOOKUP($A188,'Data Vlaue (Cr)'!$C:$FB,11)*100</f>
        <v>-0.43</v>
      </c>
      <c r="D188" s="50">
        <f>VLOOKUP($A188,'Data Vlaue (Cr)'!$C:$FB,143)</f>
        <v>443.72</v>
      </c>
      <c r="E188" s="50">
        <f>VLOOKUP($A188,'Data Vlaue (Cr)'!$C:$FB,144)</f>
        <v>557.55999999999995</v>
      </c>
      <c r="F188" s="50">
        <f>VLOOKUP($A188,'Data Vlaue (Cr)'!$C:$FB,146)*100</f>
        <v>-20.419999999999998</v>
      </c>
      <c r="G188" s="49">
        <f>VLOOKUP($A188,'Data Vlaue (Cr)'!$C:$FB,43)</f>
        <v>76</v>
      </c>
      <c r="H188" s="49">
        <f>VLOOKUP($A188,'Data Vlaue (Cr)'!$C:$FB,44)</f>
        <v>136</v>
      </c>
      <c r="I188" s="49">
        <f>VLOOKUP($A188,'Data Vlaue (Cr)'!$C:$FB,46)*100</f>
        <v>-44.080000000000005</v>
      </c>
      <c r="J188" s="51">
        <f>VLOOKUP($A188,'Data Vlaue (Cr)'!$C:$FB,59)</f>
        <v>242</v>
      </c>
      <c r="K188" s="51">
        <f>VLOOKUP($A188,'Data Vlaue (Cr)'!$C:$FB,60)</f>
        <v>311</v>
      </c>
      <c r="L188" s="51">
        <f>VLOOKUP($A188,'Data Vlaue (Cr)'!$C:$FB,62)*100</f>
        <v>-22.11</v>
      </c>
      <c r="M188" s="51">
        <f>VLOOKUP($A188,'Data Vlaue (Cr)'!$C:$FB,63)</f>
        <v>121</v>
      </c>
      <c r="N188" s="51">
        <f>VLOOKUP($A188,'Data Vlaue (Cr)'!$C:$FB,64)</f>
        <v>98</v>
      </c>
      <c r="O188" s="51">
        <f>VLOOKUP($A188,'Data Vlaue (Cr)'!$C:$FB,66)*100</f>
        <v>23.71</v>
      </c>
    </row>
    <row r="189" spans="1:15" x14ac:dyDescent="0.25">
      <c r="A189" s="101" t="str">
        <f>'Data Vlaue (Cr)'!C184</f>
        <v>SUNPHARMA</v>
      </c>
      <c r="B189" s="50">
        <f>VLOOKUP($A189,'Data Vlaue (Cr)'!$C:$FB,8)</f>
        <v>1711.1</v>
      </c>
      <c r="C189" s="50">
        <f>VLOOKUP($A189,'Data Vlaue (Cr)'!$C:$FB,11)*100</f>
        <v>0.19</v>
      </c>
      <c r="D189" s="50">
        <f>VLOOKUP($A189,'Data Vlaue (Cr)'!$C:$FB,143)</f>
        <v>1970.4</v>
      </c>
      <c r="E189" s="50">
        <f>VLOOKUP($A189,'Data Vlaue (Cr)'!$C:$FB,144)</f>
        <v>3037.72</v>
      </c>
      <c r="F189" s="50">
        <f>VLOOKUP($A189,'Data Vlaue (Cr)'!$C:$FB,146)*100</f>
        <v>-35.14</v>
      </c>
      <c r="G189" s="49">
        <f>VLOOKUP($A189,'Data Vlaue (Cr)'!$C:$FB,43)</f>
        <v>164</v>
      </c>
      <c r="H189" s="49">
        <f>VLOOKUP($A189,'Data Vlaue (Cr)'!$C:$FB,44)</f>
        <v>293</v>
      </c>
      <c r="I189" s="49">
        <f>VLOOKUP($A189,'Data Vlaue (Cr)'!$C:$FB,46)*100</f>
        <v>-44.190000000000005</v>
      </c>
      <c r="J189" s="51">
        <f>VLOOKUP($A189,'Data Vlaue (Cr)'!$C:$FB,59)</f>
        <v>1105</v>
      </c>
      <c r="K189" s="51">
        <f>VLOOKUP($A189,'Data Vlaue (Cr)'!$C:$FB,60)</f>
        <v>1803</v>
      </c>
      <c r="L189" s="51">
        <f>VLOOKUP($A189,'Data Vlaue (Cr)'!$C:$FB,62)*100</f>
        <v>-38.729999999999997</v>
      </c>
      <c r="M189" s="51">
        <f>VLOOKUP($A189,'Data Vlaue (Cr)'!$C:$FB,63)</f>
        <v>703</v>
      </c>
      <c r="N189" s="51">
        <f>VLOOKUP($A189,'Data Vlaue (Cr)'!$C:$FB,64)</f>
        <v>925</v>
      </c>
      <c r="O189" s="51">
        <f>VLOOKUP($A189,'Data Vlaue (Cr)'!$C:$FB,66)*100</f>
        <v>-23.990000000000002</v>
      </c>
    </row>
    <row r="190" spans="1:15" x14ac:dyDescent="0.25">
      <c r="A190" s="101" t="str">
        <f>'Data Vlaue (Cr)'!C185</f>
        <v>SUPREMEIND</v>
      </c>
      <c r="B190" s="50">
        <f>VLOOKUP($A190,'Data Vlaue (Cr)'!$C:$FB,8)</f>
        <v>3849.4</v>
      </c>
      <c r="C190" s="50">
        <f>VLOOKUP($A190,'Data Vlaue (Cr)'!$C:$FB,11)*100</f>
        <v>4.3</v>
      </c>
      <c r="D190" s="50">
        <f>VLOOKUP($A190,'Data Vlaue (Cr)'!$C:$FB,143)</f>
        <v>2500.5100000000002</v>
      </c>
      <c r="E190" s="50">
        <f>VLOOKUP($A190,'Data Vlaue (Cr)'!$C:$FB,144)</f>
        <v>1896.96</v>
      </c>
      <c r="F190" s="50">
        <f>VLOOKUP($A190,'Data Vlaue (Cr)'!$C:$FB,146)*100</f>
        <v>31.819999999999997</v>
      </c>
      <c r="G190" s="49">
        <f>VLOOKUP($A190,'Data Vlaue (Cr)'!$C:$FB,43)</f>
        <v>243</v>
      </c>
      <c r="H190" s="49">
        <f>VLOOKUP($A190,'Data Vlaue (Cr)'!$C:$FB,44)</f>
        <v>207</v>
      </c>
      <c r="I190" s="49">
        <f>VLOOKUP($A190,'Data Vlaue (Cr)'!$C:$FB,46)*100</f>
        <v>17.61</v>
      </c>
      <c r="J190" s="51">
        <f>VLOOKUP($A190,'Data Vlaue (Cr)'!$C:$FB,59)</f>
        <v>1840</v>
      </c>
      <c r="K190" s="51">
        <f>VLOOKUP($A190,'Data Vlaue (Cr)'!$C:$FB,60)</f>
        <v>1388</v>
      </c>
      <c r="L190" s="51">
        <f>VLOOKUP($A190,'Data Vlaue (Cr)'!$C:$FB,62)*100</f>
        <v>32.57</v>
      </c>
      <c r="M190" s="51">
        <f>VLOOKUP($A190,'Data Vlaue (Cr)'!$C:$FB,63)</f>
        <v>380</v>
      </c>
      <c r="N190" s="51">
        <f>VLOOKUP($A190,'Data Vlaue (Cr)'!$C:$FB,64)</f>
        <v>293</v>
      </c>
      <c r="O190" s="51">
        <f>VLOOKUP($A190,'Data Vlaue (Cr)'!$C:$FB,66)*100</f>
        <v>29.78</v>
      </c>
    </row>
    <row r="191" spans="1:15" x14ac:dyDescent="0.25">
      <c r="A191" s="101" t="str">
        <f>'Data Vlaue (Cr)'!C186</f>
        <v>SUZLON</v>
      </c>
      <c r="B191" s="50">
        <f>VLOOKUP($A191,'Data Vlaue (Cr)'!$C:$FB,8)</f>
        <v>47.38</v>
      </c>
      <c r="C191" s="50">
        <f>VLOOKUP($A191,'Data Vlaue (Cr)'!$C:$FB,11)*100</f>
        <v>-0.65</v>
      </c>
      <c r="D191" s="50">
        <f>VLOOKUP($A191,'Data Vlaue (Cr)'!$C:$FB,143)</f>
        <v>1203.07</v>
      </c>
      <c r="E191" s="50">
        <f>VLOOKUP($A191,'Data Vlaue (Cr)'!$C:$FB,144)</f>
        <v>1002.96</v>
      </c>
      <c r="F191" s="50">
        <f>VLOOKUP($A191,'Data Vlaue (Cr)'!$C:$FB,146)*100</f>
        <v>19.950000000000003</v>
      </c>
      <c r="G191" s="49">
        <f>VLOOKUP($A191,'Data Vlaue (Cr)'!$C:$FB,43)</f>
        <v>225</v>
      </c>
      <c r="H191" s="49">
        <f>VLOOKUP($A191,'Data Vlaue (Cr)'!$C:$FB,44)</f>
        <v>155</v>
      </c>
      <c r="I191" s="49">
        <f>VLOOKUP($A191,'Data Vlaue (Cr)'!$C:$FB,46)*100</f>
        <v>45.25</v>
      </c>
      <c r="J191" s="51">
        <f>VLOOKUP($A191,'Data Vlaue (Cr)'!$C:$FB,59)</f>
        <v>740</v>
      </c>
      <c r="K191" s="51">
        <f>VLOOKUP($A191,'Data Vlaue (Cr)'!$C:$FB,60)</f>
        <v>649</v>
      </c>
      <c r="L191" s="51">
        <f>VLOOKUP($A191,'Data Vlaue (Cr)'!$C:$FB,62)*100</f>
        <v>13.969999999999999</v>
      </c>
      <c r="M191" s="51">
        <f>VLOOKUP($A191,'Data Vlaue (Cr)'!$C:$FB,63)</f>
        <v>181</v>
      </c>
      <c r="N191" s="51">
        <f>VLOOKUP($A191,'Data Vlaue (Cr)'!$C:$FB,64)</f>
        <v>121</v>
      </c>
      <c r="O191" s="51">
        <f>VLOOKUP($A191,'Data Vlaue (Cr)'!$C:$FB,66)*100</f>
        <v>49.419999999999995</v>
      </c>
    </row>
    <row r="192" spans="1:15" x14ac:dyDescent="0.25">
      <c r="A192" s="101" t="str">
        <f>'Data Vlaue (Cr)'!C187</f>
        <v>SWIGGY</v>
      </c>
      <c r="B192" s="50">
        <f>VLOOKUP($A192,'Data Vlaue (Cr)'!$C:$FB,8)</f>
        <v>342.3</v>
      </c>
      <c r="C192" s="50">
        <f>VLOOKUP($A192,'Data Vlaue (Cr)'!$C:$FB,11)*100</f>
        <v>-3.7800000000000002</v>
      </c>
      <c r="D192" s="50">
        <f>VLOOKUP($A192,'Data Vlaue (Cr)'!$C:$FB,143)</f>
        <v>1468.77</v>
      </c>
      <c r="E192" s="50">
        <f>VLOOKUP($A192,'Data Vlaue (Cr)'!$C:$FB,144)</f>
        <v>3619.13</v>
      </c>
      <c r="F192" s="50">
        <f>VLOOKUP($A192,'Data Vlaue (Cr)'!$C:$FB,146)*100</f>
        <v>-59.419999999999995</v>
      </c>
      <c r="G192" s="49">
        <f>VLOOKUP($A192,'Data Vlaue (Cr)'!$C:$FB,43)</f>
        <v>385</v>
      </c>
      <c r="H192" s="49">
        <f>VLOOKUP($A192,'Data Vlaue (Cr)'!$C:$FB,44)</f>
        <v>924</v>
      </c>
      <c r="I192" s="49">
        <f>VLOOKUP($A192,'Data Vlaue (Cr)'!$C:$FB,46)*100</f>
        <v>-58.330000000000005</v>
      </c>
      <c r="J192" s="51">
        <f>VLOOKUP($A192,'Data Vlaue (Cr)'!$C:$FB,59)</f>
        <v>631</v>
      </c>
      <c r="K192" s="51">
        <f>VLOOKUP($A192,'Data Vlaue (Cr)'!$C:$FB,60)</f>
        <v>1896</v>
      </c>
      <c r="L192" s="51">
        <f>VLOOKUP($A192,'Data Vlaue (Cr)'!$C:$FB,62)*100</f>
        <v>-66.73</v>
      </c>
      <c r="M192" s="51">
        <f>VLOOKUP($A192,'Data Vlaue (Cr)'!$C:$FB,63)</f>
        <v>407</v>
      </c>
      <c r="N192" s="51">
        <f>VLOOKUP($A192,'Data Vlaue (Cr)'!$C:$FB,64)</f>
        <v>667</v>
      </c>
      <c r="O192" s="51">
        <f>VLOOKUP($A192,'Data Vlaue (Cr)'!$C:$FB,66)*100</f>
        <v>-39.06</v>
      </c>
    </row>
    <row r="193" spans="1:15" x14ac:dyDescent="0.25">
      <c r="A193" s="101" t="str">
        <f>'Data Vlaue (Cr)'!C188</f>
        <v>SYNGENE</v>
      </c>
      <c r="B193" s="50">
        <f>VLOOKUP($A193,'Data Vlaue (Cr)'!$C:$FB,8)</f>
        <v>455.1</v>
      </c>
      <c r="C193" s="50">
        <f>VLOOKUP($A193,'Data Vlaue (Cr)'!$C:$FB,11)*100</f>
        <v>0.51</v>
      </c>
      <c r="D193" s="50">
        <f>VLOOKUP($A193,'Data Vlaue (Cr)'!$C:$FB,143)</f>
        <v>594.97</v>
      </c>
      <c r="E193" s="50">
        <f>VLOOKUP($A193,'Data Vlaue (Cr)'!$C:$FB,144)</f>
        <v>337.79</v>
      </c>
      <c r="F193" s="50">
        <f>VLOOKUP($A193,'Data Vlaue (Cr)'!$C:$FB,146)*100</f>
        <v>76.14</v>
      </c>
      <c r="G193" s="49">
        <f>VLOOKUP($A193,'Data Vlaue (Cr)'!$C:$FB,43)</f>
        <v>141</v>
      </c>
      <c r="H193" s="49">
        <f>VLOOKUP($A193,'Data Vlaue (Cr)'!$C:$FB,44)</f>
        <v>89</v>
      </c>
      <c r="I193" s="49">
        <f>VLOOKUP($A193,'Data Vlaue (Cr)'!$C:$FB,46)*100</f>
        <v>59.03</v>
      </c>
      <c r="J193" s="51">
        <f>VLOOKUP($A193,'Data Vlaue (Cr)'!$C:$FB,59)</f>
        <v>333</v>
      </c>
      <c r="K193" s="51">
        <f>VLOOKUP($A193,'Data Vlaue (Cr)'!$C:$FB,60)</f>
        <v>178</v>
      </c>
      <c r="L193" s="51">
        <f>VLOOKUP($A193,'Data Vlaue (Cr)'!$C:$FB,62)*100</f>
        <v>86.8</v>
      </c>
      <c r="M193" s="51">
        <f>VLOOKUP($A193,'Data Vlaue (Cr)'!$C:$FB,63)</f>
        <v>95</v>
      </c>
      <c r="N193" s="51">
        <f>VLOOKUP($A193,'Data Vlaue (Cr)'!$C:$FB,64)</f>
        <v>55</v>
      </c>
      <c r="O193" s="51">
        <f>VLOOKUP($A193,'Data Vlaue (Cr)'!$C:$FB,66)*100</f>
        <v>73.22999999999999</v>
      </c>
    </row>
    <row r="194" spans="1:15" x14ac:dyDescent="0.25">
      <c r="A194" s="101" t="str">
        <f>'Data Vlaue (Cr)'!C189</f>
        <v>TATACONSUM</v>
      </c>
      <c r="B194" s="50">
        <f>VLOOKUP($A194,'Data Vlaue (Cr)'!$C:$FB,8)</f>
        <v>1152.5999999999999</v>
      </c>
      <c r="C194" s="50">
        <f>VLOOKUP($A194,'Data Vlaue (Cr)'!$C:$FB,11)*100</f>
        <v>0.03</v>
      </c>
      <c r="D194" s="50">
        <f>VLOOKUP($A194,'Data Vlaue (Cr)'!$C:$FB,143)</f>
        <v>447.72</v>
      </c>
      <c r="E194" s="50">
        <f>VLOOKUP($A194,'Data Vlaue (Cr)'!$C:$FB,144)</f>
        <v>717.23</v>
      </c>
      <c r="F194" s="50">
        <f>VLOOKUP($A194,'Data Vlaue (Cr)'!$C:$FB,146)*100</f>
        <v>-37.580000000000005</v>
      </c>
      <c r="G194" s="49">
        <f>VLOOKUP($A194,'Data Vlaue (Cr)'!$C:$FB,43)</f>
        <v>96</v>
      </c>
      <c r="H194" s="49">
        <f>VLOOKUP($A194,'Data Vlaue (Cr)'!$C:$FB,44)</f>
        <v>147</v>
      </c>
      <c r="I194" s="49">
        <f>VLOOKUP($A194,'Data Vlaue (Cr)'!$C:$FB,46)*100</f>
        <v>-34.300000000000004</v>
      </c>
      <c r="J194" s="51">
        <f>VLOOKUP($A194,'Data Vlaue (Cr)'!$C:$FB,59)</f>
        <v>263</v>
      </c>
      <c r="K194" s="51">
        <f>VLOOKUP($A194,'Data Vlaue (Cr)'!$C:$FB,60)</f>
        <v>357</v>
      </c>
      <c r="L194" s="51">
        <f>VLOOKUP($A194,'Data Vlaue (Cr)'!$C:$FB,62)*100</f>
        <v>-26.540000000000003</v>
      </c>
      <c r="M194" s="51">
        <f>VLOOKUP($A194,'Data Vlaue (Cr)'!$C:$FB,63)</f>
        <v>80</v>
      </c>
      <c r="N194" s="51">
        <f>VLOOKUP($A194,'Data Vlaue (Cr)'!$C:$FB,64)</f>
        <v>202</v>
      </c>
      <c r="O194" s="51">
        <f>VLOOKUP($A194,'Data Vlaue (Cr)'!$C:$FB,66)*100</f>
        <v>-60.58</v>
      </c>
    </row>
    <row r="195" spans="1:15" x14ac:dyDescent="0.25">
      <c r="A195" s="101" t="str">
        <f>'Data Vlaue (Cr)'!C190</f>
        <v>TATAELXSI</v>
      </c>
      <c r="B195" s="50">
        <f>VLOOKUP($A195,'Data Vlaue (Cr)'!$C:$FB,8)</f>
        <v>5250.5</v>
      </c>
      <c r="C195" s="50">
        <f>VLOOKUP($A195,'Data Vlaue (Cr)'!$C:$FB,11)*100</f>
        <v>-2.4299999999999997</v>
      </c>
      <c r="D195" s="50">
        <f>VLOOKUP($A195,'Data Vlaue (Cr)'!$C:$FB,143)</f>
        <v>1236.29</v>
      </c>
      <c r="E195" s="50">
        <f>VLOOKUP($A195,'Data Vlaue (Cr)'!$C:$FB,144)</f>
        <v>2282.5100000000002</v>
      </c>
      <c r="F195" s="50">
        <f>VLOOKUP($A195,'Data Vlaue (Cr)'!$C:$FB,146)*100</f>
        <v>-45.839999999999996</v>
      </c>
      <c r="G195" s="49">
        <f>VLOOKUP($A195,'Data Vlaue (Cr)'!$C:$FB,43)</f>
        <v>150</v>
      </c>
      <c r="H195" s="49">
        <f>VLOOKUP($A195,'Data Vlaue (Cr)'!$C:$FB,44)</f>
        <v>195</v>
      </c>
      <c r="I195" s="49">
        <f>VLOOKUP($A195,'Data Vlaue (Cr)'!$C:$FB,46)*100</f>
        <v>-22.939999999999998</v>
      </c>
      <c r="J195" s="51">
        <f>VLOOKUP($A195,'Data Vlaue (Cr)'!$C:$FB,59)</f>
        <v>781</v>
      </c>
      <c r="K195" s="51">
        <f>VLOOKUP($A195,'Data Vlaue (Cr)'!$C:$FB,60)</f>
        <v>1635</v>
      </c>
      <c r="L195" s="51">
        <f>VLOOKUP($A195,'Data Vlaue (Cr)'!$C:$FB,62)*100</f>
        <v>-52.21</v>
      </c>
      <c r="M195" s="51">
        <f>VLOOKUP($A195,'Data Vlaue (Cr)'!$C:$FB,63)</f>
        <v>239</v>
      </c>
      <c r="N195" s="51">
        <f>VLOOKUP($A195,'Data Vlaue (Cr)'!$C:$FB,64)</f>
        <v>309</v>
      </c>
      <c r="O195" s="51">
        <f>VLOOKUP($A195,'Data Vlaue (Cr)'!$C:$FB,66)*100</f>
        <v>-22.55</v>
      </c>
    </row>
    <row r="196" spans="1:15" x14ac:dyDescent="0.25">
      <c r="A196" s="101" t="str">
        <f>'Data Vlaue (Cr)'!C191</f>
        <v>TATAPOWER</v>
      </c>
      <c r="B196" s="50">
        <f>VLOOKUP($A196,'Data Vlaue (Cr)'!$C:$FB,8)</f>
        <v>375.65</v>
      </c>
      <c r="C196" s="50">
        <f>VLOOKUP($A196,'Data Vlaue (Cr)'!$C:$FB,11)*100</f>
        <v>1.54</v>
      </c>
      <c r="D196" s="50">
        <f>VLOOKUP($A196,'Data Vlaue (Cr)'!$C:$FB,143)</f>
        <v>2628.19</v>
      </c>
      <c r="E196" s="50">
        <f>VLOOKUP($A196,'Data Vlaue (Cr)'!$C:$FB,144)</f>
        <v>1134.31</v>
      </c>
      <c r="F196" s="50">
        <f>VLOOKUP($A196,'Data Vlaue (Cr)'!$C:$FB,146)*100</f>
        <v>131.69999999999999</v>
      </c>
      <c r="G196" s="49">
        <f>VLOOKUP($A196,'Data Vlaue (Cr)'!$C:$FB,43)</f>
        <v>261</v>
      </c>
      <c r="H196" s="49">
        <f>VLOOKUP($A196,'Data Vlaue (Cr)'!$C:$FB,44)</f>
        <v>111</v>
      </c>
      <c r="I196" s="49">
        <f>VLOOKUP($A196,'Data Vlaue (Cr)'!$C:$FB,46)*100</f>
        <v>135.32</v>
      </c>
      <c r="J196" s="51">
        <f>VLOOKUP($A196,'Data Vlaue (Cr)'!$C:$FB,59)</f>
        <v>1687</v>
      </c>
      <c r="K196" s="51">
        <f>VLOOKUP($A196,'Data Vlaue (Cr)'!$C:$FB,60)</f>
        <v>633</v>
      </c>
      <c r="L196" s="51">
        <f>VLOOKUP($A196,'Data Vlaue (Cr)'!$C:$FB,62)*100</f>
        <v>166.51</v>
      </c>
      <c r="M196" s="51">
        <f>VLOOKUP($A196,'Data Vlaue (Cr)'!$C:$FB,63)</f>
        <v>654</v>
      </c>
      <c r="N196" s="51">
        <f>VLOOKUP($A196,'Data Vlaue (Cr)'!$C:$FB,64)</f>
        <v>391</v>
      </c>
      <c r="O196" s="51">
        <f>VLOOKUP($A196,'Data Vlaue (Cr)'!$C:$FB,66)*100</f>
        <v>67.27</v>
      </c>
    </row>
    <row r="197" spans="1:15" x14ac:dyDescent="0.25">
      <c r="A197" s="101" t="str">
        <f>'Data Vlaue (Cr)'!C192</f>
        <v>TATASTEEL</v>
      </c>
      <c r="B197" s="50">
        <f>VLOOKUP($A197,'Data Vlaue (Cr)'!$C:$FB,8)</f>
        <v>207.59</v>
      </c>
      <c r="C197" s="50">
        <f>VLOOKUP($A197,'Data Vlaue (Cr)'!$C:$FB,11)*100</f>
        <v>-0.2</v>
      </c>
      <c r="D197" s="50">
        <f>VLOOKUP($A197,'Data Vlaue (Cr)'!$C:$FB,143)</f>
        <v>9268.14</v>
      </c>
      <c r="E197" s="50">
        <f>VLOOKUP($A197,'Data Vlaue (Cr)'!$C:$FB,144)</f>
        <v>23307.63</v>
      </c>
      <c r="F197" s="50">
        <f>VLOOKUP($A197,'Data Vlaue (Cr)'!$C:$FB,146)*100</f>
        <v>-60.24</v>
      </c>
      <c r="G197" s="49">
        <f>VLOOKUP($A197,'Data Vlaue (Cr)'!$C:$FB,43)</f>
        <v>1076</v>
      </c>
      <c r="H197" s="49">
        <f>VLOOKUP($A197,'Data Vlaue (Cr)'!$C:$FB,44)</f>
        <v>2211</v>
      </c>
      <c r="I197" s="49">
        <f>VLOOKUP($A197,'Data Vlaue (Cr)'!$C:$FB,46)*100</f>
        <v>-51.32</v>
      </c>
      <c r="J197" s="51">
        <f>VLOOKUP($A197,'Data Vlaue (Cr)'!$C:$FB,59)</f>
        <v>5172</v>
      </c>
      <c r="K197" s="51">
        <f>VLOOKUP($A197,'Data Vlaue (Cr)'!$C:$FB,60)</f>
        <v>14312</v>
      </c>
      <c r="L197" s="51">
        <f>VLOOKUP($A197,'Data Vlaue (Cr)'!$C:$FB,62)*100</f>
        <v>-63.870000000000005</v>
      </c>
      <c r="M197" s="51">
        <f>VLOOKUP($A197,'Data Vlaue (Cr)'!$C:$FB,63)</f>
        <v>2872</v>
      </c>
      <c r="N197" s="51">
        <f>VLOOKUP($A197,'Data Vlaue (Cr)'!$C:$FB,64)</f>
        <v>6484</v>
      </c>
      <c r="O197" s="51">
        <f>VLOOKUP($A197,'Data Vlaue (Cr)'!$C:$FB,66)*100</f>
        <v>-55.7</v>
      </c>
    </row>
    <row r="198" spans="1:15" x14ac:dyDescent="0.25">
      <c r="A198" s="101" t="str">
        <f>'Data Vlaue (Cr)'!C193</f>
        <v>TATATECH</v>
      </c>
      <c r="B198" s="50">
        <f>VLOOKUP($A198,'Data Vlaue (Cr)'!$C:$FB,8)</f>
        <v>627.95000000000005</v>
      </c>
      <c r="C198" s="50">
        <f>VLOOKUP($A198,'Data Vlaue (Cr)'!$C:$FB,11)*100</f>
        <v>-0.44</v>
      </c>
      <c r="D198" s="50">
        <f>VLOOKUP($A198,'Data Vlaue (Cr)'!$C:$FB,143)</f>
        <v>296.25</v>
      </c>
      <c r="E198" s="50">
        <f>VLOOKUP($A198,'Data Vlaue (Cr)'!$C:$FB,144)</f>
        <v>742.23</v>
      </c>
      <c r="F198" s="50">
        <f>VLOOKUP($A198,'Data Vlaue (Cr)'!$C:$FB,146)*100</f>
        <v>-60.089999999999996</v>
      </c>
      <c r="G198" s="49">
        <f>VLOOKUP($A198,'Data Vlaue (Cr)'!$C:$FB,43)</f>
        <v>75</v>
      </c>
      <c r="H198" s="49">
        <f>VLOOKUP($A198,'Data Vlaue (Cr)'!$C:$FB,44)</f>
        <v>163</v>
      </c>
      <c r="I198" s="49">
        <f>VLOOKUP($A198,'Data Vlaue (Cr)'!$C:$FB,46)*100</f>
        <v>-53.910000000000004</v>
      </c>
      <c r="J198" s="51">
        <f>VLOOKUP($A198,'Data Vlaue (Cr)'!$C:$FB,59)</f>
        <v>132</v>
      </c>
      <c r="K198" s="51">
        <f>VLOOKUP($A198,'Data Vlaue (Cr)'!$C:$FB,60)</f>
        <v>421</v>
      </c>
      <c r="L198" s="51">
        <f>VLOOKUP($A198,'Data Vlaue (Cr)'!$C:$FB,62)*100</f>
        <v>-68.58</v>
      </c>
      <c r="M198" s="51">
        <f>VLOOKUP($A198,'Data Vlaue (Cr)'!$C:$FB,63)</f>
        <v>82</v>
      </c>
      <c r="N198" s="51">
        <f>VLOOKUP($A198,'Data Vlaue (Cr)'!$C:$FB,64)</f>
        <v>137</v>
      </c>
      <c r="O198" s="51">
        <f>VLOOKUP($A198,'Data Vlaue (Cr)'!$C:$FB,66)*100</f>
        <v>-40.33</v>
      </c>
    </row>
    <row r="199" spans="1:15" x14ac:dyDescent="0.25">
      <c r="A199" s="101" t="str">
        <f>'Data Vlaue (Cr)'!C194</f>
        <v>TCS</v>
      </c>
      <c r="B199" s="50">
        <f>VLOOKUP($A199,'Data Vlaue (Cr)'!$C:$FB,8)</f>
        <v>2909.8</v>
      </c>
      <c r="C199" s="50">
        <f>VLOOKUP($A199,'Data Vlaue (Cr)'!$C:$FB,11)*100</f>
        <v>-2.5100000000000002</v>
      </c>
      <c r="D199" s="50">
        <f>VLOOKUP($A199,'Data Vlaue (Cr)'!$C:$FB,143)</f>
        <v>13164.57</v>
      </c>
      <c r="E199" s="50">
        <f>VLOOKUP($A199,'Data Vlaue (Cr)'!$C:$FB,144)</f>
        <v>12724.83</v>
      </c>
      <c r="F199" s="50">
        <f>VLOOKUP($A199,'Data Vlaue (Cr)'!$C:$FB,146)*100</f>
        <v>3.46</v>
      </c>
      <c r="G199" s="49">
        <f>VLOOKUP($A199,'Data Vlaue (Cr)'!$C:$FB,43)</f>
        <v>1178</v>
      </c>
      <c r="H199" s="49">
        <f>VLOOKUP($A199,'Data Vlaue (Cr)'!$C:$FB,44)</f>
        <v>1414</v>
      </c>
      <c r="I199" s="49">
        <f>VLOOKUP($A199,'Data Vlaue (Cr)'!$C:$FB,46)*100</f>
        <v>-16.689999999999998</v>
      </c>
      <c r="J199" s="51">
        <f>VLOOKUP($A199,'Data Vlaue (Cr)'!$C:$FB,59)</f>
        <v>7028</v>
      </c>
      <c r="K199" s="51">
        <f>VLOOKUP($A199,'Data Vlaue (Cr)'!$C:$FB,60)</f>
        <v>7380</v>
      </c>
      <c r="L199" s="51">
        <f>VLOOKUP($A199,'Data Vlaue (Cr)'!$C:$FB,62)*100</f>
        <v>-4.7699999999999996</v>
      </c>
      <c r="M199" s="51">
        <f>VLOOKUP($A199,'Data Vlaue (Cr)'!$C:$FB,63)</f>
        <v>4453</v>
      </c>
      <c r="N199" s="51">
        <f>VLOOKUP($A199,'Data Vlaue (Cr)'!$C:$FB,64)</f>
        <v>3331</v>
      </c>
      <c r="O199" s="51">
        <f>VLOOKUP($A199,'Data Vlaue (Cr)'!$C:$FB,66)*100</f>
        <v>33.68</v>
      </c>
    </row>
    <row r="200" spans="1:15" x14ac:dyDescent="0.25">
      <c r="A200" s="101" t="str">
        <f>'Data Vlaue (Cr)'!C195</f>
        <v>TECHM</v>
      </c>
      <c r="B200" s="50">
        <f>VLOOKUP($A200,'Data Vlaue (Cr)'!$C:$FB,8)</f>
        <v>1634.4</v>
      </c>
      <c r="C200" s="50">
        <f>VLOOKUP($A200,'Data Vlaue (Cr)'!$C:$FB,11)*100</f>
        <v>-0.62</v>
      </c>
      <c r="D200" s="50">
        <f>VLOOKUP($A200,'Data Vlaue (Cr)'!$C:$FB,143)</f>
        <v>2147.5700000000002</v>
      </c>
      <c r="E200" s="50">
        <f>VLOOKUP($A200,'Data Vlaue (Cr)'!$C:$FB,144)</f>
        <v>4182.38</v>
      </c>
      <c r="F200" s="50">
        <f>VLOOKUP($A200,'Data Vlaue (Cr)'!$C:$FB,146)*100</f>
        <v>-48.65</v>
      </c>
      <c r="G200" s="49">
        <f>VLOOKUP($A200,'Data Vlaue (Cr)'!$C:$FB,43)</f>
        <v>349</v>
      </c>
      <c r="H200" s="49">
        <f>VLOOKUP($A200,'Data Vlaue (Cr)'!$C:$FB,44)</f>
        <v>563</v>
      </c>
      <c r="I200" s="49">
        <f>VLOOKUP($A200,'Data Vlaue (Cr)'!$C:$FB,46)*100</f>
        <v>-38.06</v>
      </c>
      <c r="J200" s="51">
        <f>VLOOKUP($A200,'Data Vlaue (Cr)'!$C:$FB,59)</f>
        <v>981</v>
      </c>
      <c r="K200" s="51">
        <f>VLOOKUP($A200,'Data Vlaue (Cr)'!$C:$FB,60)</f>
        <v>2446</v>
      </c>
      <c r="L200" s="51">
        <f>VLOOKUP($A200,'Data Vlaue (Cr)'!$C:$FB,62)*100</f>
        <v>-59.91</v>
      </c>
      <c r="M200" s="51">
        <f>VLOOKUP($A200,'Data Vlaue (Cr)'!$C:$FB,63)</f>
        <v>780</v>
      </c>
      <c r="N200" s="51">
        <f>VLOOKUP($A200,'Data Vlaue (Cr)'!$C:$FB,64)</f>
        <v>1066</v>
      </c>
      <c r="O200" s="51">
        <f>VLOOKUP($A200,'Data Vlaue (Cr)'!$C:$FB,66)*100</f>
        <v>-26.8</v>
      </c>
    </row>
    <row r="201" spans="1:15" x14ac:dyDescent="0.25">
      <c r="A201" s="101" t="str">
        <f>'Data Vlaue (Cr)'!C196</f>
        <v>TIINDIA</v>
      </c>
      <c r="B201" s="50">
        <f>VLOOKUP($A201,'Data Vlaue (Cr)'!$C:$FB,8)</f>
        <v>2450.1999999999998</v>
      </c>
      <c r="C201" s="50">
        <f>VLOOKUP($A201,'Data Vlaue (Cr)'!$C:$FB,11)*100</f>
        <v>0.48</v>
      </c>
      <c r="D201" s="50">
        <f>VLOOKUP($A201,'Data Vlaue (Cr)'!$C:$FB,143)</f>
        <v>795.13</v>
      </c>
      <c r="E201" s="50">
        <f>VLOOKUP($A201,'Data Vlaue (Cr)'!$C:$FB,144)</f>
        <v>1755.84</v>
      </c>
      <c r="F201" s="50">
        <f>VLOOKUP($A201,'Data Vlaue (Cr)'!$C:$FB,146)*100</f>
        <v>-54.71</v>
      </c>
      <c r="G201" s="49">
        <f>VLOOKUP($A201,'Data Vlaue (Cr)'!$C:$FB,43)</f>
        <v>126</v>
      </c>
      <c r="H201" s="49">
        <f>VLOOKUP($A201,'Data Vlaue (Cr)'!$C:$FB,44)</f>
        <v>244</v>
      </c>
      <c r="I201" s="49">
        <f>VLOOKUP($A201,'Data Vlaue (Cr)'!$C:$FB,46)*100</f>
        <v>-48.32</v>
      </c>
      <c r="J201" s="51">
        <f>VLOOKUP($A201,'Data Vlaue (Cr)'!$C:$FB,59)</f>
        <v>508</v>
      </c>
      <c r="K201" s="51">
        <f>VLOOKUP($A201,'Data Vlaue (Cr)'!$C:$FB,60)</f>
        <v>1074</v>
      </c>
      <c r="L201" s="51">
        <f>VLOOKUP($A201,'Data Vlaue (Cr)'!$C:$FB,62)*100</f>
        <v>-52.739999999999995</v>
      </c>
      <c r="M201" s="51">
        <f>VLOOKUP($A201,'Data Vlaue (Cr)'!$C:$FB,63)</f>
        <v>138</v>
      </c>
      <c r="N201" s="51">
        <f>VLOOKUP($A201,'Data Vlaue (Cr)'!$C:$FB,64)</f>
        <v>404</v>
      </c>
      <c r="O201" s="51">
        <f>VLOOKUP($A201,'Data Vlaue (Cr)'!$C:$FB,66)*100</f>
        <v>-65.91</v>
      </c>
    </row>
    <row r="202" spans="1:15" x14ac:dyDescent="0.25">
      <c r="A202" s="101" t="str">
        <f>'Data Vlaue (Cr)'!C197</f>
        <v>TITAN</v>
      </c>
      <c r="B202" s="50">
        <f>VLOOKUP($A202,'Data Vlaue (Cr)'!$C:$FB,8)</f>
        <v>4249.1000000000004</v>
      </c>
      <c r="C202" s="50">
        <f>VLOOKUP($A202,'Data Vlaue (Cr)'!$C:$FB,11)*100</f>
        <v>-0.47000000000000003</v>
      </c>
      <c r="D202" s="50">
        <f>VLOOKUP($A202,'Data Vlaue (Cr)'!$C:$FB,143)</f>
        <v>32204.25</v>
      </c>
      <c r="E202" s="50">
        <f>VLOOKUP($A202,'Data Vlaue (Cr)'!$C:$FB,144)</f>
        <v>15451.05</v>
      </c>
      <c r="F202" s="50">
        <f>VLOOKUP($A202,'Data Vlaue (Cr)'!$C:$FB,146)*100</f>
        <v>108.43</v>
      </c>
      <c r="G202" s="49">
        <f>VLOOKUP($A202,'Data Vlaue (Cr)'!$C:$FB,43)</f>
        <v>2158</v>
      </c>
      <c r="H202" s="49">
        <f>VLOOKUP($A202,'Data Vlaue (Cr)'!$C:$FB,44)</f>
        <v>1156</v>
      </c>
      <c r="I202" s="49">
        <f>VLOOKUP($A202,'Data Vlaue (Cr)'!$C:$FB,46)*100</f>
        <v>86.74</v>
      </c>
      <c r="J202" s="51">
        <f>VLOOKUP($A202,'Data Vlaue (Cr)'!$C:$FB,59)</f>
        <v>19584</v>
      </c>
      <c r="K202" s="51">
        <f>VLOOKUP($A202,'Data Vlaue (Cr)'!$C:$FB,60)</f>
        <v>10462</v>
      </c>
      <c r="L202" s="51">
        <f>VLOOKUP($A202,'Data Vlaue (Cr)'!$C:$FB,62)*100</f>
        <v>87.19</v>
      </c>
      <c r="M202" s="51">
        <f>VLOOKUP($A202,'Data Vlaue (Cr)'!$C:$FB,63)</f>
        <v>9551</v>
      </c>
      <c r="N202" s="51">
        <f>VLOOKUP($A202,'Data Vlaue (Cr)'!$C:$FB,64)</f>
        <v>3288</v>
      </c>
      <c r="O202" s="51">
        <f>VLOOKUP($A202,'Data Vlaue (Cr)'!$C:$FB,66)*100</f>
        <v>190.52</v>
      </c>
    </row>
    <row r="203" spans="1:15" x14ac:dyDescent="0.25">
      <c r="A203" s="101" t="str">
        <f>'Data Vlaue (Cr)'!C198</f>
        <v>TMPV</v>
      </c>
      <c r="B203" s="50">
        <f>VLOOKUP($A203,'Data Vlaue (Cr)'!$C:$FB,8)</f>
        <v>384.7</v>
      </c>
      <c r="C203" s="50">
        <f>VLOOKUP($A203,'Data Vlaue (Cr)'!$C:$FB,11)*100</f>
        <v>1.41</v>
      </c>
      <c r="D203" s="50">
        <f>VLOOKUP($A203,'Data Vlaue (Cr)'!$C:$FB,143)</f>
        <v>5102.0200000000004</v>
      </c>
      <c r="E203" s="50">
        <f>VLOOKUP($A203,'Data Vlaue (Cr)'!$C:$FB,144)</f>
        <v>3026.63</v>
      </c>
      <c r="F203" s="50">
        <f>VLOOKUP($A203,'Data Vlaue (Cr)'!$C:$FB,146)*100</f>
        <v>68.569999999999993</v>
      </c>
      <c r="G203" s="49">
        <f>VLOOKUP($A203,'Data Vlaue (Cr)'!$C:$FB,43)</f>
        <v>633</v>
      </c>
      <c r="H203" s="49">
        <f>VLOOKUP($A203,'Data Vlaue (Cr)'!$C:$FB,44)</f>
        <v>446</v>
      </c>
      <c r="I203" s="49">
        <f>VLOOKUP($A203,'Data Vlaue (Cr)'!$C:$FB,46)*100</f>
        <v>42.03</v>
      </c>
      <c r="J203" s="51">
        <f>VLOOKUP($A203,'Data Vlaue (Cr)'!$C:$FB,59)</f>
        <v>2949</v>
      </c>
      <c r="K203" s="51">
        <f>VLOOKUP($A203,'Data Vlaue (Cr)'!$C:$FB,60)</f>
        <v>1682</v>
      </c>
      <c r="L203" s="51">
        <f>VLOOKUP($A203,'Data Vlaue (Cr)'!$C:$FB,62)*100</f>
        <v>75.339999999999989</v>
      </c>
      <c r="M203" s="51">
        <f>VLOOKUP($A203,'Data Vlaue (Cr)'!$C:$FB,63)</f>
        <v>1463</v>
      </c>
      <c r="N203" s="51">
        <f>VLOOKUP($A203,'Data Vlaue (Cr)'!$C:$FB,64)</f>
        <v>892</v>
      </c>
      <c r="O203" s="51">
        <f>VLOOKUP($A203,'Data Vlaue (Cr)'!$C:$FB,66)*100</f>
        <v>64.010000000000005</v>
      </c>
    </row>
    <row r="204" spans="1:15" x14ac:dyDescent="0.25">
      <c r="A204" s="101" t="str">
        <f>'Data Vlaue (Cr)'!C199</f>
        <v>TORNTPHARM</v>
      </c>
      <c r="B204" s="50">
        <f>VLOOKUP($A204,'Data Vlaue (Cr)'!$C:$FB,8)</f>
        <v>4056.7</v>
      </c>
      <c r="C204" s="50">
        <f>VLOOKUP($A204,'Data Vlaue (Cr)'!$C:$FB,11)*100</f>
        <v>-0.55999999999999994</v>
      </c>
      <c r="D204" s="50">
        <f>VLOOKUP($A204,'Data Vlaue (Cr)'!$C:$FB,143)</f>
        <v>603.58000000000004</v>
      </c>
      <c r="E204" s="50">
        <f>VLOOKUP($A204,'Data Vlaue (Cr)'!$C:$FB,144)</f>
        <v>746.81</v>
      </c>
      <c r="F204" s="50">
        <f>VLOOKUP($A204,'Data Vlaue (Cr)'!$C:$FB,146)*100</f>
        <v>-19.18</v>
      </c>
      <c r="G204" s="49">
        <f>VLOOKUP($A204,'Data Vlaue (Cr)'!$C:$FB,43)</f>
        <v>180</v>
      </c>
      <c r="H204" s="49">
        <f>VLOOKUP($A204,'Data Vlaue (Cr)'!$C:$FB,44)</f>
        <v>151</v>
      </c>
      <c r="I204" s="49">
        <f>VLOOKUP($A204,'Data Vlaue (Cr)'!$C:$FB,46)*100</f>
        <v>19.59</v>
      </c>
      <c r="J204" s="51">
        <f>VLOOKUP($A204,'Data Vlaue (Cr)'!$C:$FB,59)</f>
        <v>313</v>
      </c>
      <c r="K204" s="51">
        <f>VLOOKUP($A204,'Data Vlaue (Cr)'!$C:$FB,60)</f>
        <v>493</v>
      </c>
      <c r="L204" s="51">
        <f>VLOOKUP($A204,'Data Vlaue (Cr)'!$C:$FB,62)*100</f>
        <v>-36.44</v>
      </c>
      <c r="M204" s="51">
        <f>VLOOKUP($A204,'Data Vlaue (Cr)'!$C:$FB,63)</f>
        <v>97</v>
      </c>
      <c r="N204" s="51">
        <f>VLOOKUP($A204,'Data Vlaue (Cr)'!$C:$FB,64)</f>
        <v>84</v>
      </c>
      <c r="O204" s="51">
        <f>VLOOKUP($A204,'Data Vlaue (Cr)'!$C:$FB,66)*100</f>
        <v>15.07</v>
      </c>
    </row>
    <row r="205" spans="1:15" x14ac:dyDescent="0.25">
      <c r="A205" s="101" t="str">
        <f>'Data Vlaue (Cr)'!C200</f>
        <v>TORNTPOWER</v>
      </c>
      <c r="B205" s="50">
        <f>VLOOKUP($A205,'Data Vlaue (Cr)'!$C:$FB,8)</f>
        <v>1428.6</v>
      </c>
      <c r="C205" s="50">
        <f>VLOOKUP($A205,'Data Vlaue (Cr)'!$C:$FB,11)*100</f>
        <v>-3.6700000000000004</v>
      </c>
      <c r="D205" s="50">
        <f>VLOOKUP($A205,'Data Vlaue (Cr)'!$C:$FB,143)</f>
        <v>4519.6000000000004</v>
      </c>
      <c r="E205" s="50">
        <f>VLOOKUP($A205,'Data Vlaue (Cr)'!$C:$FB,144)</f>
        <v>3122.43</v>
      </c>
      <c r="F205" s="50">
        <f>VLOOKUP($A205,'Data Vlaue (Cr)'!$C:$FB,146)*100</f>
        <v>44.75</v>
      </c>
      <c r="G205" s="49">
        <f>VLOOKUP($A205,'Data Vlaue (Cr)'!$C:$FB,43)</f>
        <v>583</v>
      </c>
      <c r="H205" s="49">
        <f>VLOOKUP($A205,'Data Vlaue (Cr)'!$C:$FB,44)</f>
        <v>323</v>
      </c>
      <c r="I205" s="49">
        <f>VLOOKUP($A205,'Data Vlaue (Cr)'!$C:$FB,46)*100</f>
        <v>80.25</v>
      </c>
      <c r="J205" s="51">
        <f>VLOOKUP($A205,'Data Vlaue (Cr)'!$C:$FB,59)</f>
        <v>2509</v>
      </c>
      <c r="K205" s="51">
        <f>VLOOKUP($A205,'Data Vlaue (Cr)'!$C:$FB,60)</f>
        <v>1943</v>
      </c>
      <c r="L205" s="51">
        <f>VLOOKUP($A205,'Data Vlaue (Cr)'!$C:$FB,62)*100</f>
        <v>29.14</v>
      </c>
      <c r="M205" s="51">
        <f>VLOOKUP($A205,'Data Vlaue (Cr)'!$C:$FB,63)</f>
        <v>1314</v>
      </c>
      <c r="N205" s="51">
        <f>VLOOKUP($A205,'Data Vlaue (Cr)'!$C:$FB,64)</f>
        <v>676</v>
      </c>
      <c r="O205" s="51">
        <f>VLOOKUP($A205,'Data Vlaue (Cr)'!$C:$FB,66)*100</f>
        <v>94.31</v>
      </c>
    </row>
    <row r="206" spans="1:15" x14ac:dyDescent="0.25">
      <c r="A206" s="101" t="str">
        <f>'Data Vlaue (Cr)'!C201</f>
        <v>TRENT</v>
      </c>
      <c r="B206" s="50">
        <f>VLOOKUP($A206,'Data Vlaue (Cr)'!$C:$FB,8)</f>
        <v>4218.8999999999996</v>
      </c>
      <c r="C206" s="50">
        <f>VLOOKUP($A206,'Data Vlaue (Cr)'!$C:$FB,11)*100</f>
        <v>0.82000000000000006</v>
      </c>
      <c r="D206" s="50">
        <f>VLOOKUP($A206,'Data Vlaue (Cr)'!$C:$FB,143)</f>
        <v>3476.45</v>
      </c>
      <c r="E206" s="50">
        <f>VLOOKUP($A206,'Data Vlaue (Cr)'!$C:$FB,144)</f>
        <v>2229.08</v>
      </c>
      <c r="F206" s="50">
        <f>VLOOKUP($A206,'Data Vlaue (Cr)'!$C:$FB,146)*100</f>
        <v>55.96</v>
      </c>
      <c r="G206" s="49">
        <f>VLOOKUP($A206,'Data Vlaue (Cr)'!$C:$FB,43)</f>
        <v>322</v>
      </c>
      <c r="H206" s="49">
        <f>VLOOKUP($A206,'Data Vlaue (Cr)'!$C:$FB,44)</f>
        <v>236</v>
      </c>
      <c r="I206" s="49">
        <f>VLOOKUP($A206,'Data Vlaue (Cr)'!$C:$FB,46)*100</f>
        <v>36.299999999999997</v>
      </c>
      <c r="J206" s="51">
        <f>VLOOKUP($A206,'Data Vlaue (Cr)'!$C:$FB,59)</f>
        <v>2076</v>
      </c>
      <c r="K206" s="51">
        <f>VLOOKUP($A206,'Data Vlaue (Cr)'!$C:$FB,60)</f>
        <v>1246</v>
      </c>
      <c r="L206" s="51">
        <f>VLOOKUP($A206,'Data Vlaue (Cr)'!$C:$FB,62)*100</f>
        <v>66.62</v>
      </c>
      <c r="M206" s="51">
        <f>VLOOKUP($A206,'Data Vlaue (Cr)'!$C:$FB,63)</f>
        <v>1034</v>
      </c>
      <c r="N206" s="51">
        <f>VLOOKUP($A206,'Data Vlaue (Cr)'!$C:$FB,64)</f>
        <v>735</v>
      </c>
      <c r="O206" s="51">
        <f>VLOOKUP($A206,'Data Vlaue (Cr)'!$C:$FB,66)*100</f>
        <v>40.75</v>
      </c>
    </row>
    <row r="207" spans="1:15" x14ac:dyDescent="0.25">
      <c r="A207" s="101" t="str">
        <f>'Data Vlaue (Cr)'!C202</f>
        <v>TVSMOTOR</v>
      </c>
      <c r="B207" s="50">
        <f>VLOOKUP($A207,'Data Vlaue (Cr)'!$C:$FB,8)</f>
        <v>3865.1</v>
      </c>
      <c r="C207" s="50">
        <f>VLOOKUP($A207,'Data Vlaue (Cr)'!$C:$FB,11)*100</f>
        <v>2.73</v>
      </c>
      <c r="D207" s="50">
        <f>VLOOKUP($A207,'Data Vlaue (Cr)'!$C:$FB,143)</f>
        <v>6726.18</v>
      </c>
      <c r="E207" s="50">
        <f>VLOOKUP($A207,'Data Vlaue (Cr)'!$C:$FB,144)</f>
        <v>1079.67</v>
      </c>
      <c r="F207" s="50">
        <f>VLOOKUP($A207,'Data Vlaue (Cr)'!$C:$FB,146)*100</f>
        <v>522.98</v>
      </c>
      <c r="G207" s="49">
        <f>VLOOKUP($A207,'Data Vlaue (Cr)'!$C:$FB,43)</f>
        <v>490</v>
      </c>
      <c r="H207" s="49">
        <f>VLOOKUP($A207,'Data Vlaue (Cr)'!$C:$FB,44)</f>
        <v>324</v>
      </c>
      <c r="I207" s="49">
        <f>VLOOKUP($A207,'Data Vlaue (Cr)'!$C:$FB,46)*100</f>
        <v>51.27</v>
      </c>
      <c r="J207" s="51">
        <f>VLOOKUP($A207,'Data Vlaue (Cr)'!$C:$FB,59)</f>
        <v>4883</v>
      </c>
      <c r="K207" s="51">
        <f>VLOOKUP($A207,'Data Vlaue (Cr)'!$C:$FB,60)</f>
        <v>541</v>
      </c>
      <c r="L207" s="51">
        <f>VLOOKUP($A207,'Data Vlaue (Cr)'!$C:$FB,62)*100</f>
        <v>802.82</v>
      </c>
      <c r="M207" s="51">
        <f>VLOOKUP($A207,'Data Vlaue (Cr)'!$C:$FB,63)</f>
        <v>1268</v>
      </c>
      <c r="N207" s="51">
        <f>VLOOKUP($A207,'Data Vlaue (Cr)'!$C:$FB,64)</f>
        <v>232</v>
      </c>
      <c r="O207" s="51">
        <f>VLOOKUP($A207,'Data Vlaue (Cr)'!$C:$FB,66)*100</f>
        <v>446.3</v>
      </c>
    </row>
    <row r="208" spans="1:15" x14ac:dyDescent="0.25">
      <c r="A208" s="101" t="str">
        <f>'Data Vlaue (Cr)'!C203</f>
        <v>ULTRACEMCO</v>
      </c>
      <c r="B208" s="50">
        <f>VLOOKUP($A208,'Data Vlaue (Cr)'!$C:$FB,8)</f>
        <v>12969</v>
      </c>
      <c r="C208" s="50">
        <f>VLOOKUP($A208,'Data Vlaue (Cr)'!$C:$FB,11)*100</f>
        <v>-0.41000000000000003</v>
      </c>
      <c r="D208" s="50">
        <f>VLOOKUP($A208,'Data Vlaue (Cr)'!$C:$FB,143)</f>
        <v>1851.62</v>
      </c>
      <c r="E208" s="50">
        <f>VLOOKUP($A208,'Data Vlaue (Cr)'!$C:$FB,144)</f>
        <v>2912.43</v>
      </c>
      <c r="F208" s="50">
        <f>VLOOKUP($A208,'Data Vlaue (Cr)'!$C:$FB,146)*100</f>
        <v>-36.42</v>
      </c>
      <c r="G208" s="49">
        <f>VLOOKUP($A208,'Data Vlaue (Cr)'!$C:$FB,43)</f>
        <v>206</v>
      </c>
      <c r="H208" s="49">
        <f>VLOOKUP($A208,'Data Vlaue (Cr)'!$C:$FB,44)</f>
        <v>243</v>
      </c>
      <c r="I208" s="49">
        <f>VLOOKUP($A208,'Data Vlaue (Cr)'!$C:$FB,46)*100</f>
        <v>-15.4</v>
      </c>
      <c r="J208" s="51">
        <f>VLOOKUP($A208,'Data Vlaue (Cr)'!$C:$FB,59)</f>
        <v>1019</v>
      </c>
      <c r="K208" s="51">
        <f>VLOOKUP($A208,'Data Vlaue (Cr)'!$C:$FB,60)</f>
        <v>1674</v>
      </c>
      <c r="L208" s="51">
        <f>VLOOKUP($A208,'Data Vlaue (Cr)'!$C:$FB,62)*100</f>
        <v>-39.14</v>
      </c>
      <c r="M208" s="51">
        <f>VLOOKUP($A208,'Data Vlaue (Cr)'!$C:$FB,63)</f>
        <v>613</v>
      </c>
      <c r="N208" s="51">
        <f>VLOOKUP($A208,'Data Vlaue (Cr)'!$C:$FB,64)</f>
        <v>956</v>
      </c>
      <c r="O208" s="51">
        <f>VLOOKUP($A208,'Data Vlaue (Cr)'!$C:$FB,66)*100</f>
        <v>-35.85</v>
      </c>
    </row>
    <row r="209" spans="1:15" x14ac:dyDescent="0.25">
      <c r="A209" s="101" t="str">
        <f>'Data Vlaue (Cr)'!C204</f>
        <v>UNIONBANK</v>
      </c>
      <c r="B209" s="50">
        <f>VLOOKUP($A209,'Data Vlaue (Cr)'!$C:$FB,8)</f>
        <v>180.33</v>
      </c>
      <c r="C209" s="50">
        <f>VLOOKUP($A209,'Data Vlaue (Cr)'!$C:$FB,11)*100</f>
        <v>0.6</v>
      </c>
      <c r="D209" s="50">
        <f>VLOOKUP($A209,'Data Vlaue (Cr)'!$C:$FB,143)</f>
        <v>1808.36</v>
      </c>
      <c r="E209" s="50">
        <f>VLOOKUP($A209,'Data Vlaue (Cr)'!$C:$FB,144)</f>
        <v>957.48</v>
      </c>
      <c r="F209" s="50">
        <f>VLOOKUP($A209,'Data Vlaue (Cr)'!$C:$FB,146)*100</f>
        <v>88.87</v>
      </c>
      <c r="G209" s="49">
        <f>VLOOKUP($A209,'Data Vlaue (Cr)'!$C:$FB,43)</f>
        <v>285</v>
      </c>
      <c r="H209" s="49">
        <f>VLOOKUP($A209,'Data Vlaue (Cr)'!$C:$FB,44)</f>
        <v>198</v>
      </c>
      <c r="I209" s="49">
        <f>VLOOKUP($A209,'Data Vlaue (Cr)'!$C:$FB,46)*100</f>
        <v>43.75</v>
      </c>
      <c r="J209" s="51">
        <f>VLOOKUP($A209,'Data Vlaue (Cr)'!$C:$FB,59)</f>
        <v>1161</v>
      </c>
      <c r="K209" s="51">
        <f>VLOOKUP($A209,'Data Vlaue (Cr)'!$C:$FB,60)</f>
        <v>550</v>
      </c>
      <c r="L209" s="51">
        <f>VLOOKUP($A209,'Data Vlaue (Cr)'!$C:$FB,62)*100</f>
        <v>111.06</v>
      </c>
      <c r="M209" s="51">
        <f>VLOOKUP($A209,'Data Vlaue (Cr)'!$C:$FB,63)</f>
        <v>323</v>
      </c>
      <c r="N209" s="51">
        <f>VLOOKUP($A209,'Data Vlaue (Cr)'!$C:$FB,64)</f>
        <v>191</v>
      </c>
      <c r="O209" s="51">
        <f>VLOOKUP($A209,'Data Vlaue (Cr)'!$C:$FB,66)*100</f>
        <v>69.459999999999994</v>
      </c>
    </row>
    <row r="210" spans="1:15" x14ac:dyDescent="0.25">
      <c r="A210" s="101" t="str">
        <f>'Data Vlaue (Cr)'!C205</f>
        <v>UNITDSPR</v>
      </c>
      <c r="B210" s="50">
        <f>VLOOKUP($A210,'Data Vlaue (Cr)'!$C:$FB,8)</f>
        <v>1412.9</v>
      </c>
      <c r="C210" s="50">
        <f>VLOOKUP($A210,'Data Vlaue (Cr)'!$C:$FB,11)*100</f>
        <v>0.21</v>
      </c>
      <c r="D210" s="50">
        <f>VLOOKUP($A210,'Data Vlaue (Cr)'!$C:$FB,143)</f>
        <v>370.91</v>
      </c>
      <c r="E210" s="50">
        <f>VLOOKUP($A210,'Data Vlaue (Cr)'!$C:$FB,144)</f>
        <v>394.42</v>
      </c>
      <c r="F210" s="50">
        <f>VLOOKUP($A210,'Data Vlaue (Cr)'!$C:$FB,146)*100</f>
        <v>-5.96</v>
      </c>
      <c r="G210" s="49">
        <f>VLOOKUP($A210,'Data Vlaue (Cr)'!$C:$FB,43)</f>
        <v>78</v>
      </c>
      <c r="H210" s="49">
        <f>VLOOKUP($A210,'Data Vlaue (Cr)'!$C:$FB,44)</f>
        <v>72</v>
      </c>
      <c r="I210" s="49">
        <f>VLOOKUP($A210,'Data Vlaue (Cr)'!$C:$FB,46)*100</f>
        <v>7.66</v>
      </c>
      <c r="J210" s="51">
        <f>VLOOKUP($A210,'Data Vlaue (Cr)'!$C:$FB,59)</f>
        <v>184</v>
      </c>
      <c r="K210" s="51">
        <f>VLOOKUP($A210,'Data Vlaue (Cr)'!$C:$FB,60)</f>
        <v>224</v>
      </c>
      <c r="L210" s="51">
        <f>VLOOKUP($A210,'Data Vlaue (Cr)'!$C:$FB,62)*100</f>
        <v>-18.13</v>
      </c>
      <c r="M210" s="51">
        <f>VLOOKUP($A210,'Data Vlaue (Cr)'!$C:$FB,63)</f>
        <v>107</v>
      </c>
      <c r="N210" s="51">
        <f>VLOOKUP($A210,'Data Vlaue (Cr)'!$C:$FB,64)</f>
        <v>94</v>
      </c>
      <c r="O210" s="51">
        <f>VLOOKUP($A210,'Data Vlaue (Cr)'!$C:$FB,66)*100</f>
        <v>13.94</v>
      </c>
    </row>
    <row r="211" spans="1:15" x14ac:dyDescent="0.25">
      <c r="A211" s="101" t="str">
        <f>'Data Vlaue (Cr)'!C206</f>
        <v>UNOMINDA</v>
      </c>
      <c r="B211" s="50">
        <f>VLOOKUP($A211,'Data Vlaue (Cr)'!$C:$FB,8)</f>
        <v>1245.8</v>
      </c>
      <c r="C211" s="50">
        <f>VLOOKUP($A211,'Data Vlaue (Cr)'!$C:$FB,11)*100</f>
        <v>1.1900000000000002</v>
      </c>
      <c r="D211" s="50">
        <f>VLOOKUP($A211,'Data Vlaue (Cr)'!$C:$FB,143)</f>
        <v>836.4</v>
      </c>
      <c r="E211" s="50">
        <f>VLOOKUP($A211,'Data Vlaue (Cr)'!$C:$FB,144)</f>
        <v>656.58</v>
      </c>
      <c r="F211" s="50">
        <f>VLOOKUP($A211,'Data Vlaue (Cr)'!$C:$FB,146)*100</f>
        <v>27.389999999999997</v>
      </c>
      <c r="G211" s="49">
        <f>VLOOKUP($A211,'Data Vlaue (Cr)'!$C:$FB,43)</f>
        <v>121</v>
      </c>
      <c r="H211" s="49">
        <f>VLOOKUP($A211,'Data Vlaue (Cr)'!$C:$FB,44)</f>
        <v>98</v>
      </c>
      <c r="I211" s="49">
        <f>VLOOKUP($A211,'Data Vlaue (Cr)'!$C:$FB,46)*100</f>
        <v>23.45</v>
      </c>
      <c r="J211" s="51">
        <f>VLOOKUP($A211,'Data Vlaue (Cr)'!$C:$FB,59)</f>
        <v>503</v>
      </c>
      <c r="K211" s="51">
        <f>VLOOKUP($A211,'Data Vlaue (Cr)'!$C:$FB,60)</f>
        <v>392</v>
      </c>
      <c r="L211" s="51">
        <f>VLOOKUP($A211,'Data Vlaue (Cr)'!$C:$FB,62)*100</f>
        <v>28.22</v>
      </c>
      <c r="M211" s="51">
        <f>VLOOKUP($A211,'Data Vlaue (Cr)'!$C:$FB,63)</f>
        <v>207</v>
      </c>
      <c r="N211" s="51">
        <f>VLOOKUP($A211,'Data Vlaue (Cr)'!$C:$FB,64)</f>
        <v>173</v>
      </c>
      <c r="O211" s="51">
        <f>VLOOKUP($A211,'Data Vlaue (Cr)'!$C:$FB,66)*100</f>
        <v>19.89</v>
      </c>
    </row>
    <row r="212" spans="1:15" x14ac:dyDescent="0.25">
      <c r="A212" s="101" t="str">
        <f>'Data Vlaue (Cr)'!C207</f>
        <v>UPL</v>
      </c>
      <c r="B212" s="50">
        <f>VLOOKUP($A212,'Data Vlaue (Cr)'!$C:$FB,8)</f>
        <v>749</v>
      </c>
      <c r="C212" s="50">
        <f>VLOOKUP($A212,'Data Vlaue (Cr)'!$C:$FB,11)*100</f>
        <v>0.4</v>
      </c>
      <c r="D212" s="50">
        <f>VLOOKUP($A212,'Data Vlaue (Cr)'!$C:$FB,143)</f>
        <v>1021.29</v>
      </c>
      <c r="E212" s="50">
        <f>VLOOKUP($A212,'Data Vlaue (Cr)'!$C:$FB,144)</f>
        <v>1697.23</v>
      </c>
      <c r="F212" s="50">
        <f>VLOOKUP($A212,'Data Vlaue (Cr)'!$C:$FB,146)*100</f>
        <v>-39.83</v>
      </c>
      <c r="G212" s="49">
        <f>VLOOKUP($A212,'Data Vlaue (Cr)'!$C:$FB,43)</f>
        <v>239</v>
      </c>
      <c r="H212" s="49">
        <f>VLOOKUP($A212,'Data Vlaue (Cr)'!$C:$FB,44)</f>
        <v>285</v>
      </c>
      <c r="I212" s="49">
        <f>VLOOKUP($A212,'Data Vlaue (Cr)'!$C:$FB,46)*100</f>
        <v>-16.220000000000002</v>
      </c>
      <c r="J212" s="51">
        <f>VLOOKUP($A212,'Data Vlaue (Cr)'!$C:$FB,59)</f>
        <v>584</v>
      </c>
      <c r="K212" s="51">
        <f>VLOOKUP($A212,'Data Vlaue (Cr)'!$C:$FB,60)</f>
        <v>978</v>
      </c>
      <c r="L212" s="51">
        <f>VLOOKUP($A212,'Data Vlaue (Cr)'!$C:$FB,62)*100</f>
        <v>-40.29</v>
      </c>
      <c r="M212" s="51">
        <f>VLOOKUP($A212,'Data Vlaue (Cr)'!$C:$FB,63)</f>
        <v>179</v>
      </c>
      <c r="N212" s="51">
        <f>VLOOKUP($A212,'Data Vlaue (Cr)'!$C:$FB,64)</f>
        <v>408</v>
      </c>
      <c r="O212" s="51">
        <f>VLOOKUP($A212,'Data Vlaue (Cr)'!$C:$FB,66)*100</f>
        <v>-56.169999999999995</v>
      </c>
    </row>
    <row r="213" spans="1:15" x14ac:dyDescent="0.25">
      <c r="A213" s="101" t="str">
        <f>'Data Vlaue (Cr)'!C208</f>
        <v>VBL</v>
      </c>
      <c r="B213" s="50">
        <f>VLOOKUP($A213,'Data Vlaue (Cr)'!$C:$FB,8)</f>
        <v>456.9</v>
      </c>
      <c r="C213" s="50">
        <f>VLOOKUP($A213,'Data Vlaue (Cr)'!$C:$FB,11)*100</f>
        <v>0.09</v>
      </c>
      <c r="D213" s="50">
        <f>VLOOKUP($A213,'Data Vlaue (Cr)'!$C:$FB,143)</f>
        <v>729.16</v>
      </c>
      <c r="E213" s="50">
        <f>VLOOKUP($A213,'Data Vlaue (Cr)'!$C:$FB,144)</f>
        <v>1557.25</v>
      </c>
      <c r="F213" s="50">
        <f>VLOOKUP($A213,'Data Vlaue (Cr)'!$C:$FB,146)*100</f>
        <v>-53.180000000000007</v>
      </c>
      <c r="G213" s="49">
        <f>VLOOKUP($A213,'Data Vlaue (Cr)'!$C:$FB,43)</f>
        <v>133</v>
      </c>
      <c r="H213" s="49">
        <f>VLOOKUP($A213,'Data Vlaue (Cr)'!$C:$FB,44)</f>
        <v>311</v>
      </c>
      <c r="I213" s="49">
        <f>VLOOKUP($A213,'Data Vlaue (Cr)'!$C:$FB,46)*100</f>
        <v>-57.07</v>
      </c>
      <c r="J213" s="51">
        <f>VLOOKUP($A213,'Data Vlaue (Cr)'!$C:$FB,59)</f>
        <v>420</v>
      </c>
      <c r="K213" s="51">
        <f>VLOOKUP($A213,'Data Vlaue (Cr)'!$C:$FB,60)</f>
        <v>808</v>
      </c>
      <c r="L213" s="51">
        <f>VLOOKUP($A213,'Data Vlaue (Cr)'!$C:$FB,62)*100</f>
        <v>-47.980000000000004</v>
      </c>
      <c r="M213" s="51">
        <f>VLOOKUP($A213,'Data Vlaue (Cr)'!$C:$FB,63)</f>
        <v>156</v>
      </c>
      <c r="N213" s="51">
        <f>VLOOKUP($A213,'Data Vlaue (Cr)'!$C:$FB,64)</f>
        <v>409</v>
      </c>
      <c r="O213" s="51">
        <f>VLOOKUP($A213,'Data Vlaue (Cr)'!$C:$FB,66)*100</f>
        <v>-61.850000000000009</v>
      </c>
    </row>
    <row r="214" spans="1:15" x14ac:dyDescent="0.25">
      <c r="A214" s="101" t="str">
        <f>'Data Vlaue (Cr)'!C209</f>
        <v>VEDL</v>
      </c>
      <c r="B214" s="50">
        <f>VLOOKUP($A214,'Data Vlaue (Cr)'!$C:$FB,8)</f>
        <v>701.15</v>
      </c>
      <c r="C214" s="50">
        <f>VLOOKUP($A214,'Data Vlaue (Cr)'!$C:$FB,11)*100</f>
        <v>1.59</v>
      </c>
      <c r="D214" s="50">
        <f>VLOOKUP($A214,'Data Vlaue (Cr)'!$C:$FB,143)</f>
        <v>6771.79</v>
      </c>
      <c r="E214" s="50">
        <f>VLOOKUP($A214,'Data Vlaue (Cr)'!$C:$FB,144)</f>
        <v>5849.39</v>
      </c>
      <c r="F214" s="50">
        <f>VLOOKUP($A214,'Data Vlaue (Cr)'!$C:$FB,146)*100</f>
        <v>15.770000000000001</v>
      </c>
      <c r="G214" s="49">
        <f>VLOOKUP($A214,'Data Vlaue (Cr)'!$C:$FB,43)</f>
        <v>935</v>
      </c>
      <c r="H214" s="49">
        <f>VLOOKUP($A214,'Data Vlaue (Cr)'!$C:$FB,44)</f>
        <v>833</v>
      </c>
      <c r="I214" s="49">
        <f>VLOOKUP($A214,'Data Vlaue (Cr)'!$C:$FB,46)*100</f>
        <v>12.32</v>
      </c>
      <c r="J214" s="51">
        <f>VLOOKUP($A214,'Data Vlaue (Cr)'!$C:$FB,59)</f>
        <v>3871</v>
      </c>
      <c r="K214" s="51">
        <f>VLOOKUP($A214,'Data Vlaue (Cr)'!$C:$FB,60)</f>
        <v>3224</v>
      </c>
      <c r="L214" s="51">
        <f>VLOOKUP($A214,'Data Vlaue (Cr)'!$C:$FB,62)*100</f>
        <v>20.09</v>
      </c>
      <c r="M214" s="51">
        <f>VLOOKUP($A214,'Data Vlaue (Cr)'!$C:$FB,63)</f>
        <v>1840</v>
      </c>
      <c r="N214" s="51">
        <f>VLOOKUP($A214,'Data Vlaue (Cr)'!$C:$FB,64)</f>
        <v>1770</v>
      </c>
      <c r="O214" s="51">
        <f>VLOOKUP($A214,'Data Vlaue (Cr)'!$C:$FB,66)*100</f>
        <v>3.9600000000000004</v>
      </c>
    </row>
    <row r="215" spans="1:15" x14ac:dyDescent="0.25">
      <c r="A215" s="101" t="str">
        <f>'Data Vlaue (Cr)'!C210</f>
        <v>VOLTAS</v>
      </c>
      <c r="B215" s="50">
        <f>VLOOKUP($A215,'Data Vlaue (Cr)'!$C:$FB,8)</f>
        <v>1506.5</v>
      </c>
      <c r="C215" s="50">
        <f>VLOOKUP($A215,'Data Vlaue (Cr)'!$C:$FB,11)*100</f>
        <v>2.09</v>
      </c>
      <c r="D215" s="50">
        <f>VLOOKUP($A215,'Data Vlaue (Cr)'!$C:$FB,143)</f>
        <v>1586.16</v>
      </c>
      <c r="E215" s="50">
        <f>VLOOKUP($A215,'Data Vlaue (Cr)'!$C:$FB,144)</f>
        <v>2816.31</v>
      </c>
      <c r="F215" s="50">
        <f>VLOOKUP($A215,'Data Vlaue (Cr)'!$C:$FB,146)*100</f>
        <v>-43.68</v>
      </c>
      <c r="G215" s="49">
        <f>VLOOKUP($A215,'Data Vlaue (Cr)'!$C:$FB,43)</f>
        <v>264</v>
      </c>
      <c r="H215" s="49">
        <f>VLOOKUP($A215,'Data Vlaue (Cr)'!$C:$FB,44)</f>
        <v>468</v>
      </c>
      <c r="I215" s="49">
        <f>VLOOKUP($A215,'Data Vlaue (Cr)'!$C:$FB,46)*100</f>
        <v>-43.65</v>
      </c>
      <c r="J215" s="51">
        <f>VLOOKUP($A215,'Data Vlaue (Cr)'!$C:$FB,59)</f>
        <v>849</v>
      </c>
      <c r="K215" s="51">
        <f>VLOOKUP($A215,'Data Vlaue (Cr)'!$C:$FB,60)</f>
        <v>1421</v>
      </c>
      <c r="L215" s="51">
        <f>VLOOKUP($A215,'Data Vlaue (Cr)'!$C:$FB,62)*100</f>
        <v>-40.28</v>
      </c>
      <c r="M215" s="51">
        <f>VLOOKUP($A215,'Data Vlaue (Cr)'!$C:$FB,63)</f>
        <v>468</v>
      </c>
      <c r="N215" s="51">
        <f>VLOOKUP($A215,'Data Vlaue (Cr)'!$C:$FB,64)</f>
        <v>908</v>
      </c>
      <c r="O215" s="51">
        <f>VLOOKUP($A215,'Data Vlaue (Cr)'!$C:$FB,66)*100</f>
        <v>-48.51</v>
      </c>
    </row>
    <row r="216" spans="1:15" x14ac:dyDescent="0.25">
      <c r="A216" s="101" t="str">
        <f>'Data Vlaue (Cr)'!C211</f>
        <v>WAAREEENER</v>
      </c>
      <c r="B216" s="50">
        <f>VLOOKUP($A216,'Data Vlaue (Cr)'!$C:$FB,8)</f>
        <v>3177.6</v>
      </c>
      <c r="C216" s="50">
        <f>VLOOKUP($A216,'Data Vlaue (Cr)'!$C:$FB,11)*100</f>
        <v>0.44</v>
      </c>
      <c r="D216" s="50">
        <f>VLOOKUP($A216,'Data Vlaue (Cr)'!$C:$FB,143)</f>
        <v>1229.0899999999999</v>
      </c>
      <c r="E216" s="50">
        <f>VLOOKUP($A216,'Data Vlaue (Cr)'!$C:$FB,144)</f>
        <v>1286.24</v>
      </c>
      <c r="F216" s="50">
        <f>VLOOKUP($A216,'Data Vlaue (Cr)'!$C:$FB,146)*100</f>
        <v>-4.4400000000000004</v>
      </c>
      <c r="G216" s="49">
        <f>VLOOKUP($A216,'Data Vlaue (Cr)'!$C:$FB,43)</f>
        <v>394</v>
      </c>
      <c r="H216" s="49">
        <f>VLOOKUP($A216,'Data Vlaue (Cr)'!$C:$FB,44)</f>
        <v>354</v>
      </c>
      <c r="I216" s="49">
        <f>VLOOKUP($A216,'Data Vlaue (Cr)'!$C:$FB,46)*100</f>
        <v>11.25</v>
      </c>
      <c r="J216" s="51">
        <f>VLOOKUP($A216,'Data Vlaue (Cr)'!$C:$FB,59)</f>
        <v>604</v>
      </c>
      <c r="K216" s="51">
        <f>VLOOKUP($A216,'Data Vlaue (Cr)'!$C:$FB,60)</f>
        <v>696</v>
      </c>
      <c r="L216" s="51">
        <f>VLOOKUP($A216,'Data Vlaue (Cr)'!$C:$FB,62)*100</f>
        <v>-13.26</v>
      </c>
      <c r="M216" s="51">
        <f>VLOOKUP($A216,'Data Vlaue (Cr)'!$C:$FB,63)</f>
        <v>208</v>
      </c>
      <c r="N216" s="51">
        <f>VLOOKUP($A216,'Data Vlaue (Cr)'!$C:$FB,64)</f>
        <v>218</v>
      </c>
      <c r="O216" s="51">
        <f>VLOOKUP($A216,'Data Vlaue (Cr)'!$C:$FB,66)*100</f>
        <v>-4.5699999999999994</v>
      </c>
    </row>
    <row r="217" spans="1:15" x14ac:dyDescent="0.25">
      <c r="A217" s="101" t="str">
        <f>'Data Vlaue (Cr)'!C212</f>
        <v>WIPRO</v>
      </c>
      <c r="B217" s="50">
        <f>VLOOKUP($A217,'Data Vlaue (Cr)'!$C:$FB,8)</f>
        <v>229.81</v>
      </c>
      <c r="C217" s="50">
        <f>VLOOKUP($A217,'Data Vlaue (Cr)'!$C:$FB,11)*100</f>
        <v>-0.72</v>
      </c>
      <c r="D217" s="50">
        <f>VLOOKUP($A217,'Data Vlaue (Cr)'!$C:$FB,143)</f>
        <v>2267.37</v>
      </c>
      <c r="E217" s="50">
        <f>VLOOKUP($A217,'Data Vlaue (Cr)'!$C:$FB,144)</f>
        <v>3367.82</v>
      </c>
      <c r="F217" s="50">
        <f>VLOOKUP($A217,'Data Vlaue (Cr)'!$C:$FB,146)*100</f>
        <v>-32.68</v>
      </c>
      <c r="G217" s="49">
        <f>VLOOKUP($A217,'Data Vlaue (Cr)'!$C:$FB,43)</f>
        <v>443</v>
      </c>
      <c r="H217" s="49">
        <f>VLOOKUP($A217,'Data Vlaue (Cr)'!$C:$FB,44)</f>
        <v>757</v>
      </c>
      <c r="I217" s="49">
        <f>VLOOKUP($A217,'Data Vlaue (Cr)'!$C:$FB,46)*100</f>
        <v>-41.55</v>
      </c>
      <c r="J217" s="51">
        <f>VLOOKUP($A217,'Data Vlaue (Cr)'!$C:$FB,59)</f>
        <v>1100</v>
      </c>
      <c r="K217" s="51">
        <f>VLOOKUP($A217,'Data Vlaue (Cr)'!$C:$FB,60)</f>
        <v>1711</v>
      </c>
      <c r="L217" s="51">
        <f>VLOOKUP($A217,'Data Vlaue (Cr)'!$C:$FB,62)*100</f>
        <v>-35.69</v>
      </c>
      <c r="M217" s="51">
        <f>VLOOKUP($A217,'Data Vlaue (Cr)'!$C:$FB,63)</f>
        <v>664</v>
      </c>
      <c r="N217" s="51">
        <f>VLOOKUP($A217,'Data Vlaue (Cr)'!$C:$FB,64)</f>
        <v>806</v>
      </c>
      <c r="O217" s="51">
        <f>VLOOKUP($A217,'Data Vlaue (Cr)'!$C:$FB,66)*100</f>
        <v>-17.52</v>
      </c>
    </row>
    <row r="218" spans="1:15" x14ac:dyDescent="0.25">
      <c r="A218" s="101" t="str">
        <f>'Data Vlaue (Cr)'!C213</f>
        <v>YESBANK</v>
      </c>
      <c r="B218" s="50">
        <f>VLOOKUP($A218,'Data Vlaue (Cr)'!$C:$FB,8)</f>
        <v>21.32</v>
      </c>
      <c r="C218" s="50">
        <f>VLOOKUP($A218,'Data Vlaue (Cr)'!$C:$FB,11)*100</f>
        <v>-0.37</v>
      </c>
      <c r="D218" s="50">
        <f>VLOOKUP($A218,'Data Vlaue (Cr)'!$C:$FB,143)</f>
        <v>641.76</v>
      </c>
      <c r="E218" s="50">
        <f>VLOOKUP($A218,'Data Vlaue (Cr)'!$C:$FB,144)</f>
        <v>936.31</v>
      </c>
      <c r="F218" s="50">
        <f>VLOOKUP($A218,'Data Vlaue (Cr)'!$C:$FB,146)*100</f>
        <v>-31.46</v>
      </c>
      <c r="G218" s="49">
        <f>VLOOKUP($A218,'Data Vlaue (Cr)'!$C:$FB,43)</f>
        <v>181</v>
      </c>
      <c r="H218" s="49">
        <f>VLOOKUP($A218,'Data Vlaue (Cr)'!$C:$FB,44)</f>
        <v>243</v>
      </c>
      <c r="I218" s="49">
        <f>VLOOKUP($A218,'Data Vlaue (Cr)'!$C:$FB,46)*100</f>
        <v>-25.36</v>
      </c>
      <c r="J218" s="51">
        <f>VLOOKUP($A218,'Data Vlaue (Cr)'!$C:$FB,59)</f>
        <v>322</v>
      </c>
      <c r="K218" s="51">
        <f>VLOOKUP($A218,'Data Vlaue (Cr)'!$C:$FB,60)</f>
        <v>482</v>
      </c>
      <c r="L218" s="51">
        <f>VLOOKUP($A218,'Data Vlaue (Cr)'!$C:$FB,62)*100</f>
        <v>-33.29</v>
      </c>
      <c r="M218" s="51">
        <f>VLOOKUP($A218,'Data Vlaue (Cr)'!$C:$FB,63)</f>
        <v>117</v>
      </c>
      <c r="N218" s="51">
        <f>VLOOKUP($A218,'Data Vlaue (Cr)'!$C:$FB,64)</f>
        <v>165</v>
      </c>
      <c r="O218" s="51">
        <f>VLOOKUP($A218,'Data Vlaue (Cr)'!$C:$FB,66)*100</f>
        <v>-28.79</v>
      </c>
    </row>
    <row r="219" spans="1:15" x14ac:dyDescent="0.25">
      <c r="A219" s="101"/>
      <c r="B219" s="50"/>
      <c r="C219" s="50"/>
      <c r="D219" s="50"/>
      <c r="E219" s="50"/>
      <c r="F219" s="50"/>
      <c r="G219" s="49"/>
      <c r="H219" s="49"/>
      <c r="I219" s="49"/>
      <c r="J219" s="51"/>
      <c r="K219" s="51"/>
      <c r="L219" s="51"/>
      <c r="M219" s="51"/>
      <c r="N219" s="51"/>
      <c r="O219" s="51"/>
    </row>
    <row r="220" spans="1:15" x14ac:dyDescent="0.25">
      <c r="A220" s="101" t="str">
        <f>'Data Vlaue (Cr)'!C214</f>
        <v>ZYDUSLIFE</v>
      </c>
      <c r="B220" s="50">
        <f>VLOOKUP($A220,'Data Vlaue (Cr)'!$C:$FB,8)</f>
        <v>898.3</v>
      </c>
      <c r="C220" s="50">
        <f>VLOOKUP($A220,'Data Vlaue (Cr)'!$C:$FB,11)*100</f>
        <v>1.24</v>
      </c>
      <c r="D220" s="50">
        <f>VLOOKUP($A220,'Data Vlaue (Cr)'!$C:$FB,143)</f>
        <v>2208.42</v>
      </c>
      <c r="E220" s="50">
        <f>VLOOKUP($A220,'Data Vlaue (Cr)'!$C:$FB,144)</f>
        <v>5798.05</v>
      </c>
      <c r="F220" s="50">
        <f>VLOOKUP($A220,'Data Vlaue (Cr)'!$C:$FB,146)*100</f>
        <v>-61.91</v>
      </c>
      <c r="G220" s="49">
        <f>VLOOKUP($A220,'Data Vlaue (Cr)'!$C:$FB,43)</f>
        <v>313</v>
      </c>
      <c r="H220" s="49">
        <f>VLOOKUP($A220,'Data Vlaue (Cr)'!$C:$FB,44)</f>
        <v>502</v>
      </c>
      <c r="I220" s="49">
        <f>VLOOKUP($A220,'Data Vlaue (Cr)'!$C:$FB,46)*100</f>
        <v>-37.51</v>
      </c>
      <c r="J220" s="51">
        <f>VLOOKUP($A220,'Data Vlaue (Cr)'!$C:$FB,59)</f>
        <v>1392</v>
      </c>
      <c r="K220" s="51">
        <f>VLOOKUP($A220,'Data Vlaue (Cr)'!$C:$FB,60)</f>
        <v>3535</v>
      </c>
      <c r="L220" s="51">
        <f>VLOOKUP($A220,'Data Vlaue (Cr)'!$C:$FB,62)*100</f>
        <v>-60.61</v>
      </c>
      <c r="M220" s="51">
        <f>VLOOKUP($A220,'Data Vlaue (Cr)'!$C:$FB,63)</f>
        <v>449</v>
      </c>
      <c r="N220" s="51">
        <f>VLOOKUP($A220,'Data Vlaue (Cr)'!$C:$FB,64)</f>
        <v>1559</v>
      </c>
      <c r="O220" s="51">
        <f>VLOOKUP($A220,'Data Vlaue (Cr)'!$C:$FB,66)*100</f>
        <v>-71.22</v>
      </c>
    </row>
    <row r="221" spans="1:15" x14ac:dyDescent="0.25">
      <c r="A221" s="101">
        <f>'Data Vlaue (Cr)'!C215</f>
        <v>0</v>
      </c>
      <c r="B221" s="50"/>
      <c r="C221" s="50"/>
      <c r="D221" s="50"/>
      <c r="E221" s="50"/>
      <c r="F221" s="50"/>
      <c r="G221" s="49"/>
      <c r="H221" s="49"/>
      <c r="I221" s="49"/>
      <c r="J221" s="51"/>
      <c r="K221" s="51"/>
      <c r="L221" s="51"/>
      <c r="M221" s="51"/>
      <c r="N221" s="51"/>
      <c r="O221" s="51"/>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9887691.429999996</v>
      </c>
      <c r="E232" s="131">
        <f>SUM(E7:E231)</f>
        <v>59941264.190000005</v>
      </c>
      <c r="F232" s="132">
        <f>(D232-E232)/E232</f>
        <v>-0.8350436620979782</v>
      </c>
      <c r="G232" s="131">
        <f>SUM(G7:G231)</f>
        <v>109481</v>
      </c>
      <c r="H232" s="131">
        <f>SUM(H7:H231)</f>
        <v>101535</v>
      </c>
      <c r="I232" s="132">
        <f>(G232-H232)/H232</f>
        <v>7.8258728517260054E-2</v>
      </c>
      <c r="J232" s="131">
        <f>SUM(J7:J231)</f>
        <v>4831759</v>
      </c>
      <c r="K232" s="131">
        <f>SUM(K7:K231)</f>
        <v>29404002</v>
      </c>
      <c r="L232" s="132">
        <f>(J232-K232)/K232</f>
        <v>-0.83567682385547382</v>
      </c>
      <c r="M232" s="131">
        <f>SUM(M7:M231)</f>
        <v>4924713</v>
      </c>
      <c r="N232" s="131">
        <f>SUM(N7:N231)</f>
        <v>30583252</v>
      </c>
      <c r="O232" s="132">
        <f>(M232-N232)/N232</f>
        <v>-0.83897353361898863</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9"/>
  <sheetViews>
    <sheetView workbookViewId="0">
      <pane ySplit="6" topLeftCell="A207" activePane="bottomLeft" state="frozen"/>
      <selection pane="bottomLeft" activeCell="O219" sqref="O219"/>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3" t="s">
        <v>315</v>
      </c>
      <c r="B3" s="300"/>
      <c r="C3" s="300"/>
      <c r="D3" s="300"/>
      <c r="E3" s="300"/>
      <c r="F3" s="300"/>
      <c r="G3" s="300"/>
      <c r="H3" s="300"/>
      <c r="I3" s="300"/>
      <c r="J3" s="300"/>
      <c r="K3" s="300"/>
      <c r="L3" s="300"/>
      <c r="M3" s="300"/>
      <c r="N3" s="300"/>
      <c r="O3" s="301"/>
    </row>
    <row r="4" spans="1:15" x14ac:dyDescent="0.25">
      <c r="A4" s="304" t="s">
        <v>330</v>
      </c>
      <c r="B4" s="304" t="s">
        <v>308</v>
      </c>
      <c r="C4" s="304"/>
      <c r="D4" s="304" t="s">
        <v>361</v>
      </c>
      <c r="E4" s="304"/>
      <c r="F4" s="304"/>
      <c r="G4" s="304"/>
      <c r="H4" s="304"/>
      <c r="I4" s="304"/>
      <c r="J4" s="304"/>
      <c r="K4" s="304"/>
      <c r="L4" s="304"/>
      <c r="M4" s="304"/>
      <c r="N4" s="304"/>
      <c r="O4" s="304"/>
    </row>
    <row r="5" spans="1:15" x14ac:dyDescent="0.25">
      <c r="A5" s="305"/>
      <c r="B5" s="305" t="s">
        <v>312</v>
      </c>
      <c r="C5" s="305"/>
      <c r="D5" s="305" t="s">
        <v>315</v>
      </c>
      <c r="E5" s="305"/>
      <c r="F5" s="305"/>
      <c r="G5" s="305" t="s">
        <v>362</v>
      </c>
      <c r="H5" s="305"/>
      <c r="I5" s="305"/>
      <c r="J5" s="305" t="s">
        <v>363</v>
      </c>
      <c r="K5" s="305"/>
      <c r="L5" s="305"/>
      <c r="M5" s="305" t="s">
        <v>364</v>
      </c>
      <c r="N5" s="305"/>
      <c r="O5" s="305"/>
    </row>
    <row r="6" spans="1:15" x14ac:dyDescent="0.25">
      <c r="A6" s="34" t="s">
        <v>318</v>
      </c>
      <c r="B6" s="21">
        <f>'Total Value'!B6</f>
        <v>46064</v>
      </c>
      <c r="C6" s="34" t="s">
        <v>328</v>
      </c>
      <c r="D6" s="21">
        <f>B6</f>
        <v>46064</v>
      </c>
      <c r="E6" s="34" t="s">
        <v>322</v>
      </c>
      <c r="F6" s="34" t="s">
        <v>328</v>
      </c>
      <c r="G6" s="21">
        <f>D6</f>
        <v>46064</v>
      </c>
      <c r="H6" s="34" t="s">
        <v>322</v>
      </c>
      <c r="I6" s="34" t="s">
        <v>328</v>
      </c>
      <c r="J6" s="21">
        <f>D6</f>
        <v>46064</v>
      </c>
      <c r="K6" s="34" t="s">
        <v>322</v>
      </c>
      <c r="L6" s="34" t="s">
        <v>328</v>
      </c>
      <c r="M6" s="21">
        <f>D6</f>
        <v>46064</v>
      </c>
      <c r="N6" s="34" t="s">
        <v>322</v>
      </c>
      <c r="O6" s="34" t="s">
        <v>328</v>
      </c>
    </row>
    <row r="7" spans="1:15" x14ac:dyDescent="0.25">
      <c r="A7" s="101" t="str">
        <f>'Data Vlaue (Cr)'!C2</f>
        <v>360ONE</v>
      </c>
      <c r="B7" s="50">
        <f>VLOOKUP($A7,'Data shares'!$C:$FB,7)</f>
        <v>1138.4000000000001</v>
      </c>
      <c r="C7" s="50">
        <f>VLOOKUP($A7,'Data shares'!$C:$FB,10)*100</f>
        <v>-2.06</v>
      </c>
      <c r="D7" s="49">
        <f>VLOOKUP($A7,'Data shares'!$C:$FB,66)</f>
        <v>5707500</v>
      </c>
      <c r="E7" s="49">
        <f>VLOOKUP($A7,'Data shares'!$C:$FB,67)</f>
        <v>9640000</v>
      </c>
      <c r="F7" s="50">
        <f>VLOOKUP($A7,'Data shares'!$C:$FB,69)*100</f>
        <v>-40.79</v>
      </c>
      <c r="G7" s="49">
        <f>VLOOKUP($A7,'Data shares'!$C:$FB,42)</f>
        <v>1121000</v>
      </c>
      <c r="H7" s="49">
        <f>VLOOKUP($A7,'Data shares'!$C:$FB,43)</f>
        <v>1686000</v>
      </c>
      <c r="I7" s="50">
        <f>VLOOKUP($A7,'Data shares'!$C:$FB,45)*100</f>
        <v>-33.51</v>
      </c>
      <c r="J7" s="49">
        <f>VLOOKUP($A7,'Data shares'!$C:$FB,58)</f>
        <v>3092000</v>
      </c>
      <c r="K7" s="49">
        <f>VLOOKUP($A7,'Data shares'!$C:$FB,59)</f>
        <v>5955000</v>
      </c>
      <c r="L7" s="50">
        <f>VLOOKUP($A7,'Data shares'!$C:$FB,61)*100</f>
        <v>-48.08</v>
      </c>
      <c r="M7" s="49">
        <f>VLOOKUP($A7,'Data shares'!$C:$FB,62)</f>
        <v>1494500</v>
      </c>
      <c r="N7" s="49">
        <f>VLOOKUP($A7,'Data shares'!$C:$FB,63)</f>
        <v>1999000</v>
      </c>
      <c r="O7" s="140">
        <f>VLOOKUP($A7,'Data shares'!$C:$FB,65)*100</f>
        <v>-25.240000000000002</v>
      </c>
    </row>
    <row r="8" spans="1:15" x14ac:dyDescent="0.25">
      <c r="A8" s="101" t="str">
        <f>'Data Vlaue (Cr)'!C3</f>
        <v>ABB</v>
      </c>
      <c r="B8" s="50">
        <f>VLOOKUP($A8,'Data shares'!$C:$FB,7)</f>
        <v>5825.5</v>
      </c>
      <c r="C8" s="50">
        <f>VLOOKUP($A8,'Data shares'!$C:$FB,10)*100</f>
        <v>-0.76</v>
      </c>
      <c r="D8" s="49">
        <f>VLOOKUP($A8,'Data shares'!$C:$FB,66)</f>
        <v>1768375</v>
      </c>
      <c r="E8" s="49">
        <f>VLOOKUP($A8,'Data shares'!$C:$FB,67)</f>
        <v>1801000</v>
      </c>
      <c r="F8" s="50">
        <f>VLOOKUP($A8,'Data shares'!$C:$FB,69)*100</f>
        <v>-1.81</v>
      </c>
      <c r="G8" s="49">
        <f>VLOOKUP($A8,'Data shares'!$C:$FB,42)</f>
        <v>279125</v>
      </c>
      <c r="H8" s="49">
        <f>VLOOKUP($A8,'Data shares'!$C:$FB,43)</f>
        <v>351875</v>
      </c>
      <c r="I8" s="50">
        <f>VLOOKUP($A8,'Data shares'!$C:$FB,45)*100</f>
        <v>-20.669999999999998</v>
      </c>
      <c r="J8" s="49">
        <f>VLOOKUP($A8,'Data shares'!$C:$FB,58)</f>
        <v>738875</v>
      </c>
      <c r="K8" s="49">
        <f>VLOOKUP($A8,'Data shares'!$C:$FB,59)</f>
        <v>1014750</v>
      </c>
      <c r="L8" s="50">
        <f>VLOOKUP($A8,'Data shares'!$C:$FB,61)*100</f>
        <v>-27.189999999999998</v>
      </c>
      <c r="M8" s="49">
        <f>VLOOKUP($A8,'Data shares'!$C:$FB,62)</f>
        <v>750375</v>
      </c>
      <c r="N8" s="49">
        <f>VLOOKUP($A8,'Data shares'!$C:$FB,63)</f>
        <v>434375</v>
      </c>
      <c r="O8" s="140">
        <f>VLOOKUP($A8,'Data shares'!$C:$FB,65)*100</f>
        <v>72.75</v>
      </c>
    </row>
    <row r="9" spans="1:15" x14ac:dyDescent="0.25">
      <c r="A9" s="101" t="str">
        <f>'Data Vlaue (Cr)'!C4</f>
        <v>ABCAPITAL</v>
      </c>
      <c r="B9" s="50">
        <f>VLOOKUP($A9,'Data shares'!$C:$FB,7)</f>
        <v>344.25</v>
      </c>
      <c r="C9" s="50">
        <f>VLOOKUP($A9,'Data shares'!$C:$FB,10)*100</f>
        <v>-2.69</v>
      </c>
      <c r="D9" s="49">
        <f>VLOOKUP($A9,'Data shares'!$C:$FB,66)</f>
        <v>73423500</v>
      </c>
      <c r="E9" s="49">
        <f>VLOOKUP($A9,'Data shares'!$C:$FB,67)</f>
        <v>53710600</v>
      </c>
      <c r="F9" s="50">
        <f>VLOOKUP($A9,'Data shares'!$C:$FB,69)*100</f>
        <v>36.700000000000003</v>
      </c>
      <c r="G9" s="49">
        <f>VLOOKUP($A9,'Data shares'!$C:$FB,42)</f>
        <v>16640800</v>
      </c>
      <c r="H9" s="49">
        <f>VLOOKUP($A9,'Data shares'!$C:$FB,43)</f>
        <v>10639200</v>
      </c>
      <c r="I9" s="50">
        <f>VLOOKUP($A9,'Data shares'!$C:$FB,45)*100</f>
        <v>56.410000000000004</v>
      </c>
      <c r="J9" s="49">
        <f>VLOOKUP($A9,'Data shares'!$C:$FB,58)</f>
        <v>38232300</v>
      </c>
      <c r="K9" s="49">
        <f>VLOOKUP($A9,'Data shares'!$C:$FB,59)</f>
        <v>29037700</v>
      </c>
      <c r="L9" s="50">
        <f>VLOOKUP($A9,'Data shares'!$C:$FB,61)*100</f>
        <v>31.66</v>
      </c>
      <c r="M9" s="49">
        <f>VLOOKUP($A9,'Data shares'!$C:$FB,62)</f>
        <v>18550400</v>
      </c>
      <c r="N9" s="49">
        <f>VLOOKUP($A9,'Data shares'!$C:$FB,63)</f>
        <v>14033700</v>
      </c>
      <c r="O9" s="140">
        <f>VLOOKUP($A9,'Data shares'!$C:$FB,65)*100</f>
        <v>32.18</v>
      </c>
    </row>
    <row r="10" spans="1:15" x14ac:dyDescent="0.25">
      <c r="A10" s="101" t="str">
        <f>'Data Vlaue (Cr)'!C5</f>
        <v>ADANIENSOL</v>
      </c>
      <c r="B10" s="50">
        <f>VLOOKUP($A10,'Data shares'!$C:$FB,7)</f>
        <v>1033.8</v>
      </c>
      <c r="C10" s="50">
        <f>VLOOKUP($A10,'Data shares'!$C:$FB,10)*100</f>
        <v>1.68</v>
      </c>
      <c r="D10" s="49">
        <f>VLOOKUP($A10,'Data shares'!$C:$FB,66)</f>
        <v>5368275</v>
      </c>
      <c r="E10" s="49">
        <f>VLOOKUP($A10,'Data shares'!$C:$FB,67)</f>
        <v>5499225</v>
      </c>
      <c r="F10" s="50">
        <f>VLOOKUP($A10,'Data shares'!$C:$FB,69)*100</f>
        <v>-2.3800000000000003</v>
      </c>
      <c r="G10" s="49">
        <f>VLOOKUP($A10,'Data shares'!$C:$FB,42)</f>
        <v>1912275</v>
      </c>
      <c r="H10" s="49">
        <f>VLOOKUP($A10,'Data shares'!$C:$FB,43)</f>
        <v>1720575</v>
      </c>
      <c r="I10" s="50">
        <f>VLOOKUP($A10,'Data shares'!$C:$FB,45)*100</f>
        <v>11.14</v>
      </c>
      <c r="J10" s="49">
        <f>VLOOKUP($A10,'Data shares'!$C:$FB,58)</f>
        <v>2008125</v>
      </c>
      <c r="K10" s="49">
        <f>VLOOKUP($A10,'Data shares'!$C:$FB,59)</f>
        <v>1737450</v>
      </c>
      <c r="L10" s="50">
        <f>VLOOKUP($A10,'Data shares'!$C:$FB,61)*100</f>
        <v>15.58</v>
      </c>
      <c r="M10" s="49">
        <f>VLOOKUP($A10,'Data shares'!$C:$FB,62)</f>
        <v>1447875</v>
      </c>
      <c r="N10" s="49">
        <f>VLOOKUP($A10,'Data shares'!$C:$FB,63)</f>
        <v>2041200</v>
      </c>
      <c r="O10" s="140">
        <f>VLOOKUP($A10,'Data shares'!$C:$FB,65)*100</f>
        <v>-29.07</v>
      </c>
    </row>
    <row r="11" spans="1:15" x14ac:dyDescent="0.25">
      <c r="A11" s="101" t="str">
        <f>'Data Vlaue (Cr)'!C6</f>
        <v>ADANIENT</v>
      </c>
      <c r="B11" s="50">
        <f>VLOOKUP($A11,'Data shares'!$C:$FB,7)</f>
        <v>2234.4</v>
      </c>
      <c r="C11" s="50">
        <f>VLOOKUP($A11,'Data shares'!$C:$FB,10)*100</f>
        <v>0.27</v>
      </c>
      <c r="D11" s="49">
        <f>VLOOKUP($A11,'Data shares'!$C:$FB,66)</f>
        <v>10346556</v>
      </c>
      <c r="E11" s="49">
        <f>VLOOKUP($A11,'Data shares'!$C:$FB,67)</f>
        <v>34972929</v>
      </c>
      <c r="F11" s="50">
        <f>VLOOKUP($A11,'Data shares'!$C:$FB,69)*100</f>
        <v>-70.42</v>
      </c>
      <c r="G11" s="49">
        <f>VLOOKUP($A11,'Data shares'!$C:$FB,42)</f>
        <v>2288145</v>
      </c>
      <c r="H11" s="49">
        <f>VLOOKUP($A11,'Data shares'!$C:$FB,43)</f>
        <v>4999002</v>
      </c>
      <c r="I11" s="50">
        <f>VLOOKUP($A11,'Data shares'!$C:$FB,45)*100</f>
        <v>-54.230000000000004</v>
      </c>
      <c r="J11" s="49">
        <f>VLOOKUP($A11,'Data shares'!$C:$FB,58)</f>
        <v>4609353</v>
      </c>
      <c r="K11" s="49">
        <f>VLOOKUP($A11,'Data shares'!$C:$FB,59)</f>
        <v>14184027</v>
      </c>
      <c r="L11" s="50">
        <f>VLOOKUP($A11,'Data shares'!$C:$FB,61)*100</f>
        <v>-67.5</v>
      </c>
      <c r="M11" s="49">
        <f>VLOOKUP($A11,'Data shares'!$C:$FB,62)</f>
        <v>3449058</v>
      </c>
      <c r="N11" s="49">
        <f>VLOOKUP($A11,'Data shares'!$C:$FB,63)</f>
        <v>15789900</v>
      </c>
      <c r="O11" s="140">
        <f>VLOOKUP($A11,'Data shares'!$C:$FB,65)*100</f>
        <v>-78.16</v>
      </c>
    </row>
    <row r="12" spans="1:15" x14ac:dyDescent="0.25">
      <c r="A12" s="101" t="str">
        <f>'Data Vlaue (Cr)'!C7</f>
        <v>ADANIGREEN</v>
      </c>
      <c r="B12" s="50">
        <f>VLOOKUP($A12,'Data shares'!$C:$FB,7)</f>
        <v>994.75</v>
      </c>
      <c r="C12" s="50">
        <f>VLOOKUP($A12,'Data shares'!$C:$FB,10)*100</f>
        <v>1.68</v>
      </c>
      <c r="D12" s="49">
        <f>VLOOKUP($A12,'Data shares'!$C:$FB,66)</f>
        <v>15680400</v>
      </c>
      <c r="E12" s="49">
        <f>VLOOKUP($A12,'Data shares'!$C:$FB,67)</f>
        <v>17416200</v>
      </c>
      <c r="F12" s="50">
        <f>VLOOKUP($A12,'Data shares'!$C:$FB,69)*100</f>
        <v>-9.9699999999999989</v>
      </c>
      <c r="G12" s="49">
        <f>VLOOKUP($A12,'Data shares'!$C:$FB,42)</f>
        <v>2952000</v>
      </c>
      <c r="H12" s="49">
        <f>VLOOKUP($A12,'Data shares'!$C:$FB,43)</f>
        <v>2843400</v>
      </c>
      <c r="I12" s="50">
        <f>VLOOKUP($A12,'Data shares'!$C:$FB,45)*100</f>
        <v>3.82</v>
      </c>
      <c r="J12" s="49">
        <f>VLOOKUP($A12,'Data shares'!$C:$FB,58)</f>
        <v>8622000</v>
      </c>
      <c r="K12" s="49">
        <f>VLOOKUP($A12,'Data shares'!$C:$FB,59)</f>
        <v>8134200</v>
      </c>
      <c r="L12" s="50">
        <f>VLOOKUP($A12,'Data shares'!$C:$FB,61)*100</f>
        <v>6</v>
      </c>
      <c r="M12" s="49">
        <f>VLOOKUP($A12,'Data shares'!$C:$FB,62)</f>
        <v>4106400</v>
      </c>
      <c r="N12" s="49">
        <f>VLOOKUP($A12,'Data shares'!$C:$FB,63)</f>
        <v>6438600</v>
      </c>
      <c r="O12" s="140">
        <f>VLOOKUP($A12,'Data shares'!$C:$FB,65)*100</f>
        <v>-36.22</v>
      </c>
    </row>
    <row r="13" spans="1:15" x14ac:dyDescent="0.25">
      <c r="A13" s="101" t="str">
        <f>'Data Vlaue (Cr)'!C8</f>
        <v>ADANIPORTS</v>
      </c>
      <c r="B13" s="50">
        <f>VLOOKUP($A13,'Data shares'!$C:$FB,7)</f>
        <v>1553.4</v>
      </c>
      <c r="C13" s="50">
        <f>VLOOKUP($A13,'Data shares'!$C:$FB,10)*100</f>
        <v>-0.08</v>
      </c>
      <c r="D13" s="49">
        <f>VLOOKUP($A13,'Data shares'!$C:$FB,66)</f>
        <v>13289550</v>
      </c>
      <c r="E13" s="49">
        <f>VLOOKUP($A13,'Data shares'!$C:$FB,67)</f>
        <v>30208575</v>
      </c>
      <c r="F13" s="50">
        <f>VLOOKUP($A13,'Data shares'!$C:$FB,69)*100</f>
        <v>-56.010000000000005</v>
      </c>
      <c r="G13" s="49">
        <f>VLOOKUP($A13,'Data shares'!$C:$FB,42)</f>
        <v>1449225</v>
      </c>
      <c r="H13" s="49">
        <f>VLOOKUP($A13,'Data shares'!$C:$FB,43)</f>
        <v>3846550</v>
      </c>
      <c r="I13" s="50">
        <f>VLOOKUP($A13,'Data shares'!$C:$FB,45)*100</f>
        <v>-62.32</v>
      </c>
      <c r="J13" s="49">
        <f>VLOOKUP($A13,'Data shares'!$C:$FB,58)</f>
        <v>6203975</v>
      </c>
      <c r="K13" s="49">
        <f>VLOOKUP($A13,'Data shares'!$C:$FB,59)</f>
        <v>13262000</v>
      </c>
      <c r="L13" s="50">
        <f>VLOOKUP($A13,'Data shares'!$C:$FB,61)*100</f>
        <v>-53.22</v>
      </c>
      <c r="M13" s="49">
        <f>VLOOKUP($A13,'Data shares'!$C:$FB,62)</f>
        <v>5636350</v>
      </c>
      <c r="N13" s="49">
        <f>VLOOKUP($A13,'Data shares'!$C:$FB,63)</f>
        <v>13100025</v>
      </c>
      <c r="O13" s="140">
        <f>VLOOKUP($A13,'Data shares'!$C:$FB,65)*100</f>
        <v>-56.97</v>
      </c>
    </row>
    <row r="14" spans="1:15" x14ac:dyDescent="0.25">
      <c r="A14" s="101" t="str">
        <f>'Data Vlaue (Cr)'!C9</f>
        <v>ALKEM</v>
      </c>
      <c r="B14" s="50">
        <f>VLOOKUP($A14,'Data shares'!$C:$FB,7)</f>
        <v>5890</v>
      </c>
      <c r="C14" s="50">
        <f>VLOOKUP($A14,'Data shares'!$C:$FB,10)*100</f>
        <v>1.35</v>
      </c>
      <c r="D14" s="49">
        <f>VLOOKUP($A14,'Data shares'!$C:$FB,66)</f>
        <v>1302750</v>
      </c>
      <c r="E14" s="49">
        <f>VLOOKUP($A14,'Data shares'!$C:$FB,67)</f>
        <v>547375</v>
      </c>
      <c r="F14" s="50">
        <f>VLOOKUP($A14,'Data shares'!$C:$FB,69)*100</f>
        <v>138</v>
      </c>
      <c r="G14" s="49">
        <f>VLOOKUP($A14,'Data shares'!$C:$FB,42)</f>
        <v>240625</v>
      </c>
      <c r="H14" s="49">
        <f>VLOOKUP($A14,'Data shares'!$C:$FB,43)</f>
        <v>131625</v>
      </c>
      <c r="I14" s="50">
        <f>VLOOKUP($A14,'Data shares'!$C:$FB,45)*100</f>
        <v>82.809999999999988</v>
      </c>
      <c r="J14" s="49">
        <f>VLOOKUP($A14,'Data shares'!$C:$FB,58)</f>
        <v>726875</v>
      </c>
      <c r="K14" s="49">
        <f>VLOOKUP($A14,'Data shares'!$C:$FB,59)</f>
        <v>237125</v>
      </c>
      <c r="L14" s="50">
        <f>VLOOKUP($A14,'Data shares'!$C:$FB,61)*100</f>
        <v>206.54</v>
      </c>
      <c r="M14" s="49">
        <f>VLOOKUP($A14,'Data shares'!$C:$FB,62)</f>
        <v>335250</v>
      </c>
      <c r="N14" s="49">
        <f>VLOOKUP($A14,'Data shares'!$C:$FB,63)</f>
        <v>178625</v>
      </c>
      <c r="O14" s="140">
        <f>VLOOKUP($A14,'Data shares'!$C:$FB,65)*100</f>
        <v>87.68</v>
      </c>
    </row>
    <row r="15" spans="1:15" x14ac:dyDescent="0.25">
      <c r="A15" s="101" t="str">
        <f>'Data Vlaue (Cr)'!C10</f>
        <v>AMBER</v>
      </c>
      <c r="B15" s="50">
        <f>VLOOKUP($A15,'Data shares'!$C:$FB,7)</f>
        <v>7696</v>
      </c>
      <c r="C15" s="50">
        <f>VLOOKUP($A15,'Data shares'!$C:$FB,10)*100</f>
        <v>2.4699999999999998</v>
      </c>
      <c r="D15" s="49">
        <f>VLOOKUP($A15,'Data shares'!$C:$FB,66)</f>
        <v>6615600</v>
      </c>
      <c r="E15" s="49">
        <f>VLOOKUP($A15,'Data shares'!$C:$FB,67)</f>
        <v>16200300</v>
      </c>
      <c r="F15" s="50">
        <f>VLOOKUP($A15,'Data shares'!$C:$FB,69)*100</f>
        <v>-59.160000000000004</v>
      </c>
      <c r="G15" s="49">
        <f>VLOOKUP($A15,'Data shares'!$C:$FB,42)</f>
        <v>548300</v>
      </c>
      <c r="H15" s="49">
        <f>VLOOKUP($A15,'Data shares'!$C:$FB,43)</f>
        <v>1505200</v>
      </c>
      <c r="I15" s="50">
        <f>VLOOKUP($A15,'Data shares'!$C:$FB,45)*100</f>
        <v>-63.570000000000007</v>
      </c>
      <c r="J15" s="49">
        <f>VLOOKUP($A15,'Data shares'!$C:$FB,58)</f>
        <v>3642600</v>
      </c>
      <c r="K15" s="49">
        <f>VLOOKUP($A15,'Data shares'!$C:$FB,59)</f>
        <v>9972400</v>
      </c>
      <c r="L15" s="50">
        <f>VLOOKUP($A15,'Data shares'!$C:$FB,61)*100</f>
        <v>-63.470000000000006</v>
      </c>
      <c r="M15" s="49">
        <f>VLOOKUP($A15,'Data shares'!$C:$FB,62)</f>
        <v>2424700</v>
      </c>
      <c r="N15" s="49">
        <f>VLOOKUP($A15,'Data shares'!$C:$FB,63)</f>
        <v>4722700</v>
      </c>
      <c r="O15" s="140">
        <f>VLOOKUP($A15,'Data shares'!$C:$FB,65)*100</f>
        <v>-48.66</v>
      </c>
    </row>
    <row r="16" spans="1:15" x14ac:dyDescent="0.25">
      <c r="A16" s="101" t="str">
        <f>'Data Vlaue (Cr)'!C11</f>
        <v>AMBUJACEM</v>
      </c>
      <c r="B16" s="50">
        <f>VLOOKUP($A16,'Data shares'!$C:$FB,7)</f>
        <v>541.25</v>
      </c>
      <c r="C16" s="50">
        <f>VLOOKUP($A16,'Data shares'!$C:$FB,10)*100</f>
        <v>0.51</v>
      </c>
      <c r="D16" s="49">
        <f>VLOOKUP($A16,'Data shares'!$C:$FB,66)</f>
        <v>12330150</v>
      </c>
      <c r="E16" s="49">
        <f>VLOOKUP($A16,'Data shares'!$C:$FB,67)</f>
        <v>28488600</v>
      </c>
      <c r="F16" s="50">
        <f>VLOOKUP($A16,'Data shares'!$C:$FB,69)*100</f>
        <v>-56.720000000000006</v>
      </c>
      <c r="G16" s="49">
        <f>VLOOKUP($A16,'Data shares'!$C:$FB,42)</f>
        <v>2616600</v>
      </c>
      <c r="H16" s="49">
        <f>VLOOKUP($A16,'Data shares'!$C:$FB,43)</f>
        <v>5006400</v>
      </c>
      <c r="I16" s="50">
        <f>VLOOKUP($A16,'Data shares'!$C:$FB,45)*100</f>
        <v>-47.73</v>
      </c>
      <c r="J16" s="49">
        <f>VLOOKUP($A16,'Data shares'!$C:$FB,58)</f>
        <v>6989850</v>
      </c>
      <c r="K16" s="49">
        <f>VLOOKUP($A16,'Data shares'!$C:$FB,59)</f>
        <v>14210700</v>
      </c>
      <c r="L16" s="50">
        <f>VLOOKUP($A16,'Data shares'!$C:$FB,61)*100</f>
        <v>-50.81</v>
      </c>
      <c r="M16" s="49">
        <f>VLOOKUP($A16,'Data shares'!$C:$FB,62)</f>
        <v>2723700</v>
      </c>
      <c r="N16" s="49">
        <f>VLOOKUP($A16,'Data shares'!$C:$FB,63)</f>
        <v>9271500</v>
      </c>
      <c r="O16" s="140">
        <f>VLOOKUP($A16,'Data shares'!$C:$FB,65)*100</f>
        <v>-70.62</v>
      </c>
    </row>
    <row r="17" spans="1:15" x14ac:dyDescent="0.25">
      <c r="A17" s="101" t="str">
        <f>'Data Vlaue (Cr)'!C12</f>
        <v>ANGELONE</v>
      </c>
      <c r="B17" s="50">
        <f>VLOOKUP($A17,'Data shares'!$C:$FB,7)</f>
        <v>2781.1</v>
      </c>
      <c r="C17" s="50">
        <f>VLOOKUP($A17,'Data shares'!$C:$FB,10)*100</f>
        <v>-6.9999999999999993E-2</v>
      </c>
      <c r="D17" s="49">
        <f>VLOOKUP($A17,'Data shares'!$C:$FB,66)</f>
        <v>4593000</v>
      </c>
      <c r="E17" s="49">
        <f>VLOOKUP($A17,'Data shares'!$C:$FB,67)</f>
        <v>15202000</v>
      </c>
      <c r="F17" s="50">
        <f>VLOOKUP($A17,'Data shares'!$C:$FB,69)*100</f>
        <v>-69.789999999999992</v>
      </c>
      <c r="G17" s="49">
        <f>VLOOKUP($A17,'Data shares'!$C:$FB,42)</f>
        <v>791750</v>
      </c>
      <c r="H17" s="49">
        <f>VLOOKUP($A17,'Data shares'!$C:$FB,43)</f>
        <v>1418750</v>
      </c>
      <c r="I17" s="50">
        <f>VLOOKUP($A17,'Data shares'!$C:$FB,45)*100</f>
        <v>-44.190000000000005</v>
      </c>
      <c r="J17" s="49">
        <f>VLOOKUP($A17,'Data shares'!$C:$FB,58)</f>
        <v>2400250</v>
      </c>
      <c r="K17" s="49">
        <f>VLOOKUP($A17,'Data shares'!$C:$FB,59)</f>
        <v>9901250</v>
      </c>
      <c r="L17" s="50">
        <f>VLOOKUP($A17,'Data shares'!$C:$FB,61)*100</f>
        <v>-75.760000000000005</v>
      </c>
      <c r="M17" s="49">
        <f>VLOOKUP($A17,'Data shares'!$C:$FB,62)</f>
        <v>1401000</v>
      </c>
      <c r="N17" s="49">
        <f>VLOOKUP($A17,'Data shares'!$C:$FB,63)</f>
        <v>3882000</v>
      </c>
      <c r="O17" s="140">
        <f>VLOOKUP($A17,'Data shares'!$C:$FB,65)*100</f>
        <v>-63.91</v>
      </c>
    </row>
    <row r="18" spans="1:15" x14ac:dyDescent="0.25">
      <c r="A18" s="101" t="str">
        <f>'Data Vlaue (Cr)'!C13</f>
        <v>APLAPOLLO</v>
      </c>
      <c r="B18" s="50">
        <f>VLOOKUP($A18,'Data shares'!$C:$FB,7)</f>
        <v>2280.8000000000002</v>
      </c>
      <c r="C18" s="50">
        <f>VLOOKUP($A18,'Data shares'!$C:$FB,10)*100</f>
        <v>1.8800000000000001</v>
      </c>
      <c r="D18" s="49">
        <f>VLOOKUP($A18,'Data shares'!$C:$FB,66)</f>
        <v>4632250</v>
      </c>
      <c r="E18" s="49">
        <f>VLOOKUP($A18,'Data shares'!$C:$FB,67)</f>
        <v>3885000</v>
      </c>
      <c r="F18" s="50">
        <f>VLOOKUP($A18,'Data shares'!$C:$FB,69)*100</f>
        <v>19.23</v>
      </c>
      <c r="G18" s="49">
        <f>VLOOKUP($A18,'Data shares'!$C:$FB,42)</f>
        <v>837200</v>
      </c>
      <c r="H18" s="49">
        <f>VLOOKUP($A18,'Data shares'!$C:$FB,43)</f>
        <v>1030750</v>
      </c>
      <c r="I18" s="50">
        <f>VLOOKUP($A18,'Data shares'!$C:$FB,45)*100</f>
        <v>-18.78</v>
      </c>
      <c r="J18" s="49">
        <f>VLOOKUP($A18,'Data shares'!$C:$FB,58)</f>
        <v>2213400</v>
      </c>
      <c r="K18" s="49">
        <f>VLOOKUP($A18,'Data shares'!$C:$FB,59)</f>
        <v>1683150</v>
      </c>
      <c r="L18" s="50">
        <f>VLOOKUP($A18,'Data shares'!$C:$FB,61)*100</f>
        <v>31.5</v>
      </c>
      <c r="M18" s="49">
        <f>VLOOKUP($A18,'Data shares'!$C:$FB,62)</f>
        <v>1581650</v>
      </c>
      <c r="N18" s="49">
        <f>VLOOKUP($A18,'Data shares'!$C:$FB,63)</f>
        <v>1171100</v>
      </c>
      <c r="O18" s="140">
        <f>VLOOKUP($A18,'Data shares'!$C:$FB,65)*100</f>
        <v>35.06</v>
      </c>
    </row>
    <row r="19" spans="1:15" x14ac:dyDescent="0.25">
      <c r="A19" s="101" t="str">
        <f>'Data Vlaue (Cr)'!C14</f>
        <v>APOLLOHOSP</v>
      </c>
      <c r="B19" s="50">
        <f>VLOOKUP($A19,'Data shares'!$C:$FB,7)</f>
        <v>7507</v>
      </c>
      <c r="C19" s="50">
        <f>VLOOKUP($A19,'Data shares'!$C:$FB,10)*100</f>
        <v>3.9899999999999998</v>
      </c>
      <c r="D19" s="49">
        <f>VLOOKUP($A19,'Data shares'!$C:$FB,66)</f>
        <v>31030875</v>
      </c>
      <c r="E19" s="49">
        <f>VLOOKUP($A19,'Data shares'!$C:$FB,67)</f>
        <v>6563875</v>
      </c>
      <c r="F19" s="50">
        <f>VLOOKUP($A19,'Data shares'!$C:$FB,69)*100</f>
        <v>372.75</v>
      </c>
      <c r="G19" s="49">
        <f>VLOOKUP($A19,'Data shares'!$C:$FB,42)</f>
        <v>1858625</v>
      </c>
      <c r="H19" s="49">
        <f>VLOOKUP($A19,'Data shares'!$C:$FB,43)</f>
        <v>660625</v>
      </c>
      <c r="I19" s="50">
        <f>VLOOKUP($A19,'Data shares'!$C:$FB,45)*100</f>
        <v>181.34</v>
      </c>
      <c r="J19" s="49">
        <f>VLOOKUP($A19,'Data shares'!$C:$FB,58)</f>
        <v>20546000</v>
      </c>
      <c r="K19" s="49">
        <f>VLOOKUP($A19,'Data shares'!$C:$FB,59)</f>
        <v>4262625</v>
      </c>
      <c r="L19" s="50">
        <f>VLOOKUP($A19,'Data shares'!$C:$FB,61)*100</f>
        <v>382</v>
      </c>
      <c r="M19" s="49">
        <f>VLOOKUP($A19,'Data shares'!$C:$FB,62)</f>
        <v>8626250</v>
      </c>
      <c r="N19" s="49">
        <f>VLOOKUP($A19,'Data shares'!$C:$FB,63)</f>
        <v>1640625</v>
      </c>
      <c r="O19" s="140">
        <f>VLOOKUP($A19,'Data shares'!$C:$FB,65)*100</f>
        <v>425.79</v>
      </c>
    </row>
    <row r="20" spans="1:15" x14ac:dyDescent="0.25">
      <c r="A20" s="101" t="str">
        <f>'Data Vlaue (Cr)'!C15</f>
        <v>ASHOKLEY</v>
      </c>
      <c r="B20" s="50">
        <f>VLOOKUP($A20,'Data shares'!$C:$FB,7)</f>
        <v>206.35</v>
      </c>
      <c r="C20" s="50">
        <f>VLOOKUP($A20,'Data shares'!$C:$FB,10)*100</f>
        <v>-1.6099999999999999</v>
      </c>
      <c r="D20" s="49">
        <f>VLOOKUP($A20,'Data shares'!$C:$FB,66)</f>
        <v>1045625000</v>
      </c>
      <c r="E20" s="49">
        <f>VLOOKUP($A20,'Data shares'!$C:$FB,67)</f>
        <v>191060000</v>
      </c>
      <c r="F20" s="50">
        <f>VLOOKUP($A20,'Data shares'!$C:$FB,69)*100</f>
        <v>447.28000000000003</v>
      </c>
      <c r="G20" s="49">
        <f>VLOOKUP($A20,'Data shares'!$C:$FB,42)</f>
        <v>126145000</v>
      </c>
      <c r="H20" s="49">
        <f>VLOOKUP($A20,'Data shares'!$C:$FB,43)</f>
        <v>33025000</v>
      </c>
      <c r="I20" s="50">
        <f>VLOOKUP($A20,'Data shares'!$C:$FB,45)*100</f>
        <v>281.97000000000003</v>
      </c>
      <c r="J20" s="49">
        <f>VLOOKUP($A20,'Data shares'!$C:$FB,58)</f>
        <v>613160000</v>
      </c>
      <c r="K20" s="49">
        <f>VLOOKUP($A20,'Data shares'!$C:$FB,59)</f>
        <v>120110000</v>
      </c>
      <c r="L20" s="50">
        <f>VLOOKUP($A20,'Data shares'!$C:$FB,61)*100</f>
        <v>410.50000000000006</v>
      </c>
      <c r="M20" s="49">
        <f>VLOOKUP($A20,'Data shares'!$C:$FB,62)</f>
        <v>306320000</v>
      </c>
      <c r="N20" s="49">
        <f>VLOOKUP($A20,'Data shares'!$C:$FB,63)</f>
        <v>37925000</v>
      </c>
      <c r="O20" s="140">
        <f>VLOOKUP($A20,'Data shares'!$C:$FB,65)*100</f>
        <v>707.7</v>
      </c>
    </row>
    <row r="21" spans="1:15" x14ac:dyDescent="0.25">
      <c r="A21" s="101" t="str">
        <f>'Data Vlaue (Cr)'!C16</f>
        <v>ASIANPAINT</v>
      </c>
      <c r="B21" s="50">
        <f>VLOOKUP($A21,'Data shares'!$C:$FB,7)</f>
        <v>2392.5</v>
      </c>
      <c r="C21" s="50">
        <f>VLOOKUP($A21,'Data shares'!$C:$FB,10)*100</f>
        <v>-0.05</v>
      </c>
      <c r="D21" s="49">
        <f>VLOOKUP($A21,'Data shares'!$C:$FB,66)</f>
        <v>15679750</v>
      </c>
      <c r="E21" s="49">
        <f>VLOOKUP($A21,'Data shares'!$C:$FB,67)</f>
        <v>14781750</v>
      </c>
      <c r="F21" s="50">
        <f>VLOOKUP($A21,'Data shares'!$C:$FB,69)*100</f>
        <v>6.08</v>
      </c>
      <c r="G21" s="49">
        <f>VLOOKUP($A21,'Data shares'!$C:$FB,42)</f>
        <v>2756250</v>
      </c>
      <c r="H21" s="49">
        <f>VLOOKUP($A21,'Data shares'!$C:$FB,43)</f>
        <v>1966250</v>
      </c>
      <c r="I21" s="50">
        <f>VLOOKUP($A21,'Data shares'!$C:$FB,45)*100</f>
        <v>40.18</v>
      </c>
      <c r="J21" s="49">
        <f>VLOOKUP($A21,'Data shares'!$C:$FB,58)</f>
        <v>9162500</v>
      </c>
      <c r="K21" s="49">
        <f>VLOOKUP($A21,'Data shares'!$C:$FB,59)</f>
        <v>9013000</v>
      </c>
      <c r="L21" s="50">
        <f>VLOOKUP($A21,'Data shares'!$C:$FB,61)*100</f>
        <v>1.66</v>
      </c>
      <c r="M21" s="49">
        <f>VLOOKUP($A21,'Data shares'!$C:$FB,62)</f>
        <v>3761000</v>
      </c>
      <c r="N21" s="49">
        <f>VLOOKUP($A21,'Data shares'!$C:$FB,63)</f>
        <v>3802500</v>
      </c>
      <c r="O21" s="140">
        <f>VLOOKUP($A21,'Data shares'!$C:$FB,65)*100</f>
        <v>-1.0900000000000001</v>
      </c>
    </row>
    <row r="22" spans="1:15" x14ac:dyDescent="0.25">
      <c r="A22" s="101" t="str">
        <f>'Data Vlaue (Cr)'!C17</f>
        <v>ASTRAL</v>
      </c>
      <c r="B22" s="50">
        <f>VLOOKUP($A22,'Data shares'!$C:$FB,7)</f>
        <v>1592.1</v>
      </c>
      <c r="C22" s="50">
        <f>VLOOKUP($A22,'Data shares'!$C:$FB,10)*100</f>
        <v>3.91</v>
      </c>
      <c r="D22" s="49">
        <f>VLOOKUP($A22,'Data shares'!$C:$FB,66)</f>
        <v>26813250</v>
      </c>
      <c r="E22" s="49">
        <f>VLOOKUP($A22,'Data shares'!$C:$FB,67)</f>
        <v>19276300</v>
      </c>
      <c r="F22" s="50">
        <f>VLOOKUP($A22,'Data shares'!$C:$FB,69)*100</f>
        <v>39.1</v>
      </c>
      <c r="G22" s="49">
        <f>VLOOKUP($A22,'Data shares'!$C:$FB,42)</f>
        <v>3805875</v>
      </c>
      <c r="H22" s="49">
        <f>VLOOKUP($A22,'Data shares'!$C:$FB,43)</f>
        <v>3524950</v>
      </c>
      <c r="I22" s="50">
        <f>VLOOKUP($A22,'Data shares'!$C:$FB,45)*100</f>
        <v>7.9699999999999989</v>
      </c>
      <c r="J22" s="49">
        <f>VLOOKUP($A22,'Data shares'!$C:$FB,58)</f>
        <v>17953275</v>
      </c>
      <c r="K22" s="49">
        <f>VLOOKUP($A22,'Data shares'!$C:$FB,59)</f>
        <v>12335200</v>
      </c>
      <c r="L22" s="50">
        <f>VLOOKUP($A22,'Data shares'!$C:$FB,61)*100</f>
        <v>45.550000000000004</v>
      </c>
      <c r="M22" s="49">
        <f>VLOOKUP($A22,'Data shares'!$C:$FB,62)</f>
        <v>5054100</v>
      </c>
      <c r="N22" s="49">
        <f>VLOOKUP($A22,'Data shares'!$C:$FB,63)</f>
        <v>3416150</v>
      </c>
      <c r="O22" s="140">
        <f>VLOOKUP($A22,'Data shares'!$C:$FB,65)*100</f>
        <v>47.949999999999996</v>
      </c>
    </row>
    <row r="23" spans="1:15" x14ac:dyDescent="0.25">
      <c r="A23" s="101" t="str">
        <f>'Data Vlaue (Cr)'!C18</f>
        <v>AUBANK</v>
      </c>
      <c r="B23" s="50">
        <f>VLOOKUP($A23,'Data shares'!$C:$FB,7)</f>
        <v>990.25</v>
      </c>
      <c r="C23" s="50">
        <f>VLOOKUP($A23,'Data shares'!$C:$FB,10)*100</f>
        <v>-1.0900000000000001</v>
      </c>
      <c r="D23" s="49">
        <f>VLOOKUP($A23,'Data shares'!$C:$FB,66)</f>
        <v>13742000</v>
      </c>
      <c r="E23" s="49">
        <f>VLOOKUP($A23,'Data shares'!$C:$FB,67)</f>
        <v>13741000</v>
      </c>
      <c r="F23" s="50">
        <f>VLOOKUP($A23,'Data shares'!$C:$FB,69)*100</f>
        <v>0.01</v>
      </c>
      <c r="G23" s="49">
        <f>VLOOKUP($A23,'Data shares'!$C:$FB,42)</f>
        <v>3801000</v>
      </c>
      <c r="H23" s="49">
        <f>VLOOKUP($A23,'Data shares'!$C:$FB,43)</f>
        <v>3121000</v>
      </c>
      <c r="I23" s="50">
        <f>VLOOKUP($A23,'Data shares'!$C:$FB,45)*100</f>
        <v>21.790000000000003</v>
      </c>
      <c r="J23" s="49">
        <f>VLOOKUP($A23,'Data shares'!$C:$FB,58)</f>
        <v>6585000</v>
      </c>
      <c r="K23" s="49">
        <f>VLOOKUP($A23,'Data shares'!$C:$FB,59)</f>
        <v>6778000</v>
      </c>
      <c r="L23" s="50">
        <f>VLOOKUP($A23,'Data shares'!$C:$FB,61)*100</f>
        <v>-2.85</v>
      </c>
      <c r="M23" s="49">
        <f>VLOOKUP($A23,'Data shares'!$C:$FB,62)</f>
        <v>3356000</v>
      </c>
      <c r="N23" s="49">
        <f>VLOOKUP($A23,'Data shares'!$C:$FB,63)</f>
        <v>3842000</v>
      </c>
      <c r="O23" s="140">
        <f>VLOOKUP($A23,'Data shares'!$C:$FB,65)*100</f>
        <v>-12.65</v>
      </c>
    </row>
    <row r="24" spans="1:15" x14ac:dyDescent="0.25">
      <c r="A24" s="101" t="str">
        <f>'Data Vlaue (Cr)'!C19</f>
        <v>AUROPHARMA</v>
      </c>
      <c r="B24" s="50">
        <f>VLOOKUP($A24,'Data shares'!$C:$FB,7)</f>
        <v>1146.5999999999999</v>
      </c>
      <c r="C24" s="50">
        <f>VLOOKUP($A24,'Data shares'!$C:$FB,10)*100</f>
        <v>2</v>
      </c>
      <c r="D24" s="49">
        <f>VLOOKUP($A24,'Data shares'!$C:$FB,66)</f>
        <v>63129000</v>
      </c>
      <c r="E24" s="49">
        <f>VLOOKUP($A24,'Data shares'!$C:$FB,67)</f>
        <v>115479650</v>
      </c>
      <c r="F24" s="50">
        <f>VLOOKUP($A24,'Data shares'!$C:$FB,69)*100</f>
        <v>-45.33</v>
      </c>
      <c r="G24" s="49">
        <f>VLOOKUP($A24,'Data shares'!$C:$FB,42)</f>
        <v>7311150</v>
      </c>
      <c r="H24" s="49">
        <f>VLOOKUP($A24,'Data shares'!$C:$FB,43)</f>
        <v>14727350</v>
      </c>
      <c r="I24" s="50">
        <f>VLOOKUP($A24,'Data shares'!$C:$FB,45)*100</f>
        <v>-50.360000000000007</v>
      </c>
      <c r="J24" s="49">
        <f>VLOOKUP($A24,'Data shares'!$C:$FB,58)</f>
        <v>37467100</v>
      </c>
      <c r="K24" s="49">
        <f>VLOOKUP($A24,'Data shares'!$C:$FB,59)</f>
        <v>57510200</v>
      </c>
      <c r="L24" s="50">
        <f>VLOOKUP($A24,'Data shares'!$C:$FB,61)*100</f>
        <v>-34.849999999999994</v>
      </c>
      <c r="M24" s="49">
        <f>VLOOKUP($A24,'Data shares'!$C:$FB,62)</f>
        <v>18350750</v>
      </c>
      <c r="N24" s="49">
        <f>VLOOKUP($A24,'Data shares'!$C:$FB,63)</f>
        <v>43242100</v>
      </c>
      <c r="O24" s="140">
        <f>VLOOKUP($A24,'Data shares'!$C:$FB,65)*100</f>
        <v>-57.56</v>
      </c>
    </row>
    <row r="25" spans="1:15" x14ac:dyDescent="0.25">
      <c r="A25" s="101" t="str">
        <f>'Data Vlaue (Cr)'!C20</f>
        <v>AXISBANK</v>
      </c>
      <c r="B25" s="50">
        <f>VLOOKUP($A25,'Data shares'!$C:$FB,7)</f>
        <v>1347.3</v>
      </c>
      <c r="C25" s="50">
        <f>VLOOKUP($A25,'Data shares'!$C:$FB,10)*100</f>
        <v>-0.69</v>
      </c>
      <c r="D25" s="49">
        <f>VLOOKUP($A25,'Data shares'!$C:$FB,66)</f>
        <v>35283750</v>
      </c>
      <c r="E25" s="49">
        <f>VLOOKUP($A25,'Data shares'!$C:$FB,67)</f>
        <v>58873125</v>
      </c>
      <c r="F25" s="50">
        <f>VLOOKUP($A25,'Data shares'!$C:$FB,69)*100</f>
        <v>-40.07</v>
      </c>
      <c r="G25" s="49">
        <f>VLOOKUP($A25,'Data shares'!$C:$FB,42)</f>
        <v>3553125</v>
      </c>
      <c r="H25" s="49">
        <f>VLOOKUP($A25,'Data shares'!$C:$FB,43)</f>
        <v>5187500</v>
      </c>
      <c r="I25" s="50">
        <f>VLOOKUP($A25,'Data shares'!$C:$FB,45)*100</f>
        <v>-31.509999999999998</v>
      </c>
      <c r="J25" s="49">
        <f>VLOOKUP($A25,'Data shares'!$C:$FB,58)</f>
        <v>18301250</v>
      </c>
      <c r="K25" s="49">
        <f>VLOOKUP($A25,'Data shares'!$C:$FB,59)</f>
        <v>35135625</v>
      </c>
      <c r="L25" s="50">
        <f>VLOOKUP($A25,'Data shares'!$C:$FB,61)*100</f>
        <v>-47.910000000000004</v>
      </c>
      <c r="M25" s="49">
        <f>VLOOKUP($A25,'Data shares'!$C:$FB,62)</f>
        <v>13429375</v>
      </c>
      <c r="N25" s="49">
        <f>VLOOKUP($A25,'Data shares'!$C:$FB,63)</f>
        <v>18550000</v>
      </c>
      <c r="O25" s="140">
        <f>VLOOKUP($A25,'Data shares'!$C:$FB,65)*100</f>
        <v>-27.6</v>
      </c>
    </row>
    <row r="26" spans="1:15" x14ac:dyDescent="0.25">
      <c r="A26" s="101" t="str">
        <f>'Data Vlaue (Cr)'!C21</f>
        <v>BAJAJ-AUTO</v>
      </c>
      <c r="B26" s="50">
        <f>VLOOKUP($A26,'Data shares'!$C:$FB,7)</f>
        <v>9869.5</v>
      </c>
      <c r="C26" s="50">
        <f>VLOOKUP($A26,'Data shares'!$C:$FB,10)*100</f>
        <v>0.98</v>
      </c>
      <c r="D26" s="49">
        <f>VLOOKUP($A26,'Data shares'!$C:$FB,66)</f>
        <v>5184900</v>
      </c>
      <c r="E26" s="49">
        <f>VLOOKUP($A26,'Data shares'!$C:$FB,67)</f>
        <v>8900700</v>
      </c>
      <c r="F26" s="50">
        <f>VLOOKUP($A26,'Data shares'!$C:$FB,69)*100</f>
        <v>-41.75</v>
      </c>
      <c r="G26" s="49">
        <f>VLOOKUP($A26,'Data shares'!$C:$FB,42)</f>
        <v>398925</v>
      </c>
      <c r="H26" s="49">
        <f>VLOOKUP($A26,'Data shares'!$C:$FB,43)</f>
        <v>592425</v>
      </c>
      <c r="I26" s="50">
        <f>VLOOKUP($A26,'Data shares'!$C:$FB,45)*100</f>
        <v>-32.659999999999997</v>
      </c>
      <c r="J26" s="49">
        <f>VLOOKUP($A26,'Data shares'!$C:$FB,58)</f>
        <v>3411450</v>
      </c>
      <c r="K26" s="49">
        <f>VLOOKUP($A26,'Data shares'!$C:$FB,59)</f>
        <v>6169500</v>
      </c>
      <c r="L26" s="50">
        <f>VLOOKUP($A26,'Data shares'!$C:$FB,61)*100</f>
        <v>-44.7</v>
      </c>
      <c r="M26" s="49">
        <f>VLOOKUP($A26,'Data shares'!$C:$FB,62)</f>
        <v>1374525</v>
      </c>
      <c r="N26" s="49">
        <f>VLOOKUP($A26,'Data shares'!$C:$FB,63)</f>
        <v>2138775</v>
      </c>
      <c r="O26" s="140">
        <f>VLOOKUP($A26,'Data shares'!$C:$FB,65)*100</f>
        <v>-35.730000000000004</v>
      </c>
    </row>
    <row r="27" spans="1:15" x14ac:dyDescent="0.25">
      <c r="A27" s="101" t="str">
        <f>'Data Vlaue (Cr)'!C22</f>
        <v>BAJAJFINSV</v>
      </c>
      <c r="B27" s="50">
        <f>VLOOKUP($A27,'Data shares'!$C:$FB,7)</f>
        <v>2027</v>
      </c>
      <c r="C27" s="50">
        <f>VLOOKUP($A27,'Data shares'!$C:$FB,10)*100</f>
        <v>-0.04</v>
      </c>
      <c r="D27" s="49">
        <f>VLOOKUP($A27,'Data shares'!$C:$FB,66)</f>
        <v>11158250</v>
      </c>
      <c r="E27" s="49">
        <f>VLOOKUP($A27,'Data shares'!$C:$FB,67)</f>
        <v>7134250</v>
      </c>
      <c r="F27" s="50">
        <f>VLOOKUP($A27,'Data shares'!$C:$FB,69)*100</f>
        <v>56.399999999999991</v>
      </c>
      <c r="G27" s="49">
        <f>VLOOKUP($A27,'Data shares'!$C:$FB,42)</f>
        <v>747250</v>
      </c>
      <c r="H27" s="49">
        <f>VLOOKUP($A27,'Data shares'!$C:$FB,43)</f>
        <v>930500</v>
      </c>
      <c r="I27" s="50">
        <f>VLOOKUP($A27,'Data shares'!$C:$FB,45)*100</f>
        <v>-19.689999999999998</v>
      </c>
      <c r="J27" s="49">
        <f>VLOOKUP($A27,'Data shares'!$C:$FB,58)</f>
        <v>7528250</v>
      </c>
      <c r="K27" s="49">
        <f>VLOOKUP($A27,'Data shares'!$C:$FB,59)</f>
        <v>3871750</v>
      </c>
      <c r="L27" s="50">
        <f>VLOOKUP($A27,'Data shares'!$C:$FB,61)*100</f>
        <v>94.44</v>
      </c>
      <c r="M27" s="49">
        <f>VLOOKUP($A27,'Data shares'!$C:$FB,62)</f>
        <v>2882750</v>
      </c>
      <c r="N27" s="49">
        <f>VLOOKUP($A27,'Data shares'!$C:$FB,63)</f>
        <v>2332000</v>
      </c>
      <c r="O27" s="140">
        <f>VLOOKUP($A27,'Data shares'!$C:$FB,65)*100</f>
        <v>23.62</v>
      </c>
    </row>
    <row r="28" spans="1:15" x14ac:dyDescent="0.25">
      <c r="A28" s="101" t="str">
        <f>'Data Vlaue (Cr)'!C23</f>
        <v>BAJAJHLDNG</v>
      </c>
      <c r="B28" s="50">
        <f>VLOOKUP($A28,'Data shares'!$C:$FB,7)</f>
        <v>11111</v>
      </c>
      <c r="C28" s="50">
        <f>VLOOKUP($A28,'Data shares'!$C:$FB,10)*100</f>
        <v>0.27</v>
      </c>
      <c r="D28" s="49">
        <f>VLOOKUP($A28,'Data shares'!$C:$FB,66)</f>
        <v>155650</v>
      </c>
      <c r="E28" s="49">
        <f>VLOOKUP($A28,'Data shares'!$C:$FB,67)</f>
        <v>163650</v>
      </c>
      <c r="F28" s="50">
        <f>VLOOKUP($A28,'Data shares'!$C:$FB,69)*100</f>
        <v>-4.8899999999999997</v>
      </c>
      <c r="G28" s="49">
        <f>VLOOKUP($A28,'Data shares'!$C:$FB,42)</f>
        <v>26350</v>
      </c>
      <c r="H28" s="49">
        <f>VLOOKUP($A28,'Data shares'!$C:$FB,43)</f>
        <v>30100</v>
      </c>
      <c r="I28" s="50">
        <f>VLOOKUP($A28,'Data shares'!$C:$FB,45)*100</f>
        <v>-12.46</v>
      </c>
      <c r="J28" s="49">
        <f>VLOOKUP($A28,'Data shares'!$C:$FB,58)</f>
        <v>120700</v>
      </c>
      <c r="K28" s="49">
        <f>VLOOKUP($A28,'Data shares'!$C:$FB,59)</f>
        <v>122900</v>
      </c>
      <c r="L28" s="50">
        <f>VLOOKUP($A28,'Data shares'!$C:$FB,61)*100</f>
        <v>-1.79</v>
      </c>
      <c r="M28" s="49">
        <f>VLOOKUP($A28,'Data shares'!$C:$FB,62)</f>
        <v>8600</v>
      </c>
      <c r="N28" s="49">
        <f>VLOOKUP($A28,'Data shares'!$C:$FB,63)</f>
        <v>10650</v>
      </c>
      <c r="O28" s="140">
        <f>VLOOKUP($A28,'Data shares'!$C:$FB,65)*100</f>
        <v>-19.25</v>
      </c>
    </row>
    <row r="29" spans="1:15" x14ac:dyDescent="0.25">
      <c r="A29" s="101" t="str">
        <f>'Data Vlaue (Cr)'!C24</f>
        <v>BAJFINANCE</v>
      </c>
      <c r="B29" s="50">
        <f>VLOOKUP($A29,'Data shares'!$C:$FB,7)</f>
        <v>968.95</v>
      </c>
      <c r="C29" s="50">
        <f>VLOOKUP($A29,'Data shares'!$C:$FB,10)*100</f>
        <v>0.35000000000000003</v>
      </c>
      <c r="D29" s="49">
        <f>VLOOKUP($A29,'Data shares'!$C:$FB,66)</f>
        <v>37087500</v>
      </c>
      <c r="E29" s="49">
        <f>VLOOKUP($A29,'Data shares'!$C:$FB,67)</f>
        <v>43986000</v>
      </c>
      <c r="F29" s="50">
        <f>VLOOKUP($A29,'Data shares'!$C:$FB,69)*100</f>
        <v>-15.68</v>
      </c>
      <c r="G29" s="49">
        <f>VLOOKUP($A29,'Data shares'!$C:$FB,42)</f>
        <v>5289750</v>
      </c>
      <c r="H29" s="49">
        <f>VLOOKUP($A29,'Data shares'!$C:$FB,43)</f>
        <v>6370500</v>
      </c>
      <c r="I29" s="50">
        <f>VLOOKUP($A29,'Data shares'!$C:$FB,45)*100</f>
        <v>-16.96</v>
      </c>
      <c r="J29" s="49">
        <f>VLOOKUP($A29,'Data shares'!$C:$FB,58)</f>
        <v>20010000</v>
      </c>
      <c r="K29" s="49">
        <f>VLOOKUP($A29,'Data shares'!$C:$FB,59)</f>
        <v>22266000</v>
      </c>
      <c r="L29" s="50">
        <f>VLOOKUP($A29,'Data shares'!$C:$FB,61)*100</f>
        <v>-10.130000000000001</v>
      </c>
      <c r="M29" s="49">
        <f>VLOOKUP($A29,'Data shares'!$C:$FB,62)</f>
        <v>11787750</v>
      </c>
      <c r="N29" s="49">
        <f>VLOOKUP($A29,'Data shares'!$C:$FB,63)</f>
        <v>15349500</v>
      </c>
      <c r="O29" s="140">
        <f>VLOOKUP($A29,'Data shares'!$C:$FB,65)*100</f>
        <v>-23.200000000000003</v>
      </c>
    </row>
    <row r="30" spans="1:15" x14ac:dyDescent="0.25">
      <c r="A30" s="101" t="str">
        <f>'Data Vlaue (Cr)'!C25</f>
        <v>BANDHANBNK</v>
      </c>
      <c r="B30" s="50">
        <f>VLOOKUP($A30,'Data shares'!$C:$FB,7)</f>
        <v>168.26</v>
      </c>
      <c r="C30" s="50">
        <f>VLOOKUP($A30,'Data shares'!$C:$FB,10)*100</f>
        <v>0.94000000000000006</v>
      </c>
      <c r="D30" s="49">
        <f>VLOOKUP($A30,'Data shares'!$C:$FB,66)</f>
        <v>72172800</v>
      </c>
      <c r="E30" s="49">
        <f>VLOOKUP($A30,'Data shares'!$C:$FB,67)</f>
        <v>100224000</v>
      </c>
      <c r="F30" s="50">
        <f>VLOOKUP($A30,'Data shares'!$C:$FB,69)*100</f>
        <v>-27.99</v>
      </c>
      <c r="G30" s="49">
        <f>VLOOKUP($A30,'Data shares'!$C:$FB,42)</f>
        <v>19468800</v>
      </c>
      <c r="H30" s="49">
        <f>VLOOKUP($A30,'Data shares'!$C:$FB,43)</f>
        <v>21978000</v>
      </c>
      <c r="I30" s="50">
        <f>VLOOKUP($A30,'Data shares'!$C:$FB,45)*100</f>
        <v>-11.42</v>
      </c>
      <c r="J30" s="49">
        <f>VLOOKUP($A30,'Data shares'!$C:$FB,58)</f>
        <v>32382000</v>
      </c>
      <c r="K30" s="49">
        <f>VLOOKUP($A30,'Data shares'!$C:$FB,59)</f>
        <v>55544400</v>
      </c>
      <c r="L30" s="50">
        <f>VLOOKUP($A30,'Data shares'!$C:$FB,61)*100</f>
        <v>-41.699999999999996</v>
      </c>
      <c r="M30" s="49">
        <f>VLOOKUP($A30,'Data shares'!$C:$FB,62)</f>
        <v>20322000</v>
      </c>
      <c r="N30" s="49">
        <f>VLOOKUP($A30,'Data shares'!$C:$FB,63)</f>
        <v>22701600</v>
      </c>
      <c r="O30" s="140">
        <f>VLOOKUP($A30,'Data shares'!$C:$FB,65)*100</f>
        <v>-10.48</v>
      </c>
    </row>
    <row r="31" spans="1:15" x14ac:dyDescent="0.25">
      <c r="A31" s="101" t="str">
        <f>'Data Vlaue (Cr)'!C26</f>
        <v>BANKBARODA</v>
      </c>
      <c r="B31" s="50">
        <f>VLOOKUP($A31,'Data shares'!$C:$FB,7)</f>
        <v>291.2</v>
      </c>
      <c r="C31" s="50">
        <f>VLOOKUP($A31,'Data shares'!$C:$FB,10)*100</f>
        <v>0.28999999999999998</v>
      </c>
      <c r="D31" s="49">
        <f>VLOOKUP($A31,'Data shares'!$C:$FB,66)</f>
        <v>101003175</v>
      </c>
      <c r="E31" s="49">
        <f>VLOOKUP($A31,'Data shares'!$C:$FB,67)</f>
        <v>49397400</v>
      </c>
      <c r="F31" s="50">
        <f>VLOOKUP($A31,'Data shares'!$C:$FB,69)*100</f>
        <v>104.47</v>
      </c>
      <c r="G31" s="49">
        <f>VLOOKUP($A31,'Data shares'!$C:$FB,42)</f>
        <v>16315650</v>
      </c>
      <c r="H31" s="49">
        <f>VLOOKUP($A31,'Data shares'!$C:$FB,43)</f>
        <v>11691225</v>
      </c>
      <c r="I31" s="50">
        <f>VLOOKUP($A31,'Data shares'!$C:$FB,45)*100</f>
        <v>39.550000000000004</v>
      </c>
      <c r="J31" s="49">
        <f>VLOOKUP($A31,'Data shares'!$C:$FB,58)</f>
        <v>61784775</v>
      </c>
      <c r="K31" s="49">
        <f>VLOOKUP($A31,'Data shares'!$C:$FB,59)</f>
        <v>25350975</v>
      </c>
      <c r="L31" s="50">
        <f>VLOOKUP($A31,'Data shares'!$C:$FB,61)*100</f>
        <v>143.72</v>
      </c>
      <c r="M31" s="49">
        <f>VLOOKUP($A31,'Data shares'!$C:$FB,62)</f>
        <v>22902750</v>
      </c>
      <c r="N31" s="49">
        <f>VLOOKUP($A31,'Data shares'!$C:$FB,63)</f>
        <v>12355200</v>
      </c>
      <c r="O31" s="140">
        <f>VLOOKUP($A31,'Data shares'!$C:$FB,65)*100</f>
        <v>85.37</v>
      </c>
    </row>
    <row r="32" spans="1:15" x14ac:dyDescent="0.25">
      <c r="A32" s="101" t="str">
        <f>'Data Vlaue (Cr)'!C27</f>
        <v>BANKINDIA</v>
      </c>
      <c r="B32" s="50">
        <f>VLOOKUP($A32,'Data shares'!$C:$FB,7)</f>
        <v>167.13</v>
      </c>
      <c r="C32" s="50">
        <f>VLOOKUP($A32,'Data shares'!$C:$FB,10)*100</f>
        <v>-0.26</v>
      </c>
      <c r="D32" s="49">
        <f>VLOOKUP($A32,'Data shares'!$C:$FB,66)</f>
        <v>51443600</v>
      </c>
      <c r="E32" s="49">
        <f>VLOOKUP($A32,'Data shares'!$C:$FB,67)</f>
        <v>34704800</v>
      </c>
      <c r="F32" s="50">
        <f>VLOOKUP($A32,'Data shares'!$C:$FB,69)*100</f>
        <v>48.230000000000004</v>
      </c>
      <c r="G32" s="49">
        <f>VLOOKUP($A32,'Data shares'!$C:$FB,42)</f>
        <v>14045200</v>
      </c>
      <c r="H32" s="49">
        <f>VLOOKUP($A32,'Data shares'!$C:$FB,43)</f>
        <v>10680800</v>
      </c>
      <c r="I32" s="50">
        <f>VLOOKUP($A32,'Data shares'!$C:$FB,45)*100</f>
        <v>31.5</v>
      </c>
      <c r="J32" s="49">
        <f>VLOOKUP($A32,'Data shares'!$C:$FB,58)</f>
        <v>24252800</v>
      </c>
      <c r="K32" s="49">
        <f>VLOOKUP($A32,'Data shares'!$C:$FB,59)</f>
        <v>15106000</v>
      </c>
      <c r="L32" s="50">
        <f>VLOOKUP($A32,'Data shares'!$C:$FB,61)*100</f>
        <v>60.550000000000004</v>
      </c>
      <c r="M32" s="49">
        <f>VLOOKUP($A32,'Data shares'!$C:$FB,62)</f>
        <v>13145600</v>
      </c>
      <c r="N32" s="49">
        <f>VLOOKUP($A32,'Data shares'!$C:$FB,63)</f>
        <v>8918000</v>
      </c>
      <c r="O32" s="140">
        <f>VLOOKUP($A32,'Data shares'!$C:$FB,65)*100</f>
        <v>47.410000000000004</v>
      </c>
    </row>
    <row r="33" spans="1:15" x14ac:dyDescent="0.25">
      <c r="A33" s="101" t="str">
        <f>'Data Vlaue (Cr)'!C28</f>
        <v>BANKNIFTY</v>
      </c>
      <c r="B33" s="50">
        <f>VLOOKUP($A33,'Data shares'!$C:$FB,7)</f>
        <v>60745.35</v>
      </c>
      <c r="C33" s="50">
        <f>VLOOKUP($A33,'Data shares'!$C:$FB,10)*100</f>
        <v>0.2</v>
      </c>
      <c r="D33" s="49">
        <f>VLOOKUP($A33,'Data shares'!$C:$FB,66)</f>
        <v>69202260</v>
      </c>
      <c r="E33" s="49">
        <f>VLOOKUP($A33,'Data shares'!$C:$FB,67)</f>
        <v>55623150</v>
      </c>
      <c r="F33" s="50">
        <f>VLOOKUP($A33,'Data shares'!$C:$FB,69)*100</f>
        <v>24.41</v>
      </c>
      <c r="G33" s="49">
        <f>VLOOKUP($A33,'Data shares'!$C:$FB,42)</f>
        <v>525000</v>
      </c>
      <c r="H33" s="49">
        <f>VLOOKUP($A33,'Data shares'!$C:$FB,43)</f>
        <v>542310</v>
      </c>
      <c r="I33" s="50">
        <f>VLOOKUP($A33,'Data shares'!$C:$FB,45)*100</f>
        <v>-3.19</v>
      </c>
      <c r="J33" s="49">
        <f>VLOOKUP($A33,'Data shares'!$C:$FB,58)</f>
        <v>32625990</v>
      </c>
      <c r="K33" s="49">
        <f>VLOOKUP($A33,'Data shares'!$C:$FB,59)</f>
        <v>27788490</v>
      </c>
      <c r="L33" s="50">
        <f>VLOOKUP($A33,'Data shares'!$C:$FB,61)*100</f>
        <v>17.41</v>
      </c>
      <c r="M33" s="49">
        <f>VLOOKUP($A33,'Data shares'!$C:$FB,62)</f>
        <v>36051270</v>
      </c>
      <c r="N33" s="49">
        <f>VLOOKUP($A33,'Data shares'!$C:$FB,63)</f>
        <v>27292350</v>
      </c>
      <c r="O33" s="140">
        <f>VLOOKUP($A33,'Data shares'!$C:$FB,65)*100</f>
        <v>32.090000000000003</v>
      </c>
    </row>
    <row r="34" spans="1:15" x14ac:dyDescent="0.25">
      <c r="A34" s="101" t="str">
        <f>'Data Vlaue (Cr)'!C29</f>
        <v>BDL</v>
      </c>
      <c r="B34" s="50">
        <f>VLOOKUP($A34,'Data shares'!$C:$FB,7)</f>
        <v>1282.5999999999999</v>
      </c>
      <c r="C34" s="50">
        <f>VLOOKUP($A34,'Data shares'!$C:$FB,10)*100</f>
        <v>-1.34</v>
      </c>
      <c r="D34" s="49">
        <f>VLOOKUP($A34,'Data shares'!$C:$FB,66)</f>
        <v>10279500</v>
      </c>
      <c r="E34" s="49">
        <f>VLOOKUP($A34,'Data shares'!$C:$FB,67)</f>
        <v>10994900</v>
      </c>
      <c r="F34" s="50">
        <f>VLOOKUP($A34,'Data shares'!$C:$FB,69)*100</f>
        <v>-6.5100000000000007</v>
      </c>
      <c r="G34" s="49">
        <f>VLOOKUP($A34,'Data shares'!$C:$FB,42)</f>
        <v>1181600</v>
      </c>
      <c r="H34" s="49">
        <f>VLOOKUP($A34,'Data shares'!$C:$FB,43)</f>
        <v>1683500</v>
      </c>
      <c r="I34" s="50">
        <f>VLOOKUP($A34,'Data shares'!$C:$FB,45)*100</f>
        <v>-29.81</v>
      </c>
      <c r="J34" s="49">
        <f>VLOOKUP($A34,'Data shares'!$C:$FB,58)</f>
        <v>7434000</v>
      </c>
      <c r="K34" s="49">
        <f>VLOOKUP($A34,'Data shares'!$C:$FB,59)</f>
        <v>7373450</v>
      </c>
      <c r="L34" s="50">
        <f>VLOOKUP($A34,'Data shares'!$C:$FB,61)*100</f>
        <v>0.82000000000000006</v>
      </c>
      <c r="M34" s="49">
        <f>VLOOKUP($A34,'Data shares'!$C:$FB,62)</f>
        <v>1663900</v>
      </c>
      <c r="N34" s="49">
        <f>VLOOKUP($A34,'Data shares'!$C:$FB,63)</f>
        <v>1937950</v>
      </c>
      <c r="O34" s="140">
        <f>VLOOKUP($A34,'Data shares'!$C:$FB,65)*100</f>
        <v>-14.14</v>
      </c>
    </row>
    <row r="35" spans="1:15" x14ac:dyDescent="0.25">
      <c r="A35" s="101" t="str">
        <f>'Data Vlaue (Cr)'!C30</f>
        <v>BEL</v>
      </c>
      <c r="B35" s="50">
        <f>VLOOKUP($A35,'Data shares'!$C:$FB,7)</f>
        <v>437.55</v>
      </c>
      <c r="C35" s="50">
        <f>VLOOKUP($A35,'Data shares'!$C:$FB,10)*100</f>
        <v>0.06</v>
      </c>
      <c r="D35" s="49">
        <f>VLOOKUP($A35,'Data shares'!$C:$FB,66)</f>
        <v>83204325</v>
      </c>
      <c r="E35" s="49">
        <f>VLOOKUP($A35,'Data shares'!$C:$FB,67)</f>
        <v>119338050</v>
      </c>
      <c r="F35" s="50">
        <f>VLOOKUP($A35,'Data shares'!$C:$FB,69)*100</f>
        <v>-30.28</v>
      </c>
      <c r="G35" s="49">
        <f>VLOOKUP($A35,'Data shares'!$C:$FB,42)</f>
        <v>8545725</v>
      </c>
      <c r="H35" s="49">
        <f>VLOOKUP($A35,'Data shares'!$C:$FB,43)</f>
        <v>12078300</v>
      </c>
      <c r="I35" s="50">
        <f>VLOOKUP($A35,'Data shares'!$C:$FB,45)*100</f>
        <v>-29.25</v>
      </c>
      <c r="J35" s="49">
        <f>VLOOKUP($A35,'Data shares'!$C:$FB,58)</f>
        <v>56164950</v>
      </c>
      <c r="K35" s="49">
        <f>VLOOKUP($A35,'Data shares'!$C:$FB,59)</f>
        <v>78831000</v>
      </c>
      <c r="L35" s="50">
        <f>VLOOKUP($A35,'Data shares'!$C:$FB,61)*100</f>
        <v>-28.749999999999996</v>
      </c>
      <c r="M35" s="49">
        <f>VLOOKUP($A35,'Data shares'!$C:$FB,62)</f>
        <v>18493650</v>
      </c>
      <c r="N35" s="49">
        <f>VLOOKUP($A35,'Data shares'!$C:$FB,63)</f>
        <v>28428750</v>
      </c>
      <c r="O35" s="140">
        <f>VLOOKUP($A35,'Data shares'!$C:$FB,65)*100</f>
        <v>-34.949999999999996</v>
      </c>
    </row>
    <row r="36" spans="1:15" x14ac:dyDescent="0.25">
      <c r="A36" s="101" t="str">
        <f>'Data Vlaue (Cr)'!C31</f>
        <v>BHARATFORG</v>
      </c>
      <c r="B36" s="50">
        <f>VLOOKUP($A36,'Data shares'!$C:$FB,7)</f>
        <v>1676.4</v>
      </c>
      <c r="C36" s="50">
        <f>VLOOKUP($A36,'Data shares'!$C:$FB,10)*100</f>
        <v>3.8699999999999997</v>
      </c>
      <c r="D36" s="49">
        <f>VLOOKUP($A36,'Data shares'!$C:$FB,66)</f>
        <v>22774000</v>
      </c>
      <c r="E36" s="49">
        <f>VLOOKUP($A36,'Data shares'!$C:$FB,67)</f>
        <v>6783500</v>
      </c>
      <c r="F36" s="50">
        <f>VLOOKUP($A36,'Data shares'!$C:$FB,69)*100</f>
        <v>235.73</v>
      </c>
      <c r="G36" s="49">
        <f>VLOOKUP($A36,'Data shares'!$C:$FB,42)</f>
        <v>3601000</v>
      </c>
      <c r="H36" s="49">
        <f>VLOOKUP($A36,'Data shares'!$C:$FB,43)</f>
        <v>1191000</v>
      </c>
      <c r="I36" s="50">
        <f>VLOOKUP($A36,'Data shares'!$C:$FB,45)*100</f>
        <v>202.35</v>
      </c>
      <c r="J36" s="49">
        <f>VLOOKUP($A36,'Data shares'!$C:$FB,58)</f>
        <v>14373500</v>
      </c>
      <c r="K36" s="49">
        <f>VLOOKUP($A36,'Data shares'!$C:$FB,59)</f>
        <v>4043500</v>
      </c>
      <c r="L36" s="50">
        <f>VLOOKUP($A36,'Data shares'!$C:$FB,61)*100</f>
        <v>255.47</v>
      </c>
      <c r="M36" s="49">
        <f>VLOOKUP($A36,'Data shares'!$C:$FB,62)</f>
        <v>4799500</v>
      </c>
      <c r="N36" s="49">
        <f>VLOOKUP($A36,'Data shares'!$C:$FB,63)</f>
        <v>1549000</v>
      </c>
      <c r="O36" s="140">
        <f>VLOOKUP($A36,'Data shares'!$C:$FB,65)*100</f>
        <v>209.85</v>
      </c>
    </row>
    <row r="37" spans="1:15" x14ac:dyDescent="0.25">
      <c r="A37" s="101" t="str">
        <f>'Data Vlaue (Cr)'!C32</f>
        <v>BHARTIARTL</v>
      </c>
      <c r="B37" s="50">
        <f>VLOOKUP($A37,'Data shares'!$C:$FB,7)</f>
        <v>2012.1</v>
      </c>
      <c r="C37" s="50">
        <f>VLOOKUP($A37,'Data shares'!$C:$FB,10)*100</f>
        <v>0.04</v>
      </c>
      <c r="D37" s="49">
        <f>VLOOKUP($A37,'Data shares'!$C:$FB,66)</f>
        <v>39387950</v>
      </c>
      <c r="E37" s="49">
        <f>VLOOKUP($A37,'Data shares'!$C:$FB,67)</f>
        <v>39064475</v>
      </c>
      <c r="F37" s="50">
        <f>VLOOKUP($A37,'Data shares'!$C:$FB,69)*100</f>
        <v>0.83</v>
      </c>
      <c r="G37" s="49">
        <f>VLOOKUP($A37,'Data shares'!$C:$FB,42)</f>
        <v>3559175</v>
      </c>
      <c r="H37" s="49">
        <f>VLOOKUP($A37,'Data shares'!$C:$FB,43)</f>
        <v>3720675</v>
      </c>
      <c r="I37" s="50">
        <f>VLOOKUP($A37,'Data shares'!$C:$FB,45)*100</f>
        <v>-4.34</v>
      </c>
      <c r="J37" s="49">
        <f>VLOOKUP($A37,'Data shares'!$C:$FB,58)</f>
        <v>22860800</v>
      </c>
      <c r="K37" s="49">
        <f>VLOOKUP($A37,'Data shares'!$C:$FB,59)</f>
        <v>20507175</v>
      </c>
      <c r="L37" s="50">
        <f>VLOOKUP($A37,'Data shares'!$C:$FB,61)*100</f>
        <v>11.48</v>
      </c>
      <c r="M37" s="49">
        <f>VLOOKUP($A37,'Data shares'!$C:$FB,62)</f>
        <v>12967975</v>
      </c>
      <c r="N37" s="49">
        <f>VLOOKUP($A37,'Data shares'!$C:$FB,63)</f>
        <v>14836625</v>
      </c>
      <c r="O37" s="140">
        <f>VLOOKUP($A37,'Data shares'!$C:$FB,65)*100</f>
        <v>-12.590000000000002</v>
      </c>
    </row>
    <row r="38" spans="1:15" x14ac:dyDescent="0.25">
      <c r="A38" s="101" t="str">
        <f>'Data Vlaue (Cr)'!C33</f>
        <v>BHEL</v>
      </c>
      <c r="B38" s="50">
        <f>VLOOKUP($A38,'Data shares'!$C:$FB,7)</f>
        <v>260.64999999999998</v>
      </c>
      <c r="C38" s="50">
        <f>VLOOKUP($A38,'Data shares'!$C:$FB,10)*100</f>
        <v>-5.6000000000000005</v>
      </c>
      <c r="D38" s="49">
        <f>VLOOKUP($A38,'Data shares'!$C:$FB,66)</f>
        <v>480619125</v>
      </c>
      <c r="E38" s="49">
        <f>VLOOKUP($A38,'Data shares'!$C:$FB,67)</f>
        <v>81125625</v>
      </c>
      <c r="F38" s="50">
        <f>VLOOKUP($A38,'Data shares'!$C:$FB,69)*100</f>
        <v>492.44000000000005</v>
      </c>
      <c r="G38" s="49">
        <f>VLOOKUP($A38,'Data shares'!$C:$FB,42)</f>
        <v>112539000</v>
      </c>
      <c r="H38" s="49">
        <f>VLOOKUP($A38,'Data shares'!$C:$FB,43)</f>
        <v>10925250</v>
      </c>
      <c r="I38" s="50">
        <f>VLOOKUP($A38,'Data shares'!$C:$FB,45)*100</f>
        <v>930.08</v>
      </c>
      <c r="J38" s="49">
        <f>VLOOKUP($A38,'Data shares'!$C:$FB,58)</f>
        <v>229467000</v>
      </c>
      <c r="K38" s="49">
        <f>VLOOKUP($A38,'Data shares'!$C:$FB,59)</f>
        <v>48197625</v>
      </c>
      <c r="L38" s="50">
        <f>VLOOKUP($A38,'Data shares'!$C:$FB,61)*100</f>
        <v>376.1</v>
      </c>
      <c r="M38" s="49">
        <f>VLOOKUP($A38,'Data shares'!$C:$FB,62)</f>
        <v>138613125</v>
      </c>
      <c r="N38" s="49">
        <f>VLOOKUP($A38,'Data shares'!$C:$FB,63)</f>
        <v>22002750</v>
      </c>
      <c r="O38" s="140">
        <f>VLOOKUP($A38,'Data shares'!$C:$FB,65)*100</f>
        <v>529.98</v>
      </c>
    </row>
    <row r="39" spans="1:15" x14ac:dyDescent="0.25">
      <c r="A39" s="101" t="str">
        <f>'Data Vlaue (Cr)'!C34</f>
        <v>BIOCON</v>
      </c>
      <c r="B39" s="50">
        <f>VLOOKUP($A39,'Data shares'!$C:$FB,7)</f>
        <v>375.2</v>
      </c>
      <c r="C39" s="50">
        <f>VLOOKUP($A39,'Data shares'!$C:$FB,10)*100</f>
        <v>1.1199999999999999</v>
      </c>
      <c r="D39" s="49">
        <f>VLOOKUP($A39,'Data shares'!$C:$FB,66)</f>
        <v>48047500</v>
      </c>
      <c r="E39" s="49">
        <f>VLOOKUP($A39,'Data shares'!$C:$FB,67)</f>
        <v>36200000</v>
      </c>
      <c r="F39" s="50">
        <f>VLOOKUP($A39,'Data shares'!$C:$FB,69)*100</f>
        <v>32.729999999999997</v>
      </c>
      <c r="G39" s="49">
        <f>VLOOKUP($A39,'Data shares'!$C:$FB,42)</f>
        <v>9665000</v>
      </c>
      <c r="H39" s="49">
        <f>VLOOKUP($A39,'Data shares'!$C:$FB,43)</f>
        <v>9410000</v>
      </c>
      <c r="I39" s="50">
        <f>VLOOKUP($A39,'Data shares'!$C:$FB,45)*100</f>
        <v>2.71</v>
      </c>
      <c r="J39" s="49">
        <f>VLOOKUP($A39,'Data shares'!$C:$FB,58)</f>
        <v>28320000</v>
      </c>
      <c r="K39" s="49">
        <f>VLOOKUP($A39,'Data shares'!$C:$FB,59)</f>
        <v>18657500</v>
      </c>
      <c r="L39" s="50">
        <f>VLOOKUP($A39,'Data shares'!$C:$FB,61)*100</f>
        <v>51.790000000000006</v>
      </c>
      <c r="M39" s="49">
        <f>VLOOKUP($A39,'Data shares'!$C:$FB,62)</f>
        <v>10062500</v>
      </c>
      <c r="N39" s="49">
        <f>VLOOKUP($A39,'Data shares'!$C:$FB,63)</f>
        <v>8132500</v>
      </c>
      <c r="O39" s="140">
        <f>VLOOKUP($A39,'Data shares'!$C:$FB,65)*100</f>
        <v>23.73</v>
      </c>
    </row>
    <row r="40" spans="1:15" x14ac:dyDescent="0.25">
      <c r="A40" s="101" t="str">
        <f>'Data Vlaue (Cr)'!C35</f>
        <v>BLUESTARCO</v>
      </c>
      <c r="B40" s="50">
        <f>VLOOKUP($A40,'Data shares'!$C:$FB,7)</f>
        <v>1962.2</v>
      </c>
      <c r="C40" s="50">
        <f>VLOOKUP($A40,'Data shares'!$C:$FB,10)*100</f>
        <v>0.71000000000000008</v>
      </c>
      <c r="D40" s="49">
        <f>VLOOKUP($A40,'Data shares'!$C:$FB,66)</f>
        <v>1916850</v>
      </c>
      <c r="E40" s="49">
        <f>VLOOKUP($A40,'Data shares'!$C:$FB,67)</f>
        <v>11791975</v>
      </c>
      <c r="F40" s="50">
        <f>VLOOKUP($A40,'Data shares'!$C:$FB,69)*100</f>
        <v>-83.740000000000009</v>
      </c>
      <c r="G40" s="49">
        <f>VLOOKUP($A40,'Data shares'!$C:$FB,42)</f>
        <v>440700</v>
      </c>
      <c r="H40" s="49">
        <f>VLOOKUP($A40,'Data shares'!$C:$FB,43)</f>
        <v>1424150</v>
      </c>
      <c r="I40" s="50">
        <f>VLOOKUP($A40,'Data shares'!$C:$FB,45)*100</f>
        <v>-69.06</v>
      </c>
      <c r="J40" s="49">
        <f>VLOOKUP($A40,'Data shares'!$C:$FB,58)</f>
        <v>1152775</v>
      </c>
      <c r="K40" s="49">
        <f>VLOOKUP($A40,'Data shares'!$C:$FB,59)</f>
        <v>7291375</v>
      </c>
      <c r="L40" s="50">
        <f>VLOOKUP($A40,'Data shares'!$C:$FB,61)*100</f>
        <v>-84.19</v>
      </c>
      <c r="M40" s="49">
        <f>VLOOKUP($A40,'Data shares'!$C:$FB,62)</f>
        <v>323375</v>
      </c>
      <c r="N40" s="49">
        <f>VLOOKUP($A40,'Data shares'!$C:$FB,63)</f>
        <v>3076450</v>
      </c>
      <c r="O40" s="140">
        <f>VLOOKUP($A40,'Data shares'!$C:$FB,65)*100</f>
        <v>-89.490000000000009</v>
      </c>
    </row>
    <row r="41" spans="1:15" x14ac:dyDescent="0.25">
      <c r="A41" s="101" t="str">
        <f>'Data Vlaue (Cr)'!C36</f>
        <v>BOSCHLTD</v>
      </c>
      <c r="B41" s="50">
        <f>VLOOKUP($A41,'Data shares'!$C:$FB,7)</f>
        <v>36570</v>
      </c>
      <c r="C41" s="50">
        <f>VLOOKUP($A41,'Data shares'!$C:$FB,10)*100</f>
        <v>2.8000000000000003</v>
      </c>
      <c r="D41" s="49">
        <f>VLOOKUP($A41,'Data shares'!$C:$FB,66)</f>
        <v>801350</v>
      </c>
      <c r="E41" s="49">
        <f>VLOOKUP($A41,'Data shares'!$C:$FB,67)</f>
        <v>408600</v>
      </c>
      <c r="F41" s="50">
        <f>VLOOKUP($A41,'Data shares'!$C:$FB,69)*100</f>
        <v>96.12</v>
      </c>
      <c r="G41" s="49">
        <f>VLOOKUP($A41,'Data shares'!$C:$FB,42)</f>
        <v>69425</v>
      </c>
      <c r="H41" s="49">
        <f>VLOOKUP($A41,'Data shares'!$C:$FB,43)</f>
        <v>45175</v>
      </c>
      <c r="I41" s="50">
        <f>VLOOKUP($A41,'Data shares'!$C:$FB,45)*100</f>
        <v>53.680000000000007</v>
      </c>
      <c r="J41" s="49">
        <f>VLOOKUP($A41,'Data shares'!$C:$FB,58)</f>
        <v>542700</v>
      </c>
      <c r="K41" s="49">
        <f>VLOOKUP($A41,'Data shares'!$C:$FB,59)</f>
        <v>253200</v>
      </c>
      <c r="L41" s="50">
        <f>VLOOKUP($A41,'Data shares'!$C:$FB,61)*100</f>
        <v>114.34</v>
      </c>
      <c r="M41" s="49">
        <f>VLOOKUP($A41,'Data shares'!$C:$FB,62)</f>
        <v>189225</v>
      </c>
      <c r="N41" s="49">
        <f>VLOOKUP($A41,'Data shares'!$C:$FB,63)</f>
        <v>110225</v>
      </c>
      <c r="O41" s="140">
        <f>VLOOKUP($A41,'Data shares'!$C:$FB,65)*100</f>
        <v>71.67</v>
      </c>
    </row>
    <row r="42" spans="1:15" x14ac:dyDescent="0.25">
      <c r="A42" s="101" t="str">
        <f>'Data Vlaue (Cr)'!C37</f>
        <v>BPCL</v>
      </c>
      <c r="B42" s="50">
        <f>VLOOKUP($A42,'Data shares'!$C:$FB,7)</f>
        <v>387.6</v>
      </c>
      <c r="C42" s="50">
        <f>VLOOKUP($A42,'Data shares'!$C:$FB,10)*100</f>
        <v>0.32</v>
      </c>
      <c r="D42" s="49">
        <f>VLOOKUP($A42,'Data shares'!$C:$FB,66)</f>
        <v>30069375</v>
      </c>
      <c r="E42" s="49">
        <f>VLOOKUP($A42,'Data shares'!$C:$FB,67)</f>
        <v>24888950</v>
      </c>
      <c r="F42" s="50">
        <f>VLOOKUP($A42,'Data shares'!$C:$FB,69)*100</f>
        <v>20.810000000000002</v>
      </c>
      <c r="G42" s="49">
        <f>VLOOKUP($A42,'Data shares'!$C:$FB,42)</f>
        <v>3969750</v>
      </c>
      <c r="H42" s="49">
        <f>VLOOKUP($A42,'Data shares'!$C:$FB,43)</f>
        <v>3809775</v>
      </c>
      <c r="I42" s="50">
        <f>VLOOKUP($A42,'Data shares'!$C:$FB,45)*100</f>
        <v>4.2</v>
      </c>
      <c r="J42" s="49">
        <f>VLOOKUP($A42,'Data shares'!$C:$FB,58)</f>
        <v>17178550</v>
      </c>
      <c r="K42" s="49">
        <f>VLOOKUP($A42,'Data shares'!$C:$FB,59)</f>
        <v>12910575</v>
      </c>
      <c r="L42" s="50">
        <f>VLOOKUP($A42,'Data shares'!$C:$FB,61)*100</f>
        <v>33.06</v>
      </c>
      <c r="M42" s="49">
        <f>VLOOKUP($A42,'Data shares'!$C:$FB,62)</f>
        <v>8921075</v>
      </c>
      <c r="N42" s="49">
        <f>VLOOKUP($A42,'Data shares'!$C:$FB,63)</f>
        <v>8168600</v>
      </c>
      <c r="O42" s="140">
        <f>VLOOKUP($A42,'Data shares'!$C:$FB,65)*100</f>
        <v>9.2100000000000009</v>
      </c>
    </row>
    <row r="43" spans="1:15" x14ac:dyDescent="0.25">
      <c r="A43" s="101" t="str">
        <f>'Data Vlaue (Cr)'!C38</f>
        <v>BRITANNIA</v>
      </c>
      <c r="B43" s="50">
        <f>VLOOKUP($A43,'Data shares'!$C:$FB,7)</f>
        <v>6019</v>
      </c>
      <c r="C43" s="50">
        <f>VLOOKUP($A43,'Data shares'!$C:$FB,10)*100</f>
        <v>2.48</v>
      </c>
      <c r="D43" s="49">
        <f>VLOOKUP($A43,'Data shares'!$C:$FB,66)</f>
        <v>14176750</v>
      </c>
      <c r="E43" s="49">
        <f>VLOOKUP($A43,'Data shares'!$C:$FB,67)</f>
        <v>3208875</v>
      </c>
      <c r="F43" s="50">
        <f>VLOOKUP($A43,'Data shares'!$C:$FB,69)*100</f>
        <v>341.8</v>
      </c>
      <c r="G43" s="49">
        <f>VLOOKUP($A43,'Data shares'!$C:$FB,42)</f>
        <v>1357500</v>
      </c>
      <c r="H43" s="49">
        <f>VLOOKUP($A43,'Data shares'!$C:$FB,43)</f>
        <v>415625</v>
      </c>
      <c r="I43" s="50">
        <f>VLOOKUP($A43,'Data shares'!$C:$FB,45)*100</f>
        <v>226.62</v>
      </c>
      <c r="J43" s="49">
        <f>VLOOKUP($A43,'Data shares'!$C:$FB,58)</f>
        <v>8715000</v>
      </c>
      <c r="K43" s="49">
        <f>VLOOKUP($A43,'Data shares'!$C:$FB,59)</f>
        <v>1922250</v>
      </c>
      <c r="L43" s="50">
        <f>VLOOKUP($A43,'Data shares'!$C:$FB,61)*100</f>
        <v>353.37</v>
      </c>
      <c r="M43" s="49">
        <f>VLOOKUP($A43,'Data shares'!$C:$FB,62)</f>
        <v>4104250</v>
      </c>
      <c r="N43" s="49">
        <f>VLOOKUP($A43,'Data shares'!$C:$FB,63)</f>
        <v>871000</v>
      </c>
      <c r="O43" s="140">
        <f>VLOOKUP($A43,'Data shares'!$C:$FB,65)*100</f>
        <v>371.21</v>
      </c>
    </row>
    <row r="44" spans="1:15" x14ac:dyDescent="0.25">
      <c r="A44" s="101" t="str">
        <f>'Data Vlaue (Cr)'!C39</f>
        <v>BSE</v>
      </c>
      <c r="B44" s="50">
        <f>VLOOKUP($A44,'Data shares'!$C:$FB,7)</f>
        <v>3177.1</v>
      </c>
      <c r="C44" s="50">
        <f>VLOOKUP($A44,'Data shares'!$C:$FB,10)*100</f>
        <v>0.09</v>
      </c>
      <c r="D44" s="49">
        <f>VLOOKUP($A44,'Data shares'!$C:$FB,66)</f>
        <v>42094125</v>
      </c>
      <c r="E44" s="49">
        <f>VLOOKUP($A44,'Data shares'!$C:$FB,67)</f>
        <v>154639500</v>
      </c>
      <c r="F44" s="50">
        <f>VLOOKUP($A44,'Data shares'!$C:$FB,69)*100</f>
        <v>-72.78</v>
      </c>
      <c r="G44" s="49">
        <f>VLOOKUP($A44,'Data shares'!$C:$FB,42)</f>
        <v>4629375</v>
      </c>
      <c r="H44" s="49">
        <f>VLOOKUP($A44,'Data shares'!$C:$FB,43)</f>
        <v>15261750</v>
      </c>
      <c r="I44" s="50">
        <f>VLOOKUP($A44,'Data shares'!$C:$FB,45)*100</f>
        <v>-69.67</v>
      </c>
      <c r="J44" s="49">
        <f>VLOOKUP($A44,'Data shares'!$C:$FB,58)</f>
        <v>20688000</v>
      </c>
      <c r="K44" s="49">
        <f>VLOOKUP($A44,'Data shares'!$C:$FB,59)</f>
        <v>92195250</v>
      </c>
      <c r="L44" s="50">
        <f>VLOOKUP($A44,'Data shares'!$C:$FB,61)*100</f>
        <v>-77.56</v>
      </c>
      <c r="M44" s="49">
        <f>VLOOKUP($A44,'Data shares'!$C:$FB,62)</f>
        <v>16776750</v>
      </c>
      <c r="N44" s="49">
        <f>VLOOKUP($A44,'Data shares'!$C:$FB,63)</f>
        <v>47182500</v>
      </c>
      <c r="O44" s="140">
        <f>VLOOKUP($A44,'Data shares'!$C:$FB,65)*100</f>
        <v>-64.44</v>
      </c>
    </row>
    <row r="45" spans="1:15" x14ac:dyDescent="0.25">
      <c r="A45" s="101" t="str">
        <f>'Data Vlaue (Cr)'!C40</f>
        <v>CAMS</v>
      </c>
      <c r="B45" s="50">
        <f>VLOOKUP($A45,'Data shares'!$C:$FB,7)</f>
        <v>747.1</v>
      </c>
      <c r="C45" s="50">
        <f>VLOOKUP($A45,'Data shares'!$C:$FB,10)*100</f>
        <v>0.61</v>
      </c>
      <c r="D45" s="49">
        <f>VLOOKUP($A45,'Data shares'!$C:$FB,66)</f>
        <v>4007250</v>
      </c>
      <c r="E45" s="49">
        <f>VLOOKUP($A45,'Data shares'!$C:$FB,67)</f>
        <v>8137500</v>
      </c>
      <c r="F45" s="50">
        <f>VLOOKUP($A45,'Data shares'!$C:$FB,69)*100</f>
        <v>-50.760000000000005</v>
      </c>
      <c r="G45" s="49">
        <f>VLOOKUP($A45,'Data shares'!$C:$FB,42)</f>
        <v>1123500</v>
      </c>
      <c r="H45" s="49">
        <f>VLOOKUP($A45,'Data shares'!$C:$FB,43)</f>
        <v>2178000</v>
      </c>
      <c r="I45" s="50">
        <f>VLOOKUP($A45,'Data shares'!$C:$FB,45)*100</f>
        <v>-48.42</v>
      </c>
      <c r="J45" s="49">
        <f>VLOOKUP($A45,'Data shares'!$C:$FB,58)</f>
        <v>2079000</v>
      </c>
      <c r="K45" s="49">
        <f>VLOOKUP($A45,'Data shares'!$C:$FB,59)</f>
        <v>4522500</v>
      </c>
      <c r="L45" s="50">
        <f>VLOOKUP($A45,'Data shares'!$C:$FB,61)*100</f>
        <v>-54.03</v>
      </c>
      <c r="M45" s="49">
        <f>VLOOKUP($A45,'Data shares'!$C:$FB,62)</f>
        <v>804750</v>
      </c>
      <c r="N45" s="49">
        <f>VLOOKUP($A45,'Data shares'!$C:$FB,63)</f>
        <v>1437000</v>
      </c>
      <c r="O45" s="140">
        <f>VLOOKUP($A45,'Data shares'!$C:$FB,65)*100</f>
        <v>-44</v>
      </c>
    </row>
    <row r="46" spans="1:15" x14ac:dyDescent="0.25">
      <c r="A46" s="101" t="str">
        <f>'Data Vlaue (Cr)'!C41</f>
        <v>CANBK</v>
      </c>
      <c r="B46" s="50">
        <f>VLOOKUP($A46,'Data shares'!$C:$FB,7)</f>
        <v>145.51</v>
      </c>
      <c r="C46" s="50">
        <f>VLOOKUP($A46,'Data shares'!$C:$FB,10)*100</f>
        <v>-0.89999999999999991</v>
      </c>
      <c r="D46" s="49">
        <f>VLOOKUP($A46,'Data shares'!$C:$FB,66)</f>
        <v>288272250</v>
      </c>
      <c r="E46" s="49">
        <f>VLOOKUP($A46,'Data shares'!$C:$FB,67)</f>
        <v>127183500</v>
      </c>
      <c r="F46" s="50">
        <f>VLOOKUP($A46,'Data shares'!$C:$FB,69)*100</f>
        <v>126.66</v>
      </c>
      <c r="G46" s="49">
        <f>VLOOKUP($A46,'Data shares'!$C:$FB,42)</f>
        <v>55113750</v>
      </c>
      <c r="H46" s="49">
        <f>VLOOKUP($A46,'Data shares'!$C:$FB,43)</f>
        <v>26952750</v>
      </c>
      <c r="I46" s="50">
        <f>VLOOKUP($A46,'Data shares'!$C:$FB,45)*100</f>
        <v>104.47999999999999</v>
      </c>
      <c r="J46" s="49">
        <f>VLOOKUP($A46,'Data shares'!$C:$FB,58)</f>
        <v>168912000</v>
      </c>
      <c r="K46" s="49">
        <f>VLOOKUP($A46,'Data shares'!$C:$FB,59)</f>
        <v>75674250</v>
      </c>
      <c r="L46" s="50">
        <f>VLOOKUP($A46,'Data shares'!$C:$FB,61)*100</f>
        <v>123.21</v>
      </c>
      <c r="M46" s="49">
        <f>VLOOKUP($A46,'Data shares'!$C:$FB,62)</f>
        <v>64246500</v>
      </c>
      <c r="N46" s="49">
        <f>VLOOKUP($A46,'Data shares'!$C:$FB,63)</f>
        <v>24556500</v>
      </c>
      <c r="O46" s="140">
        <f>VLOOKUP($A46,'Data shares'!$C:$FB,65)*100</f>
        <v>161.63</v>
      </c>
    </row>
    <row r="47" spans="1:15" x14ac:dyDescent="0.25">
      <c r="A47" s="101" t="str">
        <f>'Data Vlaue (Cr)'!C42</f>
        <v>CDSL</v>
      </c>
      <c r="B47" s="50">
        <f>VLOOKUP($A47,'Data shares'!$C:$FB,7)</f>
        <v>1397.2</v>
      </c>
      <c r="C47" s="50">
        <f>VLOOKUP($A47,'Data shares'!$C:$FB,10)*100</f>
        <v>-0.26</v>
      </c>
      <c r="D47" s="49">
        <f>VLOOKUP($A47,'Data shares'!$C:$FB,66)</f>
        <v>15855500</v>
      </c>
      <c r="E47" s="49">
        <f>VLOOKUP($A47,'Data shares'!$C:$FB,67)</f>
        <v>36653375</v>
      </c>
      <c r="F47" s="50">
        <f>VLOOKUP($A47,'Data shares'!$C:$FB,69)*100</f>
        <v>-56.74</v>
      </c>
      <c r="G47" s="49">
        <f>VLOOKUP($A47,'Data shares'!$C:$FB,42)</f>
        <v>1936100</v>
      </c>
      <c r="H47" s="49">
        <f>VLOOKUP($A47,'Data shares'!$C:$FB,43)</f>
        <v>4282600</v>
      </c>
      <c r="I47" s="50">
        <f>VLOOKUP($A47,'Data shares'!$C:$FB,45)*100</f>
        <v>-54.790000000000006</v>
      </c>
      <c r="J47" s="49">
        <f>VLOOKUP($A47,'Data shares'!$C:$FB,58)</f>
        <v>10005875</v>
      </c>
      <c r="K47" s="49">
        <f>VLOOKUP($A47,'Data shares'!$C:$FB,59)</f>
        <v>24773625</v>
      </c>
      <c r="L47" s="50">
        <f>VLOOKUP($A47,'Data shares'!$C:$FB,61)*100</f>
        <v>-59.61</v>
      </c>
      <c r="M47" s="49">
        <f>VLOOKUP($A47,'Data shares'!$C:$FB,62)</f>
        <v>3913525</v>
      </c>
      <c r="N47" s="49">
        <f>VLOOKUP($A47,'Data shares'!$C:$FB,63)</f>
        <v>7597150</v>
      </c>
      <c r="O47" s="140">
        <f>VLOOKUP($A47,'Data shares'!$C:$FB,65)*100</f>
        <v>-48.49</v>
      </c>
    </row>
    <row r="48" spans="1:15" x14ac:dyDescent="0.25">
      <c r="A48" s="101" t="str">
        <f>'Data Vlaue (Cr)'!C43</f>
        <v>CGPOWER</v>
      </c>
      <c r="B48" s="50">
        <f>VLOOKUP($A48,'Data shares'!$C:$FB,7)</f>
        <v>685.6</v>
      </c>
      <c r="C48" s="50">
        <f>VLOOKUP($A48,'Data shares'!$C:$FB,10)*100</f>
        <v>0.59</v>
      </c>
      <c r="D48" s="49">
        <f>VLOOKUP($A48,'Data shares'!$C:$FB,66)</f>
        <v>10062300</v>
      </c>
      <c r="E48" s="49">
        <f>VLOOKUP($A48,'Data shares'!$C:$FB,67)</f>
        <v>17370600</v>
      </c>
      <c r="F48" s="50">
        <f>VLOOKUP($A48,'Data shares'!$C:$FB,69)*100</f>
        <v>-42.07</v>
      </c>
      <c r="G48" s="49">
        <f>VLOOKUP($A48,'Data shares'!$C:$FB,42)</f>
        <v>2113100</v>
      </c>
      <c r="H48" s="49">
        <f>VLOOKUP($A48,'Data shares'!$C:$FB,43)</f>
        <v>2895100</v>
      </c>
      <c r="I48" s="50">
        <f>VLOOKUP($A48,'Data shares'!$C:$FB,45)*100</f>
        <v>-27.01</v>
      </c>
      <c r="J48" s="49">
        <f>VLOOKUP($A48,'Data shares'!$C:$FB,58)</f>
        <v>5136550</v>
      </c>
      <c r="K48" s="49">
        <f>VLOOKUP($A48,'Data shares'!$C:$FB,59)</f>
        <v>8301950</v>
      </c>
      <c r="L48" s="50">
        <f>VLOOKUP($A48,'Data shares'!$C:$FB,61)*100</f>
        <v>-38.129999999999995</v>
      </c>
      <c r="M48" s="49">
        <f>VLOOKUP($A48,'Data shares'!$C:$FB,62)</f>
        <v>2812650</v>
      </c>
      <c r="N48" s="49">
        <f>VLOOKUP($A48,'Data shares'!$C:$FB,63)</f>
        <v>6173550</v>
      </c>
      <c r="O48" s="140">
        <f>VLOOKUP($A48,'Data shares'!$C:$FB,65)*100</f>
        <v>-54.44</v>
      </c>
    </row>
    <row r="49" spans="1:15" x14ac:dyDescent="0.25">
      <c r="A49" s="101" t="str">
        <f>'Data Vlaue (Cr)'!C44</f>
        <v>CHOLAFIN</v>
      </c>
      <c r="B49" s="50">
        <f>VLOOKUP($A49,'Data shares'!$C:$FB,7)</f>
        <v>1723</v>
      </c>
      <c r="C49" s="50">
        <f>VLOOKUP($A49,'Data shares'!$C:$FB,10)*100</f>
        <v>-0.19</v>
      </c>
      <c r="D49" s="49">
        <f>VLOOKUP($A49,'Data shares'!$C:$FB,66)</f>
        <v>3752500</v>
      </c>
      <c r="E49" s="49">
        <f>VLOOKUP($A49,'Data shares'!$C:$FB,67)</f>
        <v>8572500</v>
      </c>
      <c r="F49" s="50">
        <f>VLOOKUP($A49,'Data shares'!$C:$FB,69)*100</f>
        <v>-56.230000000000004</v>
      </c>
      <c r="G49" s="49">
        <f>VLOOKUP($A49,'Data shares'!$C:$FB,42)</f>
        <v>946250</v>
      </c>
      <c r="H49" s="49">
        <f>VLOOKUP($A49,'Data shares'!$C:$FB,43)</f>
        <v>1742500</v>
      </c>
      <c r="I49" s="50">
        <f>VLOOKUP($A49,'Data shares'!$C:$FB,45)*100</f>
        <v>-45.7</v>
      </c>
      <c r="J49" s="49">
        <f>VLOOKUP($A49,'Data shares'!$C:$FB,58)</f>
        <v>1798125</v>
      </c>
      <c r="K49" s="49">
        <f>VLOOKUP($A49,'Data shares'!$C:$FB,59)</f>
        <v>3719375</v>
      </c>
      <c r="L49" s="50">
        <f>VLOOKUP($A49,'Data shares'!$C:$FB,61)*100</f>
        <v>-51.66</v>
      </c>
      <c r="M49" s="49">
        <f>VLOOKUP($A49,'Data shares'!$C:$FB,62)</f>
        <v>1008125</v>
      </c>
      <c r="N49" s="49">
        <f>VLOOKUP($A49,'Data shares'!$C:$FB,63)</f>
        <v>3110625</v>
      </c>
      <c r="O49" s="140">
        <f>VLOOKUP($A49,'Data shares'!$C:$FB,65)*100</f>
        <v>-67.589999999999989</v>
      </c>
    </row>
    <row r="50" spans="1:15" x14ac:dyDescent="0.25">
      <c r="A50" s="101" t="str">
        <f>'Data Vlaue (Cr)'!C45</f>
        <v>CIPLA</v>
      </c>
      <c r="B50" s="50">
        <f>VLOOKUP($A50,'Data shares'!$C:$FB,7)</f>
        <v>1349.9</v>
      </c>
      <c r="C50" s="50">
        <f>VLOOKUP($A50,'Data shares'!$C:$FB,10)*100</f>
        <v>0.57999999999999996</v>
      </c>
      <c r="D50" s="49">
        <f>VLOOKUP($A50,'Data shares'!$C:$FB,66)</f>
        <v>6509250</v>
      </c>
      <c r="E50" s="49">
        <f>VLOOKUP($A50,'Data shares'!$C:$FB,67)</f>
        <v>13514250</v>
      </c>
      <c r="F50" s="50">
        <f>VLOOKUP($A50,'Data shares'!$C:$FB,69)*100</f>
        <v>-51.83</v>
      </c>
      <c r="G50" s="49">
        <f>VLOOKUP($A50,'Data shares'!$C:$FB,42)</f>
        <v>781875</v>
      </c>
      <c r="H50" s="49">
        <f>VLOOKUP($A50,'Data shares'!$C:$FB,43)</f>
        <v>1328625</v>
      </c>
      <c r="I50" s="50">
        <f>VLOOKUP($A50,'Data shares'!$C:$FB,45)*100</f>
        <v>-41.15</v>
      </c>
      <c r="J50" s="49">
        <f>VLOOKUP($A50,'Data shares'!$C:$FB,58)</f>
        <v>4203000</v>
      </c>
      <c r="K50" s="49">
        <f>VLOOKUP($A50,'Data shares'!$C:$FB,59)</f>
        <v>9274875</v>
      </c>
      <c r="L50" s="50">
        <f>VLOOKUP($A50,'Data shares'!$C:$FB,61)*100</f>
        <v>-54.679999999999993</v>
      </c>
      <c r="M50" s="49">
        <f>VLOOKUP($A50,'Data shares'!$C:$FB,62)</f>
        <v>1524375</v>
      </c>
      <c r="N50" s="49">
        <f>VLOOKUP($A50,'Data shares'!$C:$FB,63)</f>
        <v>2910750</v>
      </c>
      <c r="O50" s="140">
        <f>VLOOKUP($A50,'Data shares'!$C:$FB,65)*100</f>
        <v>-47.63</v>
      </c>
    </row>
    <row r="51" spans="1:15" x14ac:dyDescent="0.25">
      <c r="A51" s="101" t="str">
        <f>'Data Vlaue (Cr)'!C46</f>
        <v>COALINDIA</v>
      </c>
      <c r="B51" s="50">
        <f>VLOOKUP($A51,'Data shares'!$C:$FB,7)</f>
        <v>423.25</v>
      </c>
      <c r="C51" s="50">
        <f>VLOOKUP($A51,'Data shares'!$C:$FB,10)*100</f>
        <v>-1.79</v>
      </c>
      <c r="D51" s="49">
        <f>VLOOKUP($A51,'Data shares'!$C:$FB,66)</f>
        <v>67246200</v>
      </c>
      <c r="E51" s="49">
        <f>VLOOKUP($A51,'Data shares'!$C:$FB,67)</f>
        <v>27315900</v>
      </c>
      <c r="F51" s="50">
        <f>VLOOKUP($A51,'Data shares'!$C:$FB,69)*100</f>
        <v>146.18</v>
      </c>
      <c r="G51" s="49">
        <f>VLOOKUP($A51,'Data shares'!$C:$FB,42)</f>
        <v>7911000</v>
      </c>
      <c r="H51" s="49">
        <f>VLOOKUP($A51,'Data shares'!$C:$FB,43)</f>
        <v>4857300</v>
      </c>
      <c r="I51" s="50">
        <f>VLOOKUP($A51,'Data shares'!$C:$FB,45)*100</f>
        <v>62.870000000000005</v>
      </c>
      <c r="J51" s="49">
        <f>VLOOKUP($A51,'Data shares'!$C:$FB,58)</f>
        <v>40505400</v>
      </c>
      <c r="K51" s="49">
        <f>VLOOKUP($A51,'Data shares'!$C:$FB,59)</f>
        <v>17024850</v>
      </c>
      <c r="L51" s="50">
        <f>VLOOKUP($A51,'Data shares'!$C:$FB,61)*100</f>
        <v>137.91999999999999</v>
      </c>
      <c r="M51" s="49">
        <f>VLOOKUP($A51,'Data shares'!$C:$FB,62)</f>
        <v>18829800</v>
      </c>
      <c r="N51" s="49">
        <f>VLOOKUP($A51,'Data shares'!$C:$FB,63)</f>
        <v>5433750</v>
      </c>
      <c r="O51" s="140">
        <f>VLOOKUP($A51,'Data shares'!$C:$FB,65)*100</f>
        <v>246.53</v>
      </c>
    </row>
    <row r="52" spans="1:15" x14ac:dyDescent="0.25">
      <c r="A52" s="101" t="str">
        <f>'Data Vlaue (Cr)'!C47</f>
        <v>COFORGE</v>
      </c>
      <c r="B52" s="50">
        <f>VLOOKUP($A52,'Data shares'!$C:$FB,7)</f>
        <v>1520.4</v>
      </c>
      <c r="C52" s="50">
        <f>VLOOKUP($A52,'Data shares'!$C:$FB,10)*100</f>
        <v>-1.97</v>
      </c>
      <c r="D52" s="49">
        <f>VLOOKUP($A52,'Data shares'!$C:$FB,66)</f>
        <v>16225875</v>
      </c>
      <c r="E52" s="49">
        <f>VLOOKUP($A52,'Data shares'!$C:$FB,67)</f>
        <v>18049500</v>
      </c>
      <c r="F52" s="50">
        <f>VLOOKUP($A52,'Data shares'!$C:$FB,69)*100</f>
        <v>-10.100000000000001</v>
      </c>
      <c r="G52" s="49">
        <f>VLOOKUP($A52,'Data shares'!$C:$FB,42)</f>
        <v>2507250</v>
      </c>
      <c r="H52" s="49">
        <f>VLOOKUP($A52,'Data shares'!$C:$FB,43)</f>
        <v>3134625</v>
      </c>
      <c r="I52" s="50">
        <f>VLOOKUP($A52,'Data shares'!$C:$FB,45)*100</f>
        <v>-20.010000000000002</v>
      </c>
      <c r="J52" s="49">
        <f>VLOOKUP($A52,'Data shares'!$C:$FB,58)</f>
        <v>9252375</v>
      </c>
      <c r="K52" s="49">
        <f>VLOOKUP($A52,'Data shares'!$C:$FB,59)</f>
        <v>10881750</v>
      </c>
      <c r="L52" s="50">
        <f>VLOOKUP($A52,'Data shares'!$C:$FB,61)*100</f>
        <v>-14.97</v>
      </c>
      <c r="M52" s="49">
        <f>VLOOKUP($A52,'Data shares'!$C:$FB,62)</f>
        <v>4466250</v>
      </c>
      <c r="N52" s="49">
        <f>VLOOKUP($A52,'Data shares'!$C:$FB,63)</f>
        <v>4033125</v>
      </c>
      <c r="O52" s="140">
        <f>VLOOKUP($A52,'Data shares'!$C:$FB,65)*100</f>
        <v>10.74</v>
      </c>
    </row>
    <row r="53" spans="1:15" x14ac:dyDescent="0.25">
      <c r="A53" s="101" t="str">
        <f>'Data Vlaue (Cr)'!C48</f>
        <v>COLPAL</v>
      </c>
      <c r="B53" s="50">
        <f>VLOOKUP($A53,'Data shares'!$C:$FB,7)</f>
        <v>2173.4</v>
      </c>
      <c r="C53" s="50">
        <f>VLOOKUP($A53,'Data shares'!$C:$FB,10)*100</f>
        <v>-0.44</v>
      </c>
      <c r="D53" s="49">
        <f>VLOOKUP($A53,'Data shares'!$C:$FB,66)</f>
        <v>4935825</v>
      </c>
      <c r="E53" s="49">
        <f>VLOOKUP($A53,'Data shares'!$C:$FB,67)</f>
        <v>5532075</v>
      </c>
      <c r="F53" s="50">
        <f>VLOOKUP($A53,'Data shares'!$C:$FB,69)*100</f>
        <v>-10.780000000000001</v>
      </c>
      <c r="G53" s="49">
        <f>VLOOKUP($A53,'Data shares'!$C:$FB,42)</f>
        <v>695025</v>
      </c>
      <c r="H53" s="49">
        <f>VLOOKUP($A53,'Data shares'!$C:$FB,43)</f>
        <v>682425</v>
      </c>
      <c r="I53" s="50">
        <f>VLOOKUP($A53,'Data shares'!$C:$FB,45)*100</f>
        <v>1.8499999999999999</v>
      </c>
      <c r="J53" s="49">
        <f>VLOOKUP($A53,'Data shares'!$C:$FB,58)</f>
        <v>3542175</v>
      </c>
      <c r="K53" s="49">
        <f>VLOOKUP($A53,'Data shares'!$C:$FB,59)</f>
        <v>3829500</v>
      </c>
      <c r="L53" s="50">
        <f>VLOOKUP($A53,'Data shares'!$C:$FB,61)*100</f>
        <v>-7.5</v>
      </c>
      <c r="M53" s="49">
        <f>VLOOKUP($A53,'Data shares'!$C:$FB,62)</f>
        <v>698625</v>
      </c>
      <c r="N53" s="49">
        <f>VLOOKUP($A53,'Data shares'!$C:$FB,63)</f>
        <v>1020150</v>
      </c>
      <c r="O53" s="140">
        <f>VLOOKUP($A53,'Data shares'!$C:$FB,65)*100</f>
        <v>-31.52</v>
      </c>
    </row>
    <row r="54" spans="1:15" x14ac:dyDescent="0.25">
      <c r="A54" s="101" t="str">
        <f>'Data Vlaue (Cr)'!C49</f>
        <v>CONCOR</v>
      </c>
      <c r="B54" s="50">
        <f>VLOOKUP($A54,'Data shares'!$C:$FB,7)</f>
        <v>515.15</v>
      </c>
      <c r="C54" s="50">
        <f>VLOOKUP($A54,'Data shares'!$C:$FB,10)*100</f>
        <v>0.3</v>
      </c>
      <c r="D54" s="49">
        <f>VLOOKUP($A54,'Data shares'!$C:$FB,66)</f>
        <v>9900000</v>
      </c>
      <c r="E54" s="49">
        <f>VLOOKUP($A54,'Data shares'!$C:$FB,67)</f>
        <v>15033750</v>
      </c>
      <c r="F54" s="50">
        <f>VLOOKUP($A54,'Data shares'!$C:$FB,69)*100</f>
        <v>-34.150000000000006</v>
      </c>
      <c r="G54" s="49">
        <f>VLOOKUP($A54,'Data shares'!$C:$FB,42)</f>
        <v>2370000</v>
      </c>
      <c r="H54" s="49">
        <f>VLOOKUP($A54,'Data shares'!$C:$FB,43)</f>
        <v>3877500</v>
      </c>
      <c r="I54" s="50">
        <f>VLOOKUP($A54,'Data shares'!$C:$FB,45)*100</f>
        <v>-38.879999999999995</v>
      </c>
      <c r="J54" s="49">
        <f>VLOOKUP($A54,'Data shares'!$C:$FB,58)</f>
        <v>5498750</v>
      </c>
      <c r="K54" s="49">
        <f>VLOOKUP($A54,'Data shares'!$C:$FB,59)</f>
        <v>7991250</v>
      </c>
      <c r="L54" s="50">
        <f>VLOOKUP($A54,'Data shares'!$C:$FB,61)*100</f>
        <v>-31.19</v>
      </c>
      <c r="M54" s="49">
        <f>VLOOKUP($A54,'Data shares'!$C:$FB,62)</f>
        <v>2031250</v>
      </c>
      <c r="N54" s="49">
        <f>VLOOKUP($A54,'Data shares'!$C:$FB,63)</f>
        <v>3165000</v>
      </c>
      <c r="O54" s="140">
        <f>VLOOKUP($A54,'Data shares'!$C:$FB,65)*100</f>
        <v>-35.82</v>
      </c>
    </row>
    <row r="55" spans="1:15" x14ac:dyDescent="0.25">
      <c r="A55" s="101" t="str">
        <f>'Data Vlaue (Cr)'!C50</f>
        <v>CROMPTON</v>
      </c>
      <c r="B55" s="50">
        <f>VLOOKUP($A55,'Data shares'!$C:$FB,7)</f>
        <v>266.04000000000002</v>
      </c>
      <c r="C55" s="50">
        <f>VLOOKUP($A55,'Data shares'!$C:$FB,10)*100</f>
        <v>1.67</v>
      </c>
      <c r="D55" s="49">
        <f>VLOOKUP($A55,'Data shares'!$C:$FB,66)</f>
        <v>37668600</v>
      </c>
      <c r="E55" s="49">
        <f>VLOOKUP($A55,'Data shares'!$C:$FB,67)</f>
        <v>53640000</v>
      </c>
      <c r="F55" s="50">
        <f>VLOOKUP($A55,'Data shares'!$C:$FB,69)*100</f>
        <v>-29.78</v>
      </c>
      <c r="G55" s="49">
        <f>VLOOKUP($A55,'Data shares'!$C:$FB,42)</f>
        <v>6397200</v>
      </c>
      <c r="H55" s="49">
        <f>VLOOKUP($A55,'Data shares'!$C:$FB,43)</f>
        <v>11259000</v>
      </c>
      <c r="I55" s="50">
        <f>VLOOKUP($A55,'Data shares'!$C:$FB,45)*100</f>
        <v>-43.18</v>
      </c>
      <c r="J55" s="49">
        <f>VLOOKUP($A55,'Data shares'!$C:$FB,58)</f>
        <v>19900800</v>
      </c>
      <c r="K55" s="49">
        <f>VLOOKUP($A55,'Data shares'!$C:$FB,59)</f>
        <v>23428800</v>
      </c>
      <c r="L55" s="50">
        <f>VLOOKUP($A55,'Data shares'!$C:$FB,61)*100</f>
        <v>-15.06</v>
      </c>
      <c r="M55" s="49">
        <f>VLOOKUP($A55,'Data shares'!$C:$FB,62)</f>
        <v>11370600</v>
      </c>
      <c r="N55" s="49">
        <f>VLOOKUP($A55,'Data shares'!$C:$FB,63)</f>
        <v>18952200</v>
      </c>
      <c r="O55" s="140">
        <f>VLOOKUP($A55,'Data shares'!$C:$FB,65)*100</f>
        <v>-40</v>
      </c>
    </row>
    <row r="56" spans="1:15" x14ac:dyDescent="0.25">
      <c r="A56" s="101" t="str">
        <f>'Data Vlaue (Cr)'!C51</f>
        <v>CUMMINSIND</v>
      </c>
      <c r="B56" s="50">
        <f>VLOOKUP($A56,'Data shares'!$C:$FB,7)</f>
        <v>4363.2</v>
      </c>
      <c r="C56" s="50">
        <f>VLOOKUP($A56,'Data shares'!$C:$FB,10)*100</f>
        <v>-1.25</v>
      </c>
      <c r="D56" s="49">
        <f>VLOOKUP($A56,'Data shares'!$C:$FB,66)</f>
        <v>3769600</v>
      </c>
      <c r="E56" s="49">
        <f>VLOOKUP($A56,'Data shares'!$C:$FB,67)</f>
        <v>3478400</v>
      </c>
      <c r="F56" s="50">
        <f>VLOOKUP($A56,'Data shares'!$C:$FB,69)*100</f>
        <v>8.3699999999999992</v>
      </c>
      <c r="G56" s="49">
        <f>VLOOKUP($A56,'Data shares'!$C:$FB,42)</f>
        <v>526200</v>
      </c>
      <c r="H56" s="49">
        <f>VLOOKUP($A56,'Data shares'!$C:$FB,43)</f>
        <v>743600</v>
      </c>
      <c r="I56" s="50">
        <f>VLOOKUP($A56,'Data shares'!$C:$FB,45)*100</f>
        <v>-29.24</v>
      </c>
      <c r="J56" s="49">
        <f>VLOOKUP($A56,'Data shares'!$C:$FB,58)</f>
        <v>2153000</v>
      </c>
      <c r="K56" s="49">
        <f>VLOOKUP($A56,'Data shares'!$C:$FB,59)</f>
        <v>1568400</v>
      </c>
      <c r="L56" s="50">
        <f>VLOOKUP($A56,'Data shares'!$C:$FB,61)*100</f>
        <v>37.269999999999996</v>
      </c>
      <c r="M56" s="49">
        <f>VLOOKUP($A56,'Data shares'!$C:$FB,62)</f>
        <v>1090400</v>
      </c>
      <c r="N56" s="49">
        <f>VLOOKUP($A56,'Data shares'!$C:$FB,63)</f>
        <v>1166400</v>
      </c>
      <c r="O56" s="140">
        <f>VLOOKUP($A56,'Data shares'!$C:$FB,65)*100</f>
        <v>-6.52</v>
      </c>
    </row>
    <row r="57" spans="1:15" x14ac:dyDescent="0.25">
      <c r="A57" s="101" t="str">
        <f>'Data Vlaue (Cr)'!C52</f>
        <v>DABUR</v>
      </c>
      <c r="B57" s="50">
        <f>VLOOKUP($A57,'Data shares'!$C:$FB,7)</f>
        <v>522.35</v>
      </c>
      <c r="C57" s="50">
        <f>VLOOKUP($A57,'Data shares'!$C:$FB,10)*100</f>
        <v>0.51</v>
      </c>
      <c r="D57" s="49">
        <f>VLOOKUP($A57,'Data shares'!$C:$FB,66)</f>
        <v>21225000</v>
      </c>
      <c r="E57" s="49">
        <f>VLOOKUP($A57,'Data shares'!$C:$FB,67)</f>
        <v>19337500</v>
      </c>
      <c r="F57" s="50">
        <f>VLOOKUP($A57,'Data shares'!$C:$FB,69)*100</f>
        <v>9.76</v>
      </c>
      <c r="G57" s="49">
        <f>VLOOKUP($A57,'Data shares'!$C:$FB,42)</f>
        <v>1591250</v>
      </c>
      <c r="H57" s="49">
        <f>VLOOKUP($A57,'Data shares'!$C:$FB,43)</f>
        <v>2071250</v>
      </c>
      <c r="I57" s="50">
        <f>VLOOKUP($A57,'Data shares'!$C:$FB,45)*100</f>
        <v>-23.169999999999998</v>
      </c>
      <c r="J57" s="49">
        <f>VLOOKUP($A57,'Data shares'!$C:$FB,58)</f>
        <v>12995000</v>
      </c>
      <c r="K57" s="49">
        <f>VLOOKUP($A57,'Data shares'!$C:$FB,59)</f>
        <v>12421250</v>
      </c>
      <c r="L57" s="50">
        <f>VLOOKUP($A57,'Data shares'!$C:$FB,61)*100</f>
        <v>4.62</v>
      </c>
      <c r="M57" s="49">
        <f>VLOOKUP($A57,'Data shares'!$C:$FB,62)</f>
        <v>6638750</v>
      </c>
      <c r="N57" s="49">
        <f>VLOOKUP($A57,'Data shares'!$C:$FB,63)</f>
        <v>4845000</v>
      </c>
      <c r="O57" s="140">
        <f>VLOOKUP($A57,'Data shares'!$C:$FB,65)*100</f>
        <v>37.019999999999996</v>
      </c>
    </row>
    <row r="58" spans="1:15" x14ac:dyDescent="0.25">
      <c r="A58" s="101" t="str">
        <f>'Data Vlaue (Cr)'!C53</f>
        <v>DALBHARAT</v>
      </c>
      <c r="B58" s="50">
        <f>VLOOKUP($A58,'Data shares'!$C:$FB,7)</f>
        <v>2175.1999999999998</v>
      </c>
      <c r="C58" s="50">
        <f>VLOOKUP($A58,'Data shares'!$C:$FB,10)*100</f>
        <v>-0.74</v>
      </c>
      <c r="D58" s="49">
        <f>VLOOKUP($A58,'Data shares'!$C:$FB,66)</f>
        <v>1100125</v>
      </c>
      <c r="E58" s="49">
        <f>VLOOKUP($A58,'Data shares'!$C:$FB,67)</f>
        <v>1517750</v>
      </c>
      <c r="F58" s="50">
        <f>VLOOKUP($A58,'Data shares'!$C:$FB,69)*100</f>
        <v>-27.52</v>
      </c>
      <c r="G58" s="49">
        <f>VLOOKUP($A58,'Data shares'!$C:$FB,42)</f>
        <v>432575</v>
      </c>
      <c r="H58" s="49">
        <f>VLOOKUP($A58,'Data shares'!$C:$FB,43)</f>
        <v>403975</v>
      </c>
      <c r="I58" s="50">
        <f>VLOOKUP($A58,'Data shares'!$C:$FB,45)*100</f>
        <v>7.08</v>
      </c>
      <c r="J58" s="49">
        <f>VLOOKUP($A58,'Data shares'!$C:$FB,58)</f>
        <v>312650</v>
      </c>
      <c r="K58" s="49">
        <f>VLOOKUP($A58,'Data shares'!$C:$FB,59)</f>
        <v>817700</v>
      </c>
      <c r="L58" s="50">
        <f>VLOOKUP($A58,'Data shares'!$C:$FB,61)*100</f>
        <v>-61.760000000000005</v>
      </c>
      <c r="M58" s="49">
        <f>VLOOKUP($A58,'Data shares'!$C:$FB,62)</f>
        <v>354900</v>
      </c>
      <c r="N58" s="49">
        <f>VLOOKUP($A58,'Data shares'!$C:$FB,63)</f>
        <v>296075</v>
      </c>
      <c r="O58" s="140">
        <f>VLOOKUP($A58,'Data shares'!$C:$FB,65)*100</f>
        <v>19.869999999999997</v>
      </c>
    </row>
    <row r="59" spans="1:15" x14ac:dyDescent="0.25">
      <c r="A59" s="101" t="str">
        <f>'Data Vlaue (Cr)'!C54</f>
        <v>DELHIVERY</v>
      </c>
      <c r="B59" s="50">
        <f>VLOOKUP($A59,'Data shares'!$C:$FB,7)</f>
        <v>429.5</v>
      </c>
      <c r="C59" s="50">
        <f>VLOOKUP($A59,'Data shares'!$C:$FB,10)*100</f>
        <v>-1.48</v>
      </c>
      <c r="D59" s="49">
        <f>VLOOKUP($A59,'Data shares'!$C:$FB,66)</f>
        <v>19702125</v>
      </c>
      <c r="E59" s="49">
        <f>VLOOKUP($A59,'Data shares'!$C:$FB,67)</f>
        <v>26740525</v>
      </c>
      <c r="F59" s="50">
        <f>VLOOKUP($A59,'Data shares'!$C:$FB,69)*100</f>
        <v>-26.32</v>
      </c>
      <c r="G59" s="49">
        <f>VLOOKUP($A59,'Data shares'!$C:$FB,42)</f>
        <v>5635700</v>
      </c>
      <c r="H59" s="49">
        <f>VLOOKUP($A59,'Data shares'!$C:$FB,43)</f>
        <v>7472075</v>
      </c>
      <c r="I59" s="50">
        <f>VLOOKUP($A59,'Data shares'!$C:$FB,45)*100</f>
        <v>-24.58</v>
      </c>
      <c r="J59" s="49">
        <f>VLOOKUP($A59,'Data shares'!$C:$FB,58)</f>
        <v>10082425</v>
      </c>
      <c r="K59" s="49">
        <f>VLOOKUP($A59,'Data shares'!$C:$FB,59)</f>
        <v>14105850</v>
      </c>
      <c r="L59" s="50">
        <f>VLOOKUP($A59,'Data shares'!$C:$FB,61)*100</f>
        <v>-28.52</v>
      </c>
      <c r="M59" s="49">
        <f>VLOOKUP($A59,'Data shares'!$C:$FB,62)</f>
        <v>3984000</v>
      </c>
      <c r="N59" s="49">
        <f>VLOOKUP($A59,'Data shares'!$C:$FB,63)</f>
        <v>5162600</v>
      </c>
      <c r="O59" s="140">
        <f>VLOOKUP($A59,'Data shares'!$C:$FB,65)*100</f>
        <v>-22.830000000000002</v>
      </c>
    </row>
    <row r="60" spans="1:15" x14ac:dyDescent="0.25">
      <c r="A60" s="101" t="str">
        <f>'Data Vlaue (Cr)'!C55</f>
        <v>DIVISLAB</v>
      </c>
      <c r="B60" s="50">
        <f>VLOOKUP($A60,'Data shares'!$C:$FB,7)</f>
        <v>6386.5</v>
      </c>
      <c r="C60" s="50">
        <f>VLOOKUP($A60,'Data shares'!$C:$FB,10)*100</f>
        <v>3.42</v>
      </c>
      <c r="D60" s="49">
        <f>VLOOKUP($A60,'Data shares'!$C:$FB,66)</f>
        <v>22926000</v>
      </c>
      <c r="E60" s="49">
        <f>VLOOKUP($A60,'Data shares'!$C:$FB,67)</f>
        <v>3547900</v>
      </c>
      <c r="F60" s="50">
        <f>VLOOKUP($A60,'Data shares'!$C:$FB,69)*100</f>
        <v>546.19000000000005</v>
      </c>
      <c r="G60" s="49">
        <f>VLOOKUP($A60,'Data shares'!$C:$FB,42)</f>
        <v>2374700</v>
      </c>
      <c r="H60" s="49">
        <f>VLOOKUP($A60,'Data shares'!$C:$FB,43)</f>
        <v>580300</v>
      </c>
      <c r="I60" s="50">
        <f>VLOOKUP($A60,'Data shares'!$C:$FB,45)*100</f>
        <v>309.22000000000003</v>
      </c>
      <c r="J60" s="49">
        <f>VLOOKUP($A60,'Data shares'!$C:$FB,58)</f>
        <v>14308200</v>
      </c>
      <c r="K60" s="49">
        <f>VLOOKUP($A60,'Data shares'!$C:$FB,59)</f>
        <v>2235700</v>
      </c>
      <c r="L60" s="50">
        <f>VLOOKUP($A60,'Data shares'!$C:$FB,61)*100</f>
        <v>539.99</v>
      </c>
      <c r="M60" s="49">
        <f>VLOOKUP($A60,'Data shares'!$C:$FB,62)</f>
        <v>6243100</v>
      </c>
      <c r="N60" s="49">
        <f>VLOOKUP($A60,'Data shares'!$C:$FB,63)</f>
        <v>731900</v>
      </c>
      <c r="O60" s="140">
        <f>VLOOKUP($A60,'Data shares'!$C:$FB,65)*100</f>
        <v>753</v>
      </c>
    </row>
    <row r="61" spans="1:15" x14ac:dyDescent="0.25">
      <c r="A61" s="101" t="str">
        <f>'Data Vlaue (Cr)'!C56</f>
        <v>DIXON</v>
      </c>
      <c r="B61" s="50">
        <f>VLOOKUP($A61,'Data shares'!$C:$FB,7)</f>
        <v>11741</v>
      </c>
      <c r="C61" s="50">
        <f>VLOOKUP($A61,'Data shares'!$C:$FB,10)*100</f>
        <v>1.1400000000000001</v>
      </c>
      <c r="D61" s="49">
        <f>VLOOKUP($A61,'Data shares'!$C:$FB,66)</f>
        <v>5444800</v>
      </c>
      <c r="E61" s="49">
        <f>VLOOKUP($A61,'Data shares'!$C:$FB,67)</f>
        <v>5500900</v>
      </c>
      <c r="F61" s="50">
        <f>VLOOKUP($A61,'Data shares'!$C:$FB,69)*100</f>
        <v>-1.02</v>
      </c>
      <c r="G61" s="49">
        <f>VLOOKUP($A61,'Data shares'!$C:$FB,42)</f>
        <v>624700</v>
      </c>
      <c r="H61" s="49">
        <f>VLOOKUP($A61,'Data shares'!$C:$FB,43)</f>
        <v>662700</v>
      </c>
      <c r="I61" s="50">
        <f>VLOOKUP($A61,'Data shares'!$C:$FB,45)*100</f>
        <v>-5.7299999999999995</v>
      </c>
      <c r="J61" s="49">
        <f>VLOOKUP($A61,'Data shares'!$C:$FB,58)</f>
        <v>3312850</v>
      </c>
      <c r="K61" s="49">
        <f>VLOOKUP($A61,'Data shares'!$C:$FB,59)</f>
        <v>3227250</v>
      </c>
      <c r="L61" s="50">
        <f>VLOOKUP($A61,'Data shares'!$C:$FB,61)*100</f>
        <v>2.65</v>
      </c>
      <c r="M61" s="49">
        <f>VLOOKUP($A61,'Data shares'!$C:$FB,62)</f>
        <v>1507250</v>
      </c>
      <c r="N61" s="49">
        <f>VLOOKUP($A61,'Data shares'!$C:$FB,63)</f>
        <v>1610950</v>
      </c>
      <c r="O61" s="140">
        <f>VLOOKUP($A61,'Data shares'!$C:$FB,65)*100</f>
        <v>-6.4399999999999995</v>
      </c>
    </row>
    <row r="62" spans="1:15" x14ac:dyDescent="0.25">
      <c r="A62" s="101" t="str">
        <f>'Data Vlaue (Cr)'!C57</f>
        <v>DLF</v>
      </c>
      <c r="B62" s="50">
        <f>VLOOKUP($A62,'Data shares'!$C:$FB,7)</f>
        <v>672.05</v>
      </c>
      <c r="C62" s="50">
        <f>VLOOKUP($A62,'Data shares'!$C:$FB,10)*100</f>
        <v>0.04</v>
      </c>
      <c r="D62" s="49">
        <f>VLOOKUP($A62,'Data shares'!$C:$FB,66)</f>
        <v>23698125</v>
      </c>
      <c r="E62" s="49">
        <f>VLOOKUP($A62,'Data shares'!$C:$FB,67)</f>
        <v>22531575</v>
      </c>
      <c r="F62" s="50">
        <f>VLOOKUP($A62,'Data shares'!$C:$FB,69)*100</f>
        <v>5.18</v>
      </c>
      <c r="G62" s="49">
        <f>VLOOKUP($A62,'Data shares'!$C:$FB,42)</f>
        <v>4205850</v>
      </c>
      <c r="H62" s="49">
        <f>VLOOKUP($A62,'Data shares'!$C:$FB,43)</f>
        <v>4609275</v>
      </c>
      <c r="I62" s="50">
        <f>VLOOKUP($A62,'Data shares'!$C:$FB,45)*100</f>
        <v>-8.75</v>
      </c>
      <c r="J62" s="49">
        <f>VLOOKUP($A62,'Data shares'!$C:$FB,58)</f>
        <v>11934450</v>
      </c>
      <c r="K62" s="49">
        <f>VLOOKUP($A62,'Data shares'!$C:$FB,59)</f>
        <v>12450075</v>
      </c>
      <c r="L62" s="50">
        <f>VLOOKUP($A62,'Data shares'!$C:$FB,61)*100</f>
        <v>-4.1399999999999997</v>
      </c>
      <c r="M62" s="49">
        <f>VLOOKUP($A62,'Data shares'!$C:$FB,62)</f>
        <v>7557825</v>
      </c>
      <c r="N62" s="49">
        <f>VLOOKUP($A62,'Data shares'!$C:$FB,63)</f>
        <v>5472225</v>
      </c>
      <c r="O62" s="140">
        <f>VLOOKUP($A62,'Data shares'!$C:$FB,65)*100</f>
        <v>38.11</v>
      </c>
    </row>
    <row r="63" spans="1:15" x14ac:dyDescent="0.25">
      <c r="A63" s="101" t="str">
        <f>'Data Vlaue (Cr)'!C58</f>
        <v>DMART</v>
      </c>
      <c r="B63" s="50">
        <f>VLOOKUP($A63,'Data shares'!$C:$FB,7)</f>
        <v>4003.7</v>
      </c>
      <c r="C63" s="50">
        <f>VLOOKUP($A63,'Data shares'!$C:$FB,10)*100</f>
        <v>0.04</v>
      </c>
      <c r="D63" s="49">
        <f>VLOOKUP($A63,'Data shares'!$C:$FB,66)</f>
        <v>2650200</v>
      </c>
      <c r="E63" s="49">
        <f>VLOOKUP($A63,'Data shares'!$C:$FB,67)</f>
        <v>6068700</v>
      </c>
      <c r="F63" s="50">
        <f>VLOOKUP($A63,'Data shares'!$C:$FB,69)*100</f>
        <v>-56.330000000000005</v>
      </c>
      <c r="G63" s="49">
        <f>VLOOKUP($A63,'Data shares'!$C:$FB,42)</f>
        <v>653400</v>
      </c>
      <c r="H63" s="49">
        <f>VLOOKUP($A63,'Data shares'!$C:$FB,43)</f>
        <v>944550</v>
      </c>
      <c r="I63" s="50">
        <f>VLOOKUP($A63,'Data shares'!$C:$FB,45)*100</f>
        <v>-30.819999999999997</v>
      </c>
      <c r="J63" s="49">
        <f>VLOOKUP($A63,'Data shares'!$C:$FB,58)</f>
        <v>1508700</v>
      </c>
      <c r="K63" s="49">
        <f>VLOOKUP($A63,'Data shares'!$C:$FB,59)</f>
        <v>3779250</v>
      </c>
      <c r="L63" s="50">
        <f>VLOOKUP($A63,'Data shares'!$C:$FB,61)*100</f>
        <v>-60.08</v>
      </c>
      <c r="M63" s="49">
        <f>VLOOKUP($A63,'Data shares'!$C:$FB,62)</f>
        <v>488100</v>
      </c>
      <c r="N63" s="49">
        <f>VLOOKUP($A63,'Data shares'!$C:$FB,63)</f>
        <v>1344900</v>
      </c>
      <c r="O63" s="140">
        <f>VLOOKUP($A63,'Data shares'!$C:$FB,65)*100</f>
        <v>-63.71</v>
      </c>
    </row>
    <row r="64" spans="1:15" x14ac:dyDescent="0.25">
      <c r="A64" s="101" t="str">
        <f>'Data Vlaue (Cr)'!C59</f>
        <v>DRREDDY</v>
      </c>
      <c r="B64" s="50">
        <f>VLOOKUP($A64,'Data shares'!$C:$FB,7)</f>
        <v>1270.3</v>
      </c>
      <c r="C64" s="50">
        <f>VLOOKUP($A64,'Data shares'!$C:$FB,10)*100</f>
        <v>1.1400000000000001</v>
      </c>
      <c r="D64" s="49">
        <f>VLOOKUP($A64,'Data shares'!$C:$FB,66)</f>
        <v>13271875</v>
      </c>
      <c r="E64" s="49">
        <f>VLOOKUP($A64,'Data shares'!$C:$FB,67)</f>
        <v>17793750</v>
      </c>
      <c r="F64" s="50">
        <f>VLOOKUP($A64,'Data shares'!$C:$FB,69)*100</f>
        <v>-25.41</v>
      </c>
      <c r="G64" s="49">
        <f>VLOOKUP($A64,'Data shares'!$C:$FB,42)</f>
        <v>1583125</v>
      </c>
      <c r="H64" s="49">
        <f>VLOOKUP($A64,'Data shares'!$C:$FB,43)</f>
        <v>2245625</v>
      </c>
      <c r="I64" s="50">
        <f>VLOOKUP($A64,'Data shares'!$C:$FB,45)*100</f>
        <v>-29.5</v>
      </c>
      <c r="J64" s="49">
        <f>VLOOKUP($A64,'Data shares'!$C:$FB,58)</f>
        <v>8952500</v>
      </c>
      <c r="K64" s="49">
        <f>VLOOKUP($A64,'Data shares'!$C:$FB,59)</f>
        <v>11560000</v>
      </c>
      <c r="L64" s="50">
        <f>VLOOKUP($A64,'Data shares'!$C:$FB,61)*100</f>
        <v>-22.56</v>
      </c>
      <c r="M64" s="49">
        <f>VLOOKUP($A64,'Data shares'!$C:$FB,62)</f>
        <v>2736250</v>
      </c>
      <c r="N64" s="49">
        <f>VLOOKUP($A64,'Data shares'!$C:$FB,63)</f>
        <v>3988125</v>
      </c>
      <c r="O64" s="140">
        <f>VLOOKUP($A64,'Data shares'!$C:$FB,65)*100</f>
        <v>-31.39</v>
      </c>
    </row>
    <row r="65" spans="1:15" x14ac:dyDescent="0.25">
      <c r="A65" s="101" t="str">
        <f>'Data Vlaue (Cr)'!C60</f>
        <v>EICHERMOT</v>
      </c>
      <c r="B65" s="50">
        <f>VLOOKUP($A65,'Data shares'!$C:$FB,7)</f>
        <v>7771</v>
      </c>
      <c r="C65" s="50">
        <f>VLOOKUP($A65,'Data shares'!$C:$FB,10)*100</f>
        <v>6.5100000000000007</v>
      </c>
      <c r="D65" s="49">
        <f>VLOOKUP($A65,'Data shares'!$C:$FB,66)</f>
        <v>44865900</v>
      </c>
      <c r="E65" s="49">
        <f>VLOOKUP($A65,'Data shares'!$C:$FB,67)</f>
        <v>7664700</v>
      </c>
      <c r="F65" s="50">
        <f>VLOOKUP($A65,'Data shares'!$C:$FB,69)*100</f>
        <v>485.36</v>
      </c>
      <c r="G65" s="49">
        <f>VLOOKUP($A65,'Data shares'!$C:$FB,42)</f>
        <v>2604000</v>
      </c>
      <c r="H65" s="49">
        <f>VLOOKUP($A65,'Data shares'!$C:$FB,43)</f>
        <v>490000</v>
      </c>
      <c r="I65" s="50">
        <f>VLOOKUP($A65,'Data shares'!$C:$FB,45)*100</f>
        <v>431.43</v>
      </c>
      <c r="J65" s="49">
        <f>VLOOKUP($A65,'Data shares'!$C:$FB,58)</f>
        <v>29432100</v>
      </c>
      <c r="K65" s="49">
        <f>VLOOKUP($A65,'Data shares'!$C:$FB,59)</f>
        <v>5388600</v>
      </c>
      <c r="L65" s="50">
        <f>VLOOKUP($A65,'Data shares'!$C:$FB,61)*100</f>
        <v>446.19</v>
      </c>
      <c r="M65" s="49">
        <f>VLOOKUP($A65,'Data shares'!$C:$FB,62)</f>
        <v>12829800</v>
      </c>
      <c r="N65" s="49">
        <f>VLOOKUP($A65,'Data shares'!$C:$FB,63)</f>
        <v>1786100</v>
      </c>
      <c r="O65" s="140">
        <f>VLOOKUP($A65,'Data shares'!$C:$FB,65)*100</f>
        <v>618.30999999999995</v>
      </c>
    </row>
    <row r="66" spans="1:15" x14ac:dyDescent="0.25">
      <c r="A66" s="101" t="str">
        <f>'Data Vlaue (Cr)'!C61</f>
        <v>ETERNAL</v>
      </c>
      <c r="B66" s="50">
        <f>VLOOKUP($A66,'Data shares'!$C:$FB,7)</f>
        <v>300.7</v>
      </c>
      <c r="C66" s="50">
        <f>VLOOKUP($A66,'Data shares'!$C:$FB,10)*100</f>
        <v>-1.02</v>
      </c>
      <c r="D66" s="49">
        <f>VLOOKUP($A66,'Data shares'!$C:$FB,66)</f>
        <v>225854800</v>
      </c>
      <c r="E66" s="49">
        <f>VLOOKUP($A66,'Data shares'!$C:$FB,67)</f>
        <v>813672375</v>
      </c>
      <c r="F66" s="50">
        <f>VLOOKUP($A66,'Data shares'!$C:$FB,69)*100</f>
        <v>-72.240000000000009</v>
      </c>
      <c r="G66" s="49">
        <f>VLOOKUP($A66,'Data shares'!$C:$FB,42)</f>
        <v>23779550</v>
      </c>
      <c r="H66" s="49">
        <f>VLOOKUP($A66,'Data shares'!$C:$FB,43)</f>
        <v>69034900</v>
      </c>
      <c r="I66" s="50">
        <f>VLOOKUP($A66,'Data shares'!$C:$FB,45)*100</f>
        <v>-65.55</v>
      </c>
      <c r="J66" s="49">
        <f>VLOOKUP($A66,'Data shares'!$C:$FB,58)</f>
        <v>127385250</v>
      </c>
      <c r="K66" s="49">
        <f>VLOOKUP($A66,'Data shares'!$C:$FB,59)</f>
        <v>530817950</v>
      </c>
      <c r="L66" s="50">
        <f>VLOOKUP($A66,'Data shares'!$C:$FB,61)*100</f>
        <v>-76</v>
      </c>
      <c r="M66" s="49">
        <f>VLOOKUP($A66,'Data shares'!$C:$FB,62)</f>
        <v>74690000</v>
      </c>
      <c r="N66" s="49">
        <f>VLOOKUP($A66,'Data shares'!$C:$FB,63)</f>
        <v>213819525</v>
      </c>
      <c r="O66" s="140">
        <f>VLOOKUP($A66,'Data shares'!$C:$FB,65)*100</f>
        <v>-65.069999999999993</v>
      </c>
    </row>
    <row r="67" spans="1:15" x14ac:dyDescent="0.25">
      <c r="A67" s="101" t="str">
        <f>'Data Vlaue (Cr)'!C62</f>
        <v>EXIDEIND</v>
      </c>
      <c r="B67" s="50">
        <f>VLOOKUP($A67,'Data shares'!$C:$FB,7)</f>
        <v>341.1</v>
      </c>
      <c r="C67" s="50">
        <f>VLOOKUP($A67,'Data shares'!$C:$FB,10)*100</f>
        <v>0.67999999999999994</v>
      </c>
      <c r="D67" s="49">
        <f>VLOOKUP($A67,'Data shares'!$C:$FB,66)</f>
        <v>14083200</v>
      </c>
      <c r="E67" s="49">
        <f>VLOOKUP($A67,'Data shares'!$C:$FB,67)</f>
        <v>19443600</v>
      </c>
      <c r="F67" s="50">
        <f>VLOOKUP($A67,'Data shares'!$C:$FB,69)*100</f>
        <v>-27.57</v>
      </c>
      <c r="G67" s="49">
        <f>VLOOKUP($A67,'Data shares'!$C:$FB,42)</f>
        <v>3148200</v>
      </c>
      <c r="H67" s="49">
        <f>VLOOKUP($A67,'Data shares'!$C:$FB,43)</f>
        <v>3861000</v>
      </c>
      <c r="I67" s="50">
        <f>VLOOKUP($A67,'Data shares'!$C:$FB,45)*100</f>
        <v>-18.459999999999997</v>
      </c>
      <c r="J67" s="49">
        <f>VLOOKUP($A67,'Data shares'!$C:$FB,58)</f>
        <v>7898400</v>
      </c>
      <c r="K67" s="49">
        <f>VLOOKUP($A67,'Data shares'!$C:$FB,59)</f>
        <v>11770200</v>
      </c>
      <c r="L67" s="50">
        <f>VLOOKUP($A67,'Data shares'!$C:$FB,61)*100</f>
        <v>-32.89</v>
      </c>
      <c r="M67" s="49">
        <f>VLOOKUP($A67,'Data shares'!$C:$FB,62)</f>
        <v>3036600</v>
      </c>
      <c r="N67" s="49">
        <f>VLOOKUP($A67,'Data shares'!$C:$FB,63)</f>
        <v>3812400</v>
      </c>
      <c r="O67" s="140">
        <f>VLOOKUP($A67,'Data shares'!$C:$FB,65)*100</f>
        <v>-20.349999999999998</v>
      </c>
    </row>
    <row r="68" spans="1:15" x14ac:dyDescent="0.25">
      <c r="A68" s="101" t="str">
        <f>'Data Vlaue (Cr)'!C63</f>
        <v>FEDERALBNK</v>
      </c>
      <c r="B68" s="50">
        <f>VLOOKUP($A68,'Data shares'!$C:$FB,7)</f>
        <v>290.5</v>
      </c>
      <c r="C68" s="50">
        <f>VLOOKUP($A68,'Data shares'!$C:$FB,10)*100</f>
        <v>2.92</v>
      </c>
      <c r="D68" s="49">
        <f>VLOOKUP($A68,'Data shares'!$C:$FB,66)</f>
        <v>314900000</v>
      </c>
      <c r="E68" s="49">
        <f>VLOOKUP($A68,'Data shares'!$C:$FB,67)</f>
        <v>95745000</v>
      </c>
      <c r="F68" s="50">
        <f>VLOOKUP($A68,'Data shares'!$C:$FB,69)*100</f>
        <v>228.89</v>
      </c>
      <c r="G68" s="49">
        <f>VLOOKUP($A68,'Data shares'!$C:$FB,42)</f>
        <v>48215000</v>
      </c>
      <c r="H68" s="49">
        <f>VLOOKUP($A68,'Data shares'!$C:$FB,43)</f>
        <v>18435000</v>
      </c>
      <c r="I68" s="50">
        <f>VLOOKUP($A68,'Data shares'!$C:$FB,45)*100</f>
        <v>161.54</v>
      </c>
      <c r="J68" s="49">
        <f>VLOOKUP($A68,'Data shares'!$C:$FB,58)</f>
        <v>180605000</v>
      </c>
      <c r="K68" s="49">
        <f>VLOOKUP($A68,'Data shares'!$C:$FB,59)</f>
        <v>41640000</v>
      </c>
      <c r="L68" s="50">
        <f>VLOOKUP($A68,'Data shares'!$C:$FB,61)*100</f>
        <v>333.73</v>
      </c>
      <c r="M68" s="49">
        <f>VLOOKUP($A68,'Data shares'!$C:$FB,62)</f>
        <v>86080000</v>
      </c>
      <c r="N68" s="49">
        <f>VLOOKUP($A68,'Data shares'!$C:$FB,63)</f>
        <v>35670000</v>
      </c>
      <c r="O68" s="140">
        <f>VLOOKUP($A68,'Data shares'!$C:$FB,65)*100</f>
        <v>141.32</v>
      </c>
    </row>
    <row r="69" spans="1:15" x14ac:dyDescent="0.25">
      <c r="A69" s="101" t="str">
        <f>'Data Vlaue (Cr)'!C64</f>
        <v>FINNIFTY</v>
      </c>
      <c r="B69" s="50">
        <f>VLOOKUP($A69,'Data shares'!$C:$FB,7)</f>
        <v>28276.95</v>
      </c>
      <c r="C69" s="50">
        <f>VLOOKUP($A69,'Data shares'!$C:$FB,10)*100</f>
        <v>0.32</v>
      </c>
      <c r="D69" s="49">
        <f>VLOOKUP($A69,'Data shares'!$C:$FB,66)</f>
        <v>2727420</v>
      </c>
      <c r="E69" s="49">
        <f>VLOOKUP($A69,'Data shares'!$C:$FB,67)</f>
        <v>2553660</v>
      </c>
      <c r="F69" s="50">
        <f>VLOOKUP($A69,'Data shares'!$C:$FB,69)*100</f>
        <v>6.8000000000000007</v>
      </c>
      <c r="G69" s="49">
        <f>VLOOKUP($A69,'Data shares'!$C:$FB,42)</f>
        <v>13800</v>
      </c>
      <c r="H69" s="49">
        <f>VLOOKUP($A69,'Data shares'!$C:$FB,43)</f>
        <v>8040</v>
      </c>
      <c r="I69" s="50">
        <f>VLOOKUP($A69,'Data shares'!$C:$FB,45)*100</f>
        <v>71.64</v>
      </c>
      <c r="J69" s="49">
        <f>VLOOKUP($A69,'Data shares'!$C:$FB,58)</f>
        <v>1252080</v>
      </c>
      <c r="K69" s="49">
        <f>VLOOKUP($A69,'Data shares'!$C:$FB,59)</f>
        <v>928320</v>
      </c>
      <c r="L69" s="50">
        <f>VLOOKUP($A69,'Data shares'!$C:$FB,61)*100</f>
        <v>34.880000000000003</v>
      </c>
      <c r="M69" s="49">
        <f>VLOOKUP($A69,'Data shares'!$C:$FB,62)</f>
        <v>1461540</v>
      </c>
      <c r="N69" s="49">
        <f>VLOOKUP($A69,'Data shares'!$C:$FB,63)</f>
        <v>1617300</v>
      </c>
      <c r="O69" s="140">
        <f>VLOOKUP($A69,'Data shares'!$C:$FB,65)*100</f>
        <v>-9.629999999999999</v>
      </c>
    </row>
    <row r="70" spans="1:15" x14ac:dyDescent="0.25">
      <c r="A70" s="101" t="str">
        <f>'Data Vlaue (Cr)'!C65</f>
        <v>FORTIS</v>
      </c>
      <c r="B70" s="50">
        <f>VLOOKUP($A70,'Data shares'!$C:$FB,7)</f>
        <v>918.85</v>
      </c>
      <c r="C70" s="50">
        <f>VLOOKUP($A70,'Data shares'!$C:$FB,10)*100</f>
        <v>3.0300000000000002</v>
      </c>
      <c r="D70" s="49">
        <f>VLOOKUP($A70,'Data shares'!$C:$FB,66)</f>
        <v>50189775</v>
      </c>
      <c r="E70" s="49">
        <f>VLOOKUP($A70,'Data shares'!$C:$FB,67)</f>
        <v>6255025</v>
      </c>
      <c r="F70" s="50">
        <f>VLOOKUP($A70,'Data shares'!$C:$FB,69)*100</f>
        <v>702.39</v>
      </c>
      <c r="G70" s="49">
        <f>VLOOKUP($A70,'Data shares'!$C:$FB,42)</f>
        <v>4150900</v>
      </c>
      <c r="H70" s="49">
        <f>VLOOKUP($A70,'Data shares'!$C:$FB,43)</f>
        <v>1551550</v>
      </c>
      <c r="I70" s="50">
        <f>VLOOKUP($A70,'Data shares'!$C:$FB,45)*100</f>
        <v>167.53</v>
      </c>
      <c r="J70" s="49">
        <f>VLOOKUP($A70,'Data shares'!$C:$FB,58)</f>
        <v>35033100</v>
      </c>
      <c r="K70" s="49">
        <f>VLOOKUP($A70,'Data shares'!$C:$FB,59)</f>
        <v>3075200</v>
      </c>
      <c r="L70" s="50">
        <f>VLOOKUP($A70,'Data shares'!$C:$FB,61)*100</f>
        <v>1039.21</v>
      </c>
      <c r="M70" s="49">
        <f>VLOOKUP($A70,'Data shares'!$C:$FB,62)</f>
        <v>11005775</v>
      </c>
      <c r="N70" s="49">
        <f>VLOOKUP($A70,'Data shares'!$C:$FB,63)</f>
        <v>1628275</v>
      </c>
      <c r="O70" s="140">
        <f>VLOOKUP($A70,'Data shares'!$C:$FB,65)*100</f>
        <v>575.91999999999996</v>
      </c>
    </row>
    <row r="71" spans="1:15" x14ac:dyDescent="0.25">
      <c r="A71" s="101" t="str">
        <f>'Data Vlaue (Cr)'!C66</f>
        <v>GAIL</v>
      </c>
      <c r="B71" s="50">
        <f>VLOOKUP($A71,'Data shares'!$C:$FB,7)</f>
        <v>163.47</v>
      </c>
      <c r="C71" s="50">
        <f>VLOOKUP($A71,'Data shares'!$C:$FB,10)*100</f>
        <v>-0.66</v>
      </c>
      <c r="D71" s="49">
        <f>VLOOKUP($A71,'Data shares'!$C:$FB,66)</f>
        <v>36848700</v>
      </c>
      <c r="E71" s="49">
        <f>VLOOKUP($A71,'Data shares'!$C:$FB,67)</f>
        <v>77152950</v>
      </c>
      <c r="F71" s="50">
        <f>VLOOKUP($A71,'Data shares'!$C:$FB,69)*100</f>
        <v>-52.239999999999995</v>
      </c>
      <c r="G71" s="49">
        <f>VLOOKUP($A71,'Data shares'!$C:$FB,42)</f>
        <v>8076600</v>
      </c>
      <c r="H71" s="49">
        <f>VLOOKUP($A71,'Data shares'!$C:$FB,43)</f>
        <v>14096250</v>
      </c>
      <c r="I71" s="50">
        <f>VLOOKUP($A71,'Data shares'!$C:$FB,45)*100</f>
        <v>-42.699999999999996</v>
      </c>
      <c r="J71" s="49">
        <f>VLOOKUP($A71,'Data shares'!$C:$FB,58)</f>
        <v>19196100</v>
      </c>
      <c r="K71" s="49">
        <f>VLOOKUP($A71,'Data shares'!$C:$FB,59)</f>
        <v>40792500</v>
      </c>
      <c r="L71" s="50">
        <f>VLOOKUP($A71,'Data shares'!$C:$FB,61)*100</f>
        <v>-52.94</v>
      </c>
      <c r="M71" s="49">
        <f>VLOOKUP($A71,'Data shares'!$C:$FB,62)</f>
        <v>9576000</v>
      </c>
      <c r="N71" s="49">
        <f>VLOOKUP($A71,'Data shares'!$C:$FB,63)</f>
        <v>22264200</v>
      </c>
      <c r="O71" s="140">
        <f>VLOOKUP($A71,'Data shares'!$C:$FB,65)*100</f>
        <v>-56.989999999999995</v>
      </c>
    </row>
    <row r="72" spans="1:15" x14ac:dyDescent="0.25">
      <c r="A72" s="101" t="str">
        <f>'Data Vlaue (Cr)'!C67</f>
        <v>GLENMARK</v>
      </c>
      <c r="B72" s="50">
        <f>VLOOKUP($A72,'Data shares'!$C:$FB,7)</f>
        <v>2015.2</v>
      </c>
      <c r="C72" s="50">
        <f>VLOOKUP($A72,'Data shares'!$C:$FB,10)*100</f>
        <v>2.92</v>
      </c>
      <c r="D72" s="49">
        <f>VLOOKUP($A72,'Data shares'!$C:$FB,66)</f>
        <v>7974375</v>
      </c>
      <c r="E72" s="49">
        <f>VLOOKUP($A72,'Data shares'!$C:$FB,67)</f>
        <v>3379875</v>
      </c>
      <c r="F72" s="50">
        <f>VLOOKUP($A72,'Data shares'!$C:$FB,69)*100</f>
        <v>135.94</v>
      </c>
      <c r="G72" s="49">
        <f>VLOOKUP($A72,'Data shares'!$C:$FB,42)</f>
        <v>1475625</v>
      </c>
      <c r="H72" s="49">
        <f>VLOOKUP($A72,'Data shares'!$C:$FB,43)</f>
        <v>690000</v>
      </c>
      <c r="I72" s="50">
        <f>VLOOKUP($A72,'Data shares'!$C:$FB,45)*100</f>
        <v>113.86</v>
      </c>
      <c r="J72" s="49">
        <f>VLOOKUP($A72,'Data shares'!$C:$FB,58)</f>
        <v>4966500</v>
      </c>
      <c r="K72" s="49">
        <f>VLOOKUP($A72,'Data shares'!$C:$FB,59)</f>
        <v>1977000</v>
      </c>
      <c r="L72" s="50">
        <f>VLOOKUP($A72,'Data shares'!$C:$FB,61)*100</f>
        <v>151.21</v>
      </c>
      <c r="M72" s="49">
        <f>VLOOKUP($A72,'Data shares'!$C:$FB,62)</f>
        <v>1532250</v>
      </c>
      <c r="N72" s="49">
        <f>VLOOKUP($A72,'Data shares'!$C:$FB,63)</f>
        <v>712875</v>
      </c>
      <c r="O72" s="140">
        <f>VLOOKUP($A72,'Data shares'!$C:$FB,65)*100</f>
        <v>114.94</v>
      </c>
    </row>
    <row r="73" spans="1:15" x14ac:dyDescent="0.25">
      <c r="A73" s="101" t="str">
        <f>'Data Vlaue (Cr)'!C68</f>
        <v>GMRAIRPORT</v>
      </c>
      <c r="B73" s="50">
        <f>VLOOKUP($A73,'Data shares'!$C:$FB,7)</f>
        <v>96.81</v>
      </c>
      <c r="C73" s="50">
        <f>VLOOKUP($A73,'Data shares'!$C:$FB,10)*100</f>
        <v>-1.02</v>
      </c>
      <c r="D73" s="49">
        <f>VLOOKUP($A73,'Data shares'!$C:$FB,66)</f>
        <v>54391050</v>
      </c>
      <c r="E73" s="49">
        <f>VLOOKUP($A73,'Data shares'!$C:$FB,67)</f>
        <v>55304775</v>
      </c>
      <c r="F73" s="50">
        <f>VLOOKUP($A73,'Data shares'!$C:$FB,69)*100</f>
        <v>-1.6500000000000001</v>
      </c>
      <c r="G73" s="49">
        <f>VLOOKUP($A73,'Data shares'!$C:$FB,42)</f>
        <v>10804275</v>
      </c>
      <c r="H73" s="49">
        <f>VLOOKUP($A73,'Data shares'!$C:$FB,43)</f>
        <v>10057950</v>
      </c>
      <c r="I73" s="50">
        <f>VLOOKUP($A73,'Data shares'!$C:$FB,45)*100</f>
        <v>7.42</v>
      </c>
      <c r="J73" s="49">
        <f>VLOOKUP($A73,'Data shares'!$C:$FB,58)</f>
        <v>33124275</v>
      </c>
      <c r="K73" s="49">
        <f>VLOOKUP($A73,'Data shares'!$C:$FB,59)</f>
        <v>29853000</v>
      </c>
      <c r="L73" s="50">
        <f>VLOOKUP($A73,'Data shares'!$C:$FB,61)*100</f>
        <v>10.96</v>
      </c>
      <c r="M73" s="49">
        <f>VLOOKUP($A73,'Data shares'!$C:$FB,62)</f>
        <v>10462500</v>
      </c>
      <c r="N73" s="49">
        <f>VLOOKUP($A73,'Data shares'!$C:$FB,63)</f>
        <v>15393825</v>
      </c>
      <c r="O73" s="140">
        <f>VLOOKUP($A73,'Data shares'!$C:$FB,65)*100</f>
        <v>-32.029999999999994</v>
      </c>
    </row>
    <row r="74" spans="1:15" x14ac:dyDescent="0.25">
      <c r="A74" s="101" t="str">
        <f>'Data Vlaue (Cr)'!C69</f>
        <v>GODREJCP</v>
      </c>
      <c r="B74" s="50">
        <f>VLOOKUP($A74,'Data shares'!$C:$FB,7)</f>
        <v>1208.5999999999999</v>
      </c>
      <c r="C74" s="50">
        <f>VLOOKUP($A74,'Data shares'!$C:$FB,10)*100</f>
        <v>0.16999999999999998</v>
      </c>
      <c r="D74" s="49">
        <f>VLOOKUP($A74,'Data shares'!$C:$FB,66)</f>
        <v>4537000</v>
      </c>
      <c r="E74" s="49">
        <f>VLOOKUP($A74,'Data shares'!$C:$FB,67)</f>
        <v>6660000</v>
      </c>
      <c r="F74" s="50">
        <f>VLOOKUP($A74,'Data shares'!$C:$FB,69)*100</f>
        <v>-31.879999999999995</v>
      </c>
      <c r="G74" s="49">
        <f>VLOOKUP($A74,'Data shares'!$C:$FB,42)</f>
        <v>1067000</v>
      </c>
      <c r="H74" s="49">
        <f>VLOOKUP($A74,'Data shares'!$C:$FB,43)</f>
        <v>946000</v>
      </c>
      <c r="I74" s="50">
        <f>VLOOKUP($A74,'Data shares'!$C:$FB,45)*100</f>
        <v>12.790000000000001</v>
      </c>
      <c r="J74" s="49">
        <f>VLOOKUP($A74,'Data shares'!$C:$FB,58)</f>
        <v>2549500</v>
      </c>
      <c r="K74" s="49">
        <f>VLOOKUP($A74,'Data shares'!$C:$FB,59)</f>
        <v>4132500</v>
      </c>
      <c r="L74" s="50">
        <f>VLOOKUP($A74,'Data shares'!$C:$FB,61)*100</f>
        <v>-38.31</v>
      </c>
      <c r="M74" s="49">
        <f>VLOOKUP($A74,'Data shares'!$C:$FB,62)</f>
        <v>920500</v>
      </c>
      <c r="N74" s="49">
        <f>VLOOKUP($A74,'Data shares'!$C:$FB,63)</f>
        <v>1581500</v>
      </c>
      <c r="O74" s="140">
        <f>VLOOKUP($A74,'Data shares'!$C:$FB,65)*100</f>
        <v>-41.8</v>
      </c>
    </row>
    <row r="75" spans="1:15" x14ac:dyDescent="0.25">
      <c r="A75" s="101" t="str">
        <f>'Data Vlaue (Cr)'!C70</f>
        <v>GODREJPROP</v>
      </c>
      <c r="B75" s="50">
        <f>VLOOKUP($A75,'Data shares'!$C:$FB,7)</f>
        <v>1852.1</v>
      </c>
      <c r="C75" s="50">
        <f>VLOOKUP($A75,'Data shares'!$C:$FB,10)*100</f>
        <v>1.72</v>
      </c>
      <c r="D75" s="49">
        <f>VLOOKUP($A75,'Data shares'!$C:$FB,66)</f>
        <v>12094500</v>
      </c>
      <c r="E75" s="49">
        <f>VLOOKUP($A75,'Data shares'!$C:$FB,67)</f>
        <v>11552475</v>
      </c>
      <c r="F75" s="50">
        <f>VLOOKUP($A75,'Data shares'!$C:$FB,69)*100</f>
        <v>4.6899999999999995</v>
      </c>
      <c r="G75" s="49">
        <f>VLOOKUP($A75,'Data shares'!$C:$FB,42)</f>
        <v>1862300</v>
      </c>
      <c r="H75" s="49">
        <f>VLOOKUP($A75,'Data shares'!$C:$FB,43)</f>
        <v>1518550</v>
      </c>
      <c r="I75" s="50">
        <f>VLOOKUP($A75,'Data shares'!$C:$FB,45)*100</f>
        <v>22.64</v>
      </c>
      <c r="J75" s="49">
        <f>VLOOKUP($A75,'Data shares'!$C:$FB,58)</f>
        <v>6662425</v>
      </c>
      <c r="K75" s="49">
        <f>VLOOKUP($A75,'Data shares'!$C:$FB,59)</f>
        <v>6977575</v>
      </c>
      <c r="L75" s="50">
        <f>VLOOKUP($A75,'Data shares'!$C:$FB,61)*100</f>
        <v>-4.5199999999999996</v>
      </c>
      <c r="M75" s="49">
        <f>VLOOKUP($A75,'Data shares'!$C:$FB,62)</f>
        <v>3569775</v>
      </c>
      <c r="N75" s="49">
        <f>VLOOKUP($A75,'Data shares'!$C:$FB,63)</f>
        <v>3056350</v>
      </c>
      <c r="O75" s="140">
        <f>VLOOKUP($A75,'Data shares'!$C:$FB,65)*100</f>
        <v>16.8</v>
      </c>
    </row>
    <row r="76" spans="1:15" x14ac:dyDescent="0.25">
      <c r="A76" s="101" t="str">
        <f>'Data Vlaue (Cr)'!C71</f>
        <v>GRASIM</v>
      </c>
      <c r="B76" s="50">
        <f>VLOOKUP($A76,'Data shares'!$C:$FB,7)</f>
        <v>2932.6</v>
      </c>
      <c r="C76" s="50">
        <f>VLOOKUP($A76,'Data shares'!$C:$FB,10)*100</f>
        <v>-0.72</v>
      </c>
      <c r="D76" s="49">
        <f>VLOOKUP($A76,'Data shares'!$C:$FB,66)</f>
        <v>16467750</v>
      </c>
      <c r="E76" s="49">
        <f>VLOOKUP($A76,'Data shares'!$C:$FB,67)</f>
        <v>12088750</v>
      </c>
      <c r="F76" s="50">
        <f>VLOOKUP($A76,'Data shares'!$C:$FB,69)*100</f>
        <v>36.22</v>
      </c>
      <c r="G76" s="49">
        <f>VLOOKUP($A76,'Data shares'!$C:$FB,42)</f>
        <v>2647500</v>
      </c>
      <c r="H76" s="49">
        <f>VLOOKUP($A76,'Data shares'!$C:$FB,43)</f>
        <v>1667750</v>
      </c>
      <c r="I76" s="50">
        <f>VLOOKUP($A76,'Data shares'!$C:$FB,45)*100</f>
        <v>58.75</v>
      </c>
      <c r="J76" s="49">
        <f>VLOOKUP($A76,'Data shares'!$C:$FB,58)</f>
        <v>9126250</v>
      </c>
      <c r="K76" s="49">
        <f>VLOOKUP($A76,'Data shares'!$C:$FB,59)</f>
        <v>6467250</v>
      </c>
      <c r="L76" s="50">
        <f>VLOOKUP($A76,'Data shares'!$C:$FB,61)*100</f>
        <v>41.11</v>
      </c>
      <c r="M76" s="49">
        <f>VLOOKUP($A76,'Data shares'!$C:$FB,62)</f>
        <v>4694000</v>
      </c>
      <c r="N76" s="49">
        <f>VLOOKUP($A76,'Data shares'!$C:$FB,63)</f>
        <v>3953750</v>
      </c>
      <c r="O76" s="140">
        <f>VLOOKUP($A76,'Data shares'!$C:$FB,65)*100</f>
        <v>18.72</v>
      </c>
    </row>
    <row r="77" spans="1:15" x14ac:dyDescent="0.25">
      <c r="A77" s="101" t="str">
        <f>'Data Vlaue (Cr)'!C72</f>
        <v>HAL</v>
      </c>
      <c r="B77" s="50">
        <f>VLOOKUP($A77,'Data shares'!$C:$FB,7)</f>
        <v>4133</v>
      </c>
      <c r="C77" s="50">
        <f>VLOOKUP($A77,'Data shares'!$C:$FB,10)*100</f>
        <v>-0.85000000000000009</v>
      </c>
      <c r="D77" s="49">
        <f>VLOOKUP($A77,'Data shares'!$C:$FB,66)</f>
        <v>9493200</v>
      </c>
      <c r="E77" s="49">
        <f>VLOOKUP($A77,'Data shares'!$C:$FB,67)</f>
        <v>12153000</v>
      </c>
      <c r="F77" s="50">
        <f>VLOOKUP($A77,'Data shares'!$C:$FB,69)*100</f>
        <v>-21.89</v>
      </c>
      <c r="G77" s="49">
        <f>VLOOKUP($A77,'Data shares'!$C:$FB,42)</f>
        <v>1116900</v>
      </c>
      <c r="H77" s="49">
        <f>VLOOKUP($A77,'Data shares'!$C:$FB,43)</f>
        <v>1595250</v>
      </c>
      <c r="I77" s="50">
        <f>VLOOKUP($A77,'Data shares'!$C:$FB,45)*100</f>
        <v>-29.99</v>
      </c>
      <c r="J77" s="49">
        <f>VLOOKUP($A77,'Data shares'!$C:$FB,58)</f>
        <v>6155850</v>
      </c>
      <c r="K77" s="49">
        <f>VLOOKUP($A77,'Data shares'!$C:$FB,59)</f>
        <v>7777200</v>
      </c>
      <c r="L77" s="50">
        <f>VLOOKUP($A77,'Data shares'!$C:$FB,61)*100</f>
        <v>-20.849999999999998</v>
      </c>
      <c r="M77" s="49">
        <f>VLOOKUP($A77,'Data shares'!$C:$FB,62)</f>
        <v>2220450</v>
      </c>
      <c r="N77" s="49">
        <f>VLOOKUP($A77,'Data shares'!$C:$FB,63)</f>
        <v>2780550</v>
      </c>
      <c r="O77" s="140">
        <f>VLOOKUP($A77,'Data shares'!$C:$FB,65)*100</f>
        <v>-20.14</v>
      </c>
    </row>
    <row r="78" spans="1:15" x14ac:dyDescent="0.25">
      <c r="A78" s="101" t="str">
        <f>'Data Vlaue (Cr)'!C73</f>
        <v>HAVELLS</v>
      </c>
      <c r="B78" s="50">
        <f>VLOOKUP($A78,'Data shares'!$C:$FB,7)</f>
        <v>1383.8</v>
      </c>
      <c r="C78" s="50">
        <f>VLOOKUP($A78,'Data shares'!$C:$FB,10)*100</f>
        <v>0.77999999999999992</v>
      </c>
      <c r="D78" s="49">
        <f>VLOOKUP($A78,'Data shares'!$C:$FB,66)</f>
        <v>4692500</v>
      </c>
      <c r="E78" s="49">
        <f>VLOOKUP($A78,'Data shares'!$C:$FB,67)</f>
        <v>6065000</v>
      </c>
      <c r="F78" s="50">
        <f>VLOOKUP($A78,'Data shares'!$C:$FB,69)*100</f>
        <v>-22.63</v>
      </c>
      <c r="G78" s="49">
        <f>VLOOKUP($A78,'Data shares'!$C:$FB,42)</f>
        <v>1246000</v>
      </c>
      <c r="H78" s="49">
        <f>VLOOKUP($A78,'Data shares'!$C:$FB,43)</f>
        <v>1113500</v>
      </c>
      <c r="I78" s="50">
        <f>VLOOKUP($A78,'Data shares'!$C:$FB,45)*100</f>
        <v>11.899999999999999</v>
      </c>
      <c r="J78" s="49">
        <f>VLOOKUP($A78,'Data shares'!$C:$FB,58)</f>
        <v>2363000</v>
      </c>
      <c r="K78" s="49">
        <f>VLOOKUP($A78,'Data shares'!$C:$FB,59)</f>
        <v>3316500</v>
      </c>
      <c r="L78" s="50">
        <f>VLOOKUP($A78,'Data shares'!$C:$FB,61)*100</f>
        <v>-28.749999999999996</v>
      </c>
      <c r="M78" s="49">
        <f>VLOOKUP($A78,'Data shares'!$C:$FB,62)</f>
        <v>1083500</v>
      </c>
      <c r="N78" s="49">
        <f>VLOOKUP($A78,'Data shares'!$C:$FB,63)</f>
        <v>1635000</v>
      </c>
      <c r="O78" s="140">
        <f>VLOOKUP($A78,'Data shares'!$C:$FB,65)*100</f>
        <v>-33.729999999999997</v>
      </c>
    </row>
    <row r="79" spans="1:15" x14ac:dyDescent="0.25">
      <c r="A79" s="101" t="str">
        <f>'Data Vlaue (Cr)'!C74</f>
        <v>HCLTECH</v>
      </c>
      <c r="B79" s="50">
        <f>VLOOKUP($A79,'Data shares'!$C:$FB,7)</f>
        <v>1551.6</v>
      </c>
      <c r="C79" s="50">
        <f>VLOOKUP($A79,'Data shares'!$C:$FB,10)*100</f>
        <v>-1.37</v>
      </c>
      <c r="D79" s="49">
        <f>VLOOKUP($A79,'Data shares'!$C:$FB,66)</f>
        <v>21196000</v>
      </c>
      <c r="E79" s="49">
        <f>VLOOKUP($A79,'Data shares'!$C:$FB,67)</f>
        <v>20867000</v>
      </c>
      <c r="F79" s="50">
        <f>VLOOKUP($A79,'Data shares'!$C:$FB,69)*100</f>
        <v>1.58</v>
      </c>
      <c r="G79" s="49">
        <f>VLOOKUP($A79,'Data shares'!$C:$FB,42)</f>
        <v>2094750</v>
      </c>
      <c r="H79" s="49">
        <f>VLOOKUP($A79,'Data shares'!$C:$FB,43)</f>
        <v>3792600</v>
      </c>
      <c r="I79" s="50">
        <f>VLOOKUP($A79,'Data shares'!$C:$FB,45)*100</f>
        <v>-44.769999999999996</v>
      </c>
      <c r="J79" s="49">
        <f>VLOOKUP($A79,'Data shares'!$C:$FB,58)</f>
        <v>11212250</v>
      </c>
      <c r="K79" s="49">
        <f>VLOOKUP($A79,'Data shares'!$C:$FB,59)</f>
        <v>10828300</v>
      </c>
      <c r="L79" s="50">
        <f>VLOOKUP($A79,'Data shares'!$C:$FB,61)*100</f>
        <v>3.55</v>
      </c>
      <c r="M79" s="49">
        <f>VLOOKUP($A79,'Data shares'!$C:$FB,62)</f>
        <v>7889000</v>
      </c>
      <c r="N79" s="49">
        <f>VLOOKUP($A79,'Data shares'!$C:$FB,63)</f>
        <v>6246100</v>
      </c>
      <c r="O79" s="140">
        <f>VLOOKUP($A79,'Data shares'!$C:$FB,65)*100</f>
        <v>26.3</v>
      </c>
    </row>
    <row r="80" spans="1:15" x14ac:dyDescent="0.25">
      <c r="A80" s="101" t="str">
        <f>'Data Vlaue (Cr)'!C75</f>
        <v>HDFCAMC</v>
      </c>
      <c r="B80" s="50">
        <f>VLOOKUP($A80,'Data shares'!$C:$FB,7)</f>
        <v>2826.9</v>
      </c>
      <c r="C80" s="50">
        <f>VLOOKUP($A80,'Data shares'!$C:$FB,10)*100</f>
        <v>0.36</v>
      </c>
      <c r="D80" s="49">
        <f>VLOOKUP($A80,'Data shares'!$C:$FB,66)</f>
        <v>4146300</v>
      </c>
      <c r="E80" s="49">
        <f>VLOOKUP($A80,'Data shares'!$C:$FB,67)</f>
        <v>9772200</v>
      </c>
      <c r="F80" s="50">
        <f>VLOOKUP($A80,'Data shares'!$C:$FB,69)*100</f>
        <v>-57.57</v>
      </c>
      <c r="G80" s="49">
        <f>VLOOKUP($A80,'Data shares'!$C:$FB,42)</f>
        <v>785400</v>
      </c>
      <c r="H80" s="49">
        <f>VLOOKUP($A80,'Data shares'!$C:$FB,43)</f>
        <v>1311600</v>
      </c>
      <c r="I80" s="50">
        <f>VLOOKUP($A80,'Data shares'!$C:$FB,45)*100</f>
        <v>-40.119999999999997</v>
      </c>
      <c r="J80" s="49">
        <f>VLOOKUP($A80,'Data shares'!$C:$FB,58)</f>
        <v>2273700</v>
      </c>
      <c r="K80" s="49">
        <f>VLOOKUP($A80,'Data shares'!$C:$FB,59)</f>
        <v>6105300</v>
      </c>
      <c r="L80" s="50">
        <f>VLOOKUP($A80,'Data shares'!$C:$FB,61)*100</f>
        <v>-62.760000000000005</v>
      </c>
      <c r="M80" s="49">
        <f>VLOOKUP($A80,'Data shares'!$C:$FB,62)</f>
        <v>1087200</v>
      </c>
      <c r="N80" s="49">
        <f>VLOOKUP($A80,'Data shares'!$C:$FB,63)</f>
        <v>2355300</v>
      </c>
      <c r="O80" s="140">
        <f>VLOOKUP($A80,'Data shares'!$C:$FB,65)*100</f>
        <v>-53.839999999999996</v>
      </c>
    </row>
    <row r="81" spans="1:15" x14ac:dyDescent="0.25">
      <c r="A81" s="101" t="str">
        <f>'Data Vlaue (Cr)'!C76</f>
        <v>HDFCBANK</v>
      </c>
      <c r="B81" s="50">
        <f>VLOOKUP($A81,'Data shares'!$C:$FB,7)</f>
        <v>927.1</v>
      </c>
      <c r="C81" s="50">
        <f>VLOOKUP($A81,'Data shares'!$C:$FB,10)*100</f>
        <v>-0.57000000000000006</v>
      </c>
      <c r="D81" s="49">
        <f>VLOOKUP($A81,'Data shares'!$C:$FB,66)</f>
        <v>125980800</v>
      </c>
      <c r="E81" s="49">
        <f>VLOOKUP($A81,'Data shares'!$C:$FB,67)</f>
        <v>118824200</v>
      </c>
      <c r="F81" s="50">
        <f>VLOOKUP($A81,'Data shares'!$C:$FB,69)*100</f>
        <v>6.02</v>
      </c>
      <c r="G81" s="49">
        <f>VLOOKUP($A81,'Data shares'!$C:$FB,42)</f>
        <v>21073800</v>
      </c>
      <c r="H81" s="49">
        <f>VLOOKUP($A81,'Data shares'!$C:$FB,43)</f>
        <v>18709350</v>
      </c>
      <c r="I81" s="50">
        <f>VLOOKUP($A81,'Data shares'!$C:$FB,45)*100</f>
        <v>12.64</v>
      </c>
      <c r="J81" s="49">
        <f>VLOOKUP($A81,'Data shares'!$C:$FB,58)</f>
        <v>69923700</v>
      </c>
      <c r="K81" s="49">
        <f>VLOOKUP($A81,'Data shares'!$C:$FB,59)</f>
        <v>64503450</v>
      </c>
      <c r="L81" s="50">
        <f>VLOOKUP($A81,'Data shares'!$C:$FB,61)*100</f>
        <v>8.4</v>
      </c>
      <c r="M81" s="49">
        <f>VLOOKUP($A81,'Data shares'!$C:$FB,62)</f>
        <v>34983300</v>
      </c>
      <c r="N81" s="49">
        <f>VLOOKUP($A81,'Data shares'!$C:$FB,63)</f>
        <v>35611400</v>
      </c>
      <c r="O81" s="140">
        <f>VLOOKUP($A81,'Data shares'!$C:$FB,65)*100</f>
        <v>-1.76</v>
      </c>
    </row>
    <row r="82" spans="1:15" x14ac:dyDescent="0.25">
      <c r="A82" s="101" t="str">
        <f>'Data Vlaue (Cr)'!C77</f>
        <v>HDFCLIFE</v>
      </c>
      <c r="B82" s="50">
        <f>VLOOKUP($A82,'Data shares'!$C:$FB,7)</f>
        <v>701.1</v>
      </c>
      <c r="C82" s="50">
        <f>VLOOKUP($A82,'Data shares'!$C:$FB,10)*100</f>
        <v>-0.4</v>
      </c>
      <c r="D82" s="49">
        <f>VLOOKUP($A82,'Data shares'!$C:$FB,66)</f>
        <v>16855300</v>
      </c>
      <c r="E82" s="49">
        <f>VLOOKUP($A82,'Data shares'!$C:$FB,67)</f>
        <v>15790500</v>
      </c>
      <c r="F82" s="50">
        <f>VLOOKUP($A82,'Data shares'!$C:$FB,69)*100</f>
        <v>6.74</v>
      </c>
      <c r="G82" s="49">
        <f>VLOOKUP($A82,'Data shares'!$C:$FB,42)</f>
        <v>3977600</v>
      </c>
      <c r="H82" s="49">
        <f>VLOOKUP($A82,'Data shares'!$C:$FB,43)</f>
        <v>2816000</v>
      </c>
      <c r="I82" s="50">
        <f>VLOOKUP($A82,'Data shares'!$C:$FB,45)*100</f>
        <v>41.25</v>
      </c>
      <c r="J82" s="49">
        <f>VLOOKUP($A82,'Data shares'!$C:$FB,58)</f>
        <v>9271900</v>
      </c>
      <c r="K82" s="49">
        <f>VLOOKUP($A82,'Data shares'!$C:$FB,59)</f>
        <v>9742700</v>
      </c>
      <c r="L82" s="50">
        <f>VLOOKUP($A82,'Data shares'!$C:$FB,61)*100</f>
        <v>-4.83</v>
      </c>
      <c r="M82" s="49">
        <f>VLOOKUP($A82,'Data shares'!$C:$FB,62)</f>
        <v>3605800</v>
      </c>
      <c r="N82" s="49">
        <f>VLOOKUP($A82,'Data shares'!$C:$FB,63)</f>
        <v>3231800</v>
      </c>
      <c r="O82" s="140">
        <f>VLOOKUP($A82,'Data shares'!$C:$FB,65)*100</f>
        <v>11.57</v>
      </c>
    </row>
    <row r="83" spans="1:15" x14ac:dyDescent="0.25">
      <c r="A83" s="101" t="str">
        <f>'Data Vlaue (Cr)'!C78</f>
        <v>HEROMOTOCO</v>
      </c>
      <c r="B83" s="50">
        <f>VLOOKUP($A83,'Data shares'!$C:$FB,7)</f>
        <v>5682.5</v>
      </c>
      <c r="C83" s="50">
        <f>VLOOKUP($A83,'Data shares'!$C:$FB,10)*100</f>
        <v>-1.23</v>
      </c>
      <c r="D83" s="49">
        <f>VLOOKUP($A83,'Data shares'!$C:$FB,66)</f>
        <v>13795050</v>
      </c>
      <c r="E83" s="49">
        <f>VLOOKUP($A83,'Data shares'!$C:$FB,67)</f>
        <v>9383850</v>
      </c>
      <c r="F83" s="50">
        <f>VLOOKUP($A83,'Data shares'!$C:$FB,69)*100</f>
        <v>47.010000000000005</v>
      </c>
      <c r="G83" s="49">
        <f>VLOOKUP($A83,'Data shares'!$C:$FB,42)</f>
        <v>1659450</v>
      </c>
      <c r="H83" s="49">
        <f>VLOOKUP($A83,'Data shares'!$C:$FB,43)</f>
        <v>1189950</v>
      </c>
      <c r="I83" s="50">
        <f>VLOOKUP($A83,'Data shares'!$C:$FB,45)*100</f>
        <v>39.46</v>
      </c>
      <c r="J83" s="49">
        <f>VLOOKUP($A83,'Data shares'!$C:$FB,58)</f>
        <v>8681250</v>
      </c>
      <c r="K83" s="49">
        <f>VLOOKUP($A83,'Data shares'!$C:$FB,59)</f>
        <v>6137850</v>
      </c>
      <c r="L83" s="50">
        <f>VLOOKUP($A83,'Data shares'!$C:$FB,61)*100</f>
        <v>41.44</v>
      </c>
      <c r="M83" s="49">
        <f>VLOOKUP($A83,'Data shares'!$C:$FB,62)</f>
        <v>3454350</v>
      </c>
      <c r="N83" s="49">
        <f>VLOOKUP($A83,'Data shares'!$C:$FB,63)</f>
        <v>2056050</v>
      </c>
      <c r="O83" s="140">
        <f>VLOOKUP($A83,'Data shares'!$C:$FB,65)*100</f>
        <v>68.010000000000005</v>
      </c>
    </row>
    <row r="84" spans="1:15" x14ac:dyDescent="0.25">
      <c r="A84" s="101" t="str">
        <f>'Data Vlaue (Cr)'!C79</f>
        <v>HINDALCO</v>
      </c>
      <c r="B84" s="50">
        <f>VLOOKUP($A84,'Data shares'!$C:$FB,7)</f>
        <v>965.95</v>
      </c>
      <c r="C84" s="50">
        <f>VLOOKUP($A84,'Data shares'!$C:$FB,10)*100</f>
        <v>-0.3</v>
      </c>
      <c r="D84" s="49">
        <f>VLOOKUP($A84,'Data shares'!$C:$FB,66)</f>
        <v>49658000</v>
      </c>
      <c r="E84" s="49">
        <f>VLOOKUP($A84,'Data shares'!$C:$FB,67)</f>
        <v>26611200</v>
      </c>
      <c r="F84" s="50">
        <f>VLOOKUP($A84,'Data shares'!$C:$FB,69)*100</f>
        <v>86.61</v>
      </c>
      <c r="G84" s="49">
        <f>VLOOKUP($A84,'Data shares'!$C:$FB,42)</f>
        <v>12015500</v>
      </c>
      <c r="H84" s="49">
        <f>VLOOKUP($A84,'Data shares'!$C:$FB,43)</f>
        <v>6001800</v>
      </c>
      <c r="I84" s="50">
        <f>VLOOKUP($A84,'Data shares'!$C:$FB,45)*100</f>
        <v>100.2</v>
      </c>
      <c r="J84" s="49">
        <f>VLOOKUP($A84,'Data shares'!$C:$FB,58)</f>
        <v>23634100</v>
      </c>
      <c r="K84" s="49">
        <f>VLOOKUP($A84,'Data shares'!$C:$FB,59)</f>
        <v>14264600</v>
      </c>
      <c r="L84" s="50">
        <f>VLOOKUP($A84,'Data shares'!$C:$FB,61)*100</f>
        <v>65.680000000000007</v>
      </c>
      <c r="M84" s="49">
        <f>VLOOKUP($A84,'Data shares'!$C:$FB,62)</f>
        <v>14008400</v>
      </c>
      <c r="N84" s="49">
        <f>VLOOKUP($A84,'Data shares'!$C:$FB,63)</f>
        <v>6344800</v>
      </c>
      <c r="O84" s="140">
        <f>VLOOKUP($A84,'Data shares'!$C:$FB,65)*100</f>
        <v>120.78999999999999</v>
      </c>
    </row>
    <row r="85" spans="1:15" x14ac:dyDescent="0.25">
      <c r="A85" s="101" t="str">
        <f>'Data Vlaue (Cr)'!C80</f>
        <v>HINDPETRO</v>
      </c>
      <c r="B85" s="50">
        <f>VLOOKUP($A85,'Data shares'!$C:$FB,7)</f>
        <v>461.75</v>
      </c>
      <c r="C85" s="50">
        <f>VLOOKUP($A85,'Data shares'!$C:$FB,10)*100</f>
        <v>0.11</v>
      </c>
      <c r="D85" s="49">
        <f>VLOOKUP($A85,'Data shares'!$C:$FB,66)</f>
        <v>23291550</v>
      </c>
      <c r="E85" s="49">
        <f>VLOOKUP($A85,'Data shares'!$C:$FB,67)</f>
        <v>22971600</v>
      </c>
      <c r="F85" s="50">
        <f>VLOOKUP($A85,'Data shares'!$C:$FB,69)*100</f>
        <v>1.39</v>
      </c>
      <c r="G85" s="49">
        <f>VLOOKUP($A85,'Data shares'!$C:$FB,42)</f>
        <v>4540050</v>
      </c>
      <c r="H85" s="49">
        <f>VLOOKUP($A85,'Data shares'!$C:$FB,43)</f>
        <v>4268700</v>
      </c>
      <c r="I85" s="50">
        <f>VLOOKUP($A85,'Data shares'!$C:$FB,45)*100</f>
        <v>6.36</v>
      </c>
      <c r="J85" s="49">
        <f>VLOOKUP($A85,'Data shares'!$C:$FB,58)</f>
        <v>14612400</v>
      </c>
      <c r="K85" s="49">
        <f>VLOOKUP($A85,'Data shares'!$C:$FB,59)</f>
        <v>13508775</v>
      </c>
      <c r="L85" s="50">
        <f>VLOOKUP($A85,'Data shares'!$C:$FB,61)*100</f>
        <v>8.17</v>
      </c>
      <c r="M85" s="49">
        <f>VLOOKUP($A85,'Data shares'!$C:$FB,62)</f>
        <v>4139100</v>
      </c>
      <c r="N85" s="49">
        <f>VLOOKUP($A85,'Data shares'!$C:$FB,63)</f>
        <v>5194125</v>
      </c>
      <c r="O85" s="140">
        <f>VLOOKUP($A85,'Data shares'!$C:$FB,65)*100</f>
        <v>-20.309999999999999</v>
      </c>
    </row>
    <row r="86" spans="1:15" x14ac:dyDescent="0.25">
      <c r="A86" s="101" t="str">
        <f>'Data Vlaue (Cr)'!C81</f>
        <v>HINDUNILVR</v>
      </c>
      <c r="B86" s="50">
        <f>VLOOKUP($A86,'Data shares'!$C:$FB,7)</f>
        <v>2462.9</v>
      </c>
      <c r="C86" s="50">
        <f>VLOOKUP($A86,'Data shares'!$C:$FB,10)*100</f>
        <v>0.38</v>
      </c>
      <c r="D86" s="49">
        <f>VLOOKUP($A86,'Data shares'!$C:$FB,66)</f>
        <v>13492500</v>
      </c>
      <c r="E86" s="49">
        <f>VLOOKUP($A86,'Data shares'!$C:$FB,67)</f>
        <v>11323800</v>
      </c>
      <c r="F86" s="50">
        <f>VLOOKUP($A86,'Data shares'!$C:$FB,69)*100</f>
        <v>19.149999999999999</v>
      </c>
      <c r="G86" s="49">
        <f>VLOOKUP($A86,'Data shares'!$C:$FB,42)</f>
        <v>1685700</v>
      </c>
      <c r="H86" s="49">
        <f>VLOOKUP($A86,'Data shares'!$C:$FB,43)</f>
        <v>1223400</v>
      </c>
      <c r="I86" s="50">
        <f>VLOOKUP($A86,'Data shares'!$C:$FB,45)*100</f>
        <v>37.79</v>
      </c>
      <c r="J86" s="49">
        <f>VLOOKUP($A86,'Data shares'!$C:$FB,58)</f>
        <v>8219100</v>
      </c>
      <c r="K86" s="49">
        <f>VLOOKUP($A86,'Data shares'!$C:$FB,59)</f>
        <v>7377300</v>
      </c>
      <c r="L86" s="50">
        <f>VLOOKUP($A86,'Data shares'!$C:$FB,61)*100</f>
        <v>11.41</v>
      </c>
      <c r="M86" s="49">
        <f>VLOOKUP($A86,'Data shares'!$C:$FB,62)</f>
        <v>3587700</v>
      </c>
      <c r="N86" s="49">
        <f>VLOOKUP($A86,'Data shares'!$C:$FB,63)</f>
        <v>2723100</v>
      </c>
      <c r="O86" s="140">
        <f>VLOOKUP($A86,'Data shares'!$C:$FB,65)*100</f>
        <v>31.75</v>
      </c>
    </row>
    <row r="87" spans="1:15" x14ac:dyDescent="0.25">
      <c r="A87" s="101" t="str">
        <f>'Data Vlaue (Cr)'!C82</f>
        <v>HINDZINC</v>
      </c>
      <c r="B87" s="50">
        <f>VLOOKUP($A87,'Data shares'!$C:$FB,7)</f>
        <v>628.54999999999995</v>
      </c>
      <c r="C87" s="50">
        <f>VLOOKUP($A87,'Data shares'!$C:$FB,10)*100</f>
        <v>1.76</v>
      </c>
      <c r="D87" s="49">
        <f>VLOOKUP($A87,'Data shares'!$C:$FB,66)</f>
        <v>74355050</v>
      </c>
      <c r="E87" s="49">
        <f>VLOOKUP($A87,'Data shares'!$C:$FB,67)</f>
        <v>80935750</v>
      </c>
      <c r="F87" s="50">
        <f>VLOOKUP($A87,'Data shares'!$C:$FB,69)*100</f>
        <v>-8.129999999999999</v>
      </c>
      <c r="G87" s="49">
        <f>VLOOKUP($A87,'Data shares'!$C:$FB,42)</f>
        <v>9526825</v>
      </c>
      <c r="H87" s="49">
        <f>VLOOKUP($A87,'Data shares'!$C:$FB,43)</f>
        <v>8557850</v>
      </c>
      <c r="I87" s="50">
        <f>VLOOKUP($A87,'Data shares'!$C:$FB,45)*100</f>
        <v>11.32</v>
      </c>
      <c r="J87" s="49">
        <f>VLOOKUP($A87,'Data shares'!$C:$FB,58)</f>
        <v>44605925</v>
      </c>
      <c r="K87" s="49">
        <f>VLOOKUP($A87,'Data shares'!$C:$FB,59)</f>
        <v>46763150</v>
      </c>
      <c r="L87" s="50">
        <f>VLOOKUP($A87,'Data shares'!$C:$FB,61)*100</f>
        <v>-4.6100000000000003</v>
      </c>
      <c r="M87" s="49">
        <f>VLOOKUP($A87,'Data shares'!$C:$FB,62)</f>
        <v>20222300</v>
      </c>
      <c r="N87" s="49">
        <f>VLOOKUP($A87,'Data shares'!$C:$FB,63)</f>
        <v>25614750</v>
      </c>
      <c r="O87" s="140">
        <f>VLOOKUP($A87,'Data shares'!$C:$FB,65)*100</f>
        <v>-21.05</v>
      </c>
    </row>
    <row r="88" spans="1:15" x14ac:dyDescent="0.25">
      <c r="A88" s="101" t="str">
        <f>'Data Vlaue (Cr)'!C83</f>
        <v>HUDCO</v>
      </c>
      <c r="B88" s="50">
        <f>VLOOKUP($A88,'Data shares'!$C:$FB,7)</f>
        <v>193.24</v>
      </c>
      <c r="C88" s="50">
        <f>VLOOKUP($A88,'Data shares'!$C:$FB,10)*100</f>
        <v>-0.35000000000000003</v>
      </c>
      <c r="D88" s="49">
        <f>VLOOKUP($A88,'Data shares'!$C:$FB,66)</f>
        <v>26978550</v>
      </c>
      <c r="E88" s="49">
        <f>VLOOKUP($A88,'Data shares'!$C:$FB,67)</f>
        <v>23365500</v>
      </c>
      <c r="F88" s="50">
        <f>VLOOKUP($A88,'Data shares'!$C:$FB,69)*100</f>
        <v>15.459999999999999</v>
      </c>
      <c r="G88" s="49">
        <f>VLOOKUP($A88,'Data shares'!$C:$FB,42)</f>
        <v>7248300</v>
      </c>
      <c r="H88" s="49">
        <f>VLOOKUP($A88,'Data shares'!$C:$FB,43)</f>
        <v>4498275</v>
      </c>
      <c r="I88" s="50">
        <f>VLOOKUP($A88,'Data shares'!$C:$FB,45)*100</f>
        <v>61.140000000000008</v>
      </c>
      <c r="J88" s="49">
        <f>VLOOKUP($A88,'Data shares'!$C:$FB,58)</f>
        <v>13447650</v>
      </c>
      <c r="K88" s="49">
        <f>VLOOKUP($A88,'Data shares'!$C:$FB,59)</f>
        <v>12512475</v>
      </c>
      <c r="L88" s="50">
        <f>VLOOKUP($A88,'Data shares'!$C:$FB,61)*100</f>
        <v>7.4700000000000006</v>
      </c>
      <c r="M88" s="49">
        <f>VLOOKUP($A88,'Data shares'!$C:$FB,62)</f>
        <v>6282600</v>
      </c>
      <c r="N88" s="49">
        <f>VLOOKUP($A88,'Data shares'!$C:$FB,63)</f>
        <v>6354750</v>
      </c>
      <c r="O88" s="140">
        <f>VLOOKUP($A88,'Data shares'!$C:$FB,65)*100</f>
        <v>-1.1400000000000001</v>
      </c>
    </row>
    <row r="89" spans="1:15" x14ac:dyDescent="0.25">
      <c r="A89" s="101" t="str">
        <f>'Data Vlaue (Cr)'!C84</f>
        <v>ICICIBANK</v>
      </c>
      <c r="B89" s="50">
        <f>VLOOKUP($A89,'Data shares'!$C:$FB,7)</f>
        <v>1406.1</v>
      </c>
      <c r="C89" s="50">
        <f>VLOOKUP($A89,'Data shares'!$C:$FB,10)*100</f>
        <v>-0.03</v>
      </c>
      <c r="D89" s="49">
        <f>VLOOKUP($A89,'Data shares'!$C:$FB,66)</f>
        <v>48216700</v>
      </c>
      <c r="E89" s="49">
        <f>VLOOKUP($A89,'Data shares'!$C:$FB,67)</f>
        <v>66976000</v>
      </c>
      <c r="F89" s="50">
        <f>VLOOKUP($A89,'Data shares'!$C:$FB,69)*100</f>
        <v>-28.01</v>
      </c>
      <c r="G89" s="49">
        <f>VLOOKUP($A89,'Data shares'!$C:$FB,42)</f>
        <v>10605700</v>
      </c>
      <c r="H89" s="49">
        <f>VLOOKUP($A89,'Data shares'!$C:$FB,43)</f>
        <v>10922100</v>
      </c>
      <c r="I89" s="50">
        <f>VLOOKUP($A89,'Data shares'!$C:$FB,45)*100</f>
        <v>-2.9000000000000004</v>
      </c>
      <c r="J89" s="49">
        <f>VLOOKUP($A89,'Data shares'!$C:$FB,58)</f>
        <v>21756000</v>
      </c>
      <c r="K89" s="49">
        <f>VLOOKUP($A89,'Data shares'!$C:$FB,59)</f>
        <v>33224100</v>
      </c>
      <c r="L89" s="50">
        <f>VLOOKUP($A89,'Data shares'!$C:$FB,61)*100</f>
        <v>-34.520000000000003</v>
      </c>
      <c r="M89" s="49">
        <f>VLOOKUP($A89,'Data shares'!$C:$FB,62)</f>
        <v>15855000</v>
      </c>
      <c r="N89" s="49">
        <f>VLOOKUP($A89,'Data shares'!$C:$FB,63)</f>
        <v>22829800</v>
      </c>
      <c r="O89" s="140">
        <f>VLOOKUP($A89,'Data shares'!$C:$FB,65)*100</f>
        <v>-30.55</v>
      </c>
    </row>
    <row r="90" spans="1:15" x14ac:dyDescent="0.25">
      <c r="A90" s="101" t="str">
        <f>'Data Vlaue (Cr)'!C85</f>
        <v>ICICIGI</v>
      </c>
      <c r="B90" s="50">
        <f>VLOOKUP($A90,'Data shares'!$C:$FB,7)</f>
        <v>1931.7</v>
      </c>
      <c r="C90" s="50">
        <f>VLOOKUP($A90,'Data shares'!$C:$FB,10)*100</f>
        <v>1.1599999999999999</v>
      </c>
      <c r="D90" s="49">
        <f>VLOOKUP($A90,'Data shares'!$C:$FB,66)</f>
        <v>2763150</v>
      </c>
      <c r="E90" s="49">
        <f>VLOOKUP($A90,'Data shares'!$C:$FB,67)</f>
        <v>5100550</v>
      </c>
      <c r="F90" s="50">
        <f>VLOOKUP($A90,'Data shares'!$C:$FB,69)*100</f>
        <v>-45.83</v>
      </c>
      <c r="G90" s="49">
        <f>VLOOKUP($A90,'Data shares'!$C:$FB,42)</f>
        <v>703300</v>
      </c>
      <c r="H90" s="49">
        <f>VLOOKUP($A90,'Data shares'!$C:$FB,43)</f>
        <v>1002625</v>
      </c>
      <c r="I90" s="50">
        <f>VLOOKUP($A90,'Data shares'!$C:$FB,45)*100</f>
        <v>-29.849999999999998</v>
      </c>
      <c r="J90" s="49">
        <f>VLOOKUP($A90,'Data shares'!$C:$FB,58)</f>
        <v>1384175</v>
      </c>
      <c r="K90" s="49">
        <f>VLOOKUP($A90,'Data shares'!$C:$FB,59)</f>
        <v>2600650</v>
      </c>
      <c r="L90" s="50">
        <f>VLOOKUP($A90,'Data shares'!$C:$FB,61)*100</f>
        <v>-46.78</v>
      </c>
      <c r="M90" s="49">
        <f>VLOOKUP($A90,'Data shares'!$C:$FB,62)</f>
        <v>675675</v>
      </c>
      <c r="N90" s="49">
        <f>VLOOKUP($A90,'Data shares'!$C:$FB,63)</f>
        <v>1497275</v>
      </c>
      <c r="O90" s="140">
        <f>VLOOKUP($A90,'Data shares'!$C:$FB,65)*100</f>
        <v>-54.87</v>
      </c>
    </row>
    <row r="91" spans="1:15" x14ac:dyDescent="0.25">
      <c r="A91" s="101" t="str">
        <f>'Data Vlaue (Cr)'!C86</f>
        <v>ICICIPRULI</v>
      </c>
      <c r="B91" s="50">
        <f>VLOOKUP($A91,'Data shares'!$C:$FB,7)</f>
        <v>640.95000000000005</v>
      </c>
      <c r="C91" s="50">
        <f>VLOOKUP($A91,'Data shares'!$C:$FB,10)*100</f>
        <v>-0.32</v>
      </c>
      <c r="D91" s="49">
        <f>VLOOKUP($A91,'Data shares'!$C:$FB,66)</f>
        <v>4255000</v>
      </c>
      <c r="E91" s="49">
        <f>VLOOKUP($A91,'Data shares'!$C:$FB,67)</f>
        <v>8776400</v>
      </c>
      <c r="F91" s="50">
        <f>VLOOKUP($A91,'Data shares'!$C:$FB,69)*100</f>
        <v>-51.519999999999996</v>
      </c>
      <c r="G91" s="49">
        <f>VLOOKUP($A91,'Data shares'!$C:$FB,42)</f>
        <v>1208975</v>
      </c>
      <c r="H91" s="49">
        <f>VLOOKUP($A91,'Data shares'!$C:$FB,43)</f>
        <v>2917450</v>
      </c>
      <c r="I91" s="50">
        <f>VLOOKUP($A91,'Data shares'!$C:$FB,45)*100</f>
        <v>-58.56</v>
      </c>
      <c r="J91" s="49">
        <f>VLOOKUP($A91,'Data shares'!$C:$FB,58)</f>
        <v>1920300</v>
      </c>
      <c r="K91" s="49">
        <f>VLOOKUP($A91,'Data shares'!$C:$FB,59)</f>
        <v>3179225</v>
      </c>
      <c r="L91" s="50">
        <f>VLOOKUP($A91,'Data shares'!$C:$FB,61)*100</f>
        <v>-39.6</v>
      </c>
      <c r="M91" s="49">
        <f>VLOOKUP($A91,'Data shares'!$C:$FB,62)</f>
        <v>1125725</v>
      </c>
      <c r="N91" s="49">
        <f>VLOOKUP($A91,'Data shares'!$C:$FB,63)</f>
        <v>2679725</v>
      </c>
      <c r="O91" s="140">
        <f>VLOOKUP($A91,'Data shares'!$C:$FB,65)*100</f>
        <v>-57.989999999999995</v>
      </c>
    </row>
    <row r="92" spans="1:15" x14ac:dyDescent="0.25">
      <c r="A92" s="101" t="str">
        <f>'Data Vlaue (Cr)'!C87</f>
        <v>IDEA</v>
      </c>
      <c r="B92" s="50">
        <f>VLOOKUP($A92,'Data shares'!$C:$FB,7)</f>
        <v>11.85</v>
      </c>
      <c r="C92" s="50">
        <f>VLOOKUP($A92,'Data shares'!$C:$FB,10)*100</f>
        <v>3.2199999999999998</v>
      </c>
      <c r="D92" s="49">
        <f>VLOOKUP($A92,'Data shares'!$C:$FB,66)</f>
        <v>3670527150</v>
      </c>
      <c r="E92" s="49">
        <f>VLOOKUP($A92,'Data shares'!$C:$FB,67)</f>
        <v>1578596850</v>
      </c>
      <c r="F92" s="50">
        <f>VLOOKUP($A92,'Data shares'!$C:$FB,69)*100</f>
        <v>132.51999999999998</v>
      </c>
      <c r="G92" s="49">
        <f>VLOOKUP($A92,'Data shares'!$C:$FB,42)</f>
        <v>980637000</v>
      </c>
      <c r="H92" s="49">
        <f>VLOOKUP($A92,'Data shares'!$C:$FB,43)</f>
        <v>476666775</v>
      </c>
      <c r="I92" s="50">
        <f>VLOOKUP($A92,'Data shares'!$C:$FB,45)*100</f>
        <v>105.72999999999999</v>
      </c>
      <c r="J92" s="49">
        <f>VLOOKUP($A92,'Data shares'!$C:$FB,58)</f>
        <v>1867570275</v>
      </c>
      <c r="K92" s="49">
        <f>VLOOKUP($A92,'Data shares'!$C:$FB,59)</f>
        <v>753632400</v>
      </c>
      <c r="L92" s="50">
        <f>VLOOKUP($A92,'Data shares'!$C:$FB,61)*100</f>
        <v>147.81</v>
      </c>
      <c r="M92" s="49">
        <f>VLOOKUP($A92,'Data shares'!$C:$FB,62)</f>
        <v>822319875</v>
      </c>
      <c r="N92" s="49">
        <f>VLOOKUP($A92,'Data shares'!$C:$FB,63)</f>
        <v>348297675</v>
      </c>
      <c r="O92" s="140">
        <f>VLOOKUP($A92,'Data shares'!$C:$FB,65)*100</f>
        <v>136.1</v>
      </c>
    </row>
    <row r="93" spans="1:15" x14ac:dyDescent="0.25">
      <c r="A93" s="101" t="str">
        <f>'Data Vlaue (Cr)'!C88</f>
        <v>IDFCFIRSTB</v>
      </c>
      <c r="B93" s="50">
        <f>VLOOKUP($A93,'Data shares'!$C:$FB,7)</f>
        <v>82.56</v>
      </c>
      <c r="C93" s="50">
        <f>VLOOKUP($A93,'Data shares'!$C:$FB,10)*100</f>
        <v>-1.44</v>
      </c>
      <c r="D93" s="49">
        <f>VLOOKUP($A93,'Data shares'!$C:$FB,66)</f>
        <v>204513750</v>
      </c>
      <c r="E93" s="49">
        <f>VLOOKUP($A93,'Data shares'!$C:$FB,67)</f>
        <v>153696025</v>
      </c>
      <c r="F93" s="50">
        <f>VLOOKUP($A93,'Data shares'!$C:$FB,69)*100</f>
        <v>33.06</v>
      </c>
      <c r="G93" s="49">
        <f>VLOOKUP($A93,'Data shares'!$C:$FB,42)</f>
        <v>45948350</v>
      </c>
      <c r="H93" s="49">
        <f>VLOOKUP($A93,'Data shares'!$C:$FB,43)</f>
        <v>32212075</v>
      </c>
      <c r="I93" s="50">
        <f>VLOOKUP($A93,'Data shares'!$C:$FB,45)*100</f>
        <v>42.64</v>
      </c>
      <c r="J93" s="49">
        <f>VLOOKUP($A93,'Data shares'!$C:$FB,58)</f>
        <v>100095800</v>
      </c>
      <c r="K93" s="49">
        <f>VLOOKUP($A93,'Data shares'!$C:$FB,59)</f>
        <v>86795450</v>
      </c>
      <c r="L93" s="50">
        <f>VLOOKUP($A93,'Data shares'!$C:$FB,61)*100</f>
        <v>15.32</v>
      </c>
      <c r="M93" s="49">
        <f>VLOOKUP($A93,'Data shares'!$C:$FB,62)</f>
        <v>58469600</v>
      </c>
      <c r="N93" s="49">
        <f>VLOOKUP($A93,'Data shares'!$C:$FB,63)</f>
        <v>34688500</v>
      </c>
      <c r="O93" s="140">
        <f>VLOOKUP($A93,'Data shares'!$C:$FB,65)*100</f>
        <v>68.56</v>
      </c>
    </row>
    <row r="94" spans="1:15" x14ac:dyDescent="0.25">
      <c r="A94" s="101" t="str">
        <f>'Data Vlaue (Cr)'!C89</f>
        <v>IEX</v>
      </c>
      <c r="B94" s="50">
        <f>VLOOKUP($A94,'Data shares'!$C:$FB,7)</f>
        <v>127.16</v>
      </c>
      <c r="C94" s="50">
        <f>VLOOKUP($A94,'Data shares'!$C:$FB,10)*100</f>
        <v>0.80999999999999994</v>
      </c>
      <c r="D94" s="49">
        <f>VLOOKUP($A94,'Data shares'!$C:$FB,66)</f>
        <v>64260000</v>
      </c>
      <c r="E94" s="49">
        <f>VLOOKUP($A94,'Data shares'!$C:$FB,67)</f>
        <v>54018750</v>
      </c>
      <c r="F94" s="50">
        <f>VLOOKUP($A94,'Data shares'!$C:$FB,69)*100</f>
        <v>18.96</v>
      </c>
      <c r="G94" s="49">
        <f>VLOOKUP($A94,'Data shares'!$C:$FB,42)</f>
        <v>14088750</v>
      </c>
      <c r="H94" s="49">
        <f>VLOOKUP($A94,'Data shares'!$C:$FB,43)</f>
        <v>11171250</v>
      </c>
      <c r="I94" s="50">
        <f>VLOOKUP($A94,'Data shares'!$C:$FB,45)*100</f>
        <v>26.119999999999997</v>
      </c>
      <c r="J94" s="49">
        <f>VLOOKUP($A94,'Data shares'!$C:$FB,58)</f>
        <v>38996250</v>
      </c>
      <c r="K94" s="49">
        <f>VLOOKUP($A94,'Data shares'!$C:$FB,59)</f>
        <v>30378750</v>
      </c>
      <c r="L94" s="50">
        <f>VLOOKUP($A94,'Data shares'!$C:$FB,61)*100</f>
        <v>28.37</v>
      </c>
      <c r="M94" s="49">
        <f>VLOOKUP($A94,'Data shares'!$C:$FB,62)</f>
        <v>11175000</v>
      </c>
      <c r="N94" s="49">
        <f>VLOOKUP($A94,'Data shares'!$C:$FB,63)</f>
        <v>12468750</v>
      </c>
      <c r="O94" s="140">
        <f>VLOOKUP($A94,'Data shares'!$C:$FB,65)*100</f>
        <v>-10.38</v>
      </c>
    </row>
    <row r="95" spans="1:15" x14ac:dyDescent="0.25">
      <c r="A95" s="101" t="str">
        <f>'Data Vlaue (Cr)'!C90</f>
        <v>INDHOTEL</v>
      </c>
      <c r="B95" s="50">
        <f>VLOOKUP($A95,'Data shares'!$C:$FB,7)</f>
        <v>707.55</v>
      </c>
      <c r="C95" s="50">
        <f>VLOOKUP($A95,'Data shares'!$C:$FB,10)*100</f>
        <v>0.71000000000000008</v>
      </c>
      <c r="D95" s="49">
        <f>VLOOKUP($A95,'Data shares'!$C:$FB,66)</f>
        <v>19321000</v>
      </c>
      <c r="E95" s="49">
        <f>VLOOKUP($A95,'Data shares'!$C:$FB,67)</f>
        <v>19264000</v>
      </c>
      <c r="F95" s="50">
        <f>VLOOKUP($A95,'Data shares'!$C:$FB,69)*100</f>
        <v>0.3</v>
      </c>
      <c r="G95" s="49">
        <f>VLOOKUP($A95,'Data shares'!$C:$FB,42)</f>
        <v>3058000</v>
      </c>
      <c r="H95" s="49">
        <f>VLOOKUP($A95,'Data shares'!$C:$FB,43)</f>
        <v>3350000</v>
      </c>
      <c r="I95" s="50">
        <f>VLOOKUP($A95,'Data shares'!$C:$FB,45)*100</f>
        <v>-8.7200000000000006</v>
      </c>
      <c r="J95" s="49">
        <f>VLOOKUP($A95,'Data shares'!$C:$FB,58)</f>
        <v>12495000</v>
      </c>
      <c r="K95" s="49">
        <f>VLOOKUP($A95,'Data shares'!$C:$FB,59)</f>
        <v>12401000</v>
      </c>
      <c r="L95" s="50">
        <f>VLOOKUP($A95,'Data shares'!$C:$FB,61)*100</f>
        <v>0.76</v>
      </c>
      <c r="M95" s="49">
        <f>VLOOKUP($A95,'Data shares'!$C:$FB,62)</f>
        <v>3768000</v>
      </c>
      <c r="N95" s="49">
        <f>VLOOKUP($A95,'Data shares'!$C:$FB,63)</f>
        <v>3513000</v>
      </c>
      <c r="O95" s="140">
        <f>VLOOKUP($A95,'Data shares'!$C:$FB,65)*100</f>
        <v>7.26</v>
      </c>
    </row>
    <row r="96" spans="1:15" x14ac:dyDescent="0.25">
      <c r="A96" s="101" t="str">
        <f>'Data Vlaue (Cr)'!C91</f>
        <v>INDIANB</v>
      </c>
      <c r="B96" s="50">
        <f>VLOOKUP($A96,'Data shares'!$C:$FB,7)</f>
        <v>897.3</v>
      </c>
      <c r="C96" s="50">
        <f>VLOOKUP($A96,'Data shares'!$C:$FB,10)*100</f>
        <v>-0.97</v>
      </c>
      <c r="D96" s="49">
        <f>VLOOKUP($A96,'Data shares'!$C:$FB,66)</f>
        <v>21089000</v>
      </c>
      <c r="E96" s="49">
        <f>VLOOKUP($A96,'Data shares'!$C:$FB,67)</f>
        <v>10865000</v>
      </c>
      <c r="F96" s="50">
        <f>VLOOKUP($A96,'Data shares'!$C:$FB,69)*100</f>
        <v>94.1</v>
      </c>
      <c r="G96" s="49">
        <f>VLOOKUP($A96,'Data shares'!$C:$FB,42)</f>
        <v>3793000</v>
      </c>
      <c r="H96" s="49">
        <f>VLOOKUP($A96,'Data shares'!$C:$FB,43)</f>
        <v>1839000</v>
      </c>
      <c r="I96" s="50">
        <f>VLOOKUP($A96,'Data shares'!$C:$FB,45)*100</f>
        <v>106.25</v>
      </c>
      <c r="J96" s="49">
        <f>VLOOKUP($A96,'Data shares'!$C:$FB,58)</f>
        <v>10689000</v>
      </c>
      <c r="K96" s="49">
        <f>VLOOKUP($A96,'Data shares'!$C:$FB,59)</f>
        <v>6367000</v>
      </c>
      <c r="L96" s="50">
        <f>VLOOKUP($A96,'Data shares'!$C:$FB,61)*100</f>
        <v>67.88</v>
      </c>
      <c r="M96" s="49">
        <f>VLOOKUP($A96,'Data shares'!$C:$FB,62)</f>
        <v>6607000</v>
      </c>
      <c r="N96" s="49">
        <f>VLOOKUP($A96,'Data shares'!$C:$FB,63)</f>
        <v>2659000</v>
      </c>
      <c r="O96" s="140">
        <f>VLOOKUP($A96,'Data shares'!$C:$FB,65)*100</f>
        <v>148.47999999999999</v>
      </c>
    </row>
    <row r="97" spans="1:15" x14ac:dyDescent="0.25">
      <c r="A97" s="101" t="str">
        <f>'Data Vlaue (Cr)'!C92</f>
        <v>INDIAVIX</v>
      </c>
      <c r="B97" s="50">
        <f>VLOOKUP($A97,'Data shares'!$C:$FB,7)</f>
        <v>11.55</v>
      </c>
      <c r="C97" s="50">
        <f>VLOOKUP($A97,'Data shares'!$C:$FB,10)*100</f>
        <v>-0.96</v>
      </c>
      <c r="D97" s="49">
        <f>VLOOKUP($A97,'Data shares'!$C:$FB,66)</f>
        <v>0</v>
      </c>
      <c r="E97" s="49">
        <f>VLOOKUP($A97,'Data shares'!$C:$FB,67)</f>
        <v>0</v>
      </c>
      <c r="F97" s="50">
        <f>VLOOKUP($A97,'Data shares'!$C:$FB,69)*100</f>
        <v>0</v>
      </c>
      <c r="G97" s="49">
        <f>VLOOKUP($A97,'Data shares'!$C:$FB,42)</f>
        <v>0</v>
      </c>
      <c r="H97" s="49">
        <f>VLOOKUP($A97,'Data shares'!$C:$FB,43)</f>
        <v>0</v>
      </c>
      <c r="I97" s="50">
        <f>VLOOKUP($A97,'Data shares'!$C:$FB,45)*100</f>
        <v>0</v>
      </c>
      <c r="J97" s="49">
        <f>VLOOKUP($A97,'Data shares'!$C:$FB,58)</f>
        <v>0</v>
      </c>
      <c r="K97" s="49">
        <f>VLOOKUP($A97,'Data shares'!$C:$FB,59)</f>
        <v>0</v>
      </c>
      <c r="L97" s="50">
        <f>VLOOKUP($A97,'Data shares'!$C:$FB,61)*100</f>
        <v>0</v>
      </c>
      <c r="M97" s="49">
        <f>VLOOKUP($A97,'Data shares'!$C:$FB,62)</f>
        <v>0</v>
      </c>
      <c r="N97" s="49">
        <f>VLOOKUP($A97,'Data shares'!$C:$FB,63)</f>
        <v>0</v>
      </c>
      <c r="O97" s="140">
        <f>VLOOKUP($A97,'Data shares'!$C:$FB,65)*100</f>
        <v>0</v>
      </c>
    </row>
    <row r="98" spans="1:15" x14ac:dyDescent="0.25">
      <c r="A98" s="101" t="str">
        <f>'Data Vlaue (Cr)'!C93</f>
        <v>INDIGO</v>
      </c>
      <c r="B98" s="50">
        <f>VLOOKUP($A98,'Data shares'!$C:$FB,7)</f>
        <v>5013.8</v>
      </c>
      <c r="C98" s="50">
        <f>VLOOKUP($A98,'Data shares'!$C:$FB,10)*100</f>
        <v>1.08</v>
      </c>
      <c r="D98" s="49">
        <f>VLOOKUP($A98,'Data shares'!$C:$FB,66)</f>
        <v>9909150</v>
      </c>
      <c r="E98" s="49">
        <f>VLOOKUP($A98,'Data shares'!$C:$FB,67)</f>
        <v>5215800</v>
      </c>
      <c r="F98" s="50">
        <f>VLOOKUP($A98,'Data shares'!$C:$FB,69)*100</f>
        <v>89.98</v>
      </c>
      <c r="G98" s="49">
        <f>VLOOKUP($A98,'Data shares'!$C:$FB,42)</f>
        <v>1116600</v>
      </c>
      <c r="H98" s="49">
        <f>VLOOKUP($A98,'Data shares'!$C:$FB,43)</f>
        <v>1209450</v>
      </c>
      <c r="I98" s="50">
        <f>VLOOKUP($A98,'Data shares'!$C:$FB,45)*100</f>
        <v>-7.68</v>
      </c>
      <c r="J98" s="49">
        <f>VLOOKUP($A98,'Data shares'!$C:$FB,58)</f>
        <v>5992950</v>
      </c>
      <c r="K98" s="49">
        <f>VLOOKUP($A98,'Data shares'!$C:$FB,59)</f>
        <v>2334450</v>
      </c>
      <c r="L98" s="50">
        <f>VLOOKUP($A98,'Data shares'!$C:$FB,61)*100</f>
        <v>156.72</v>
      </c>
      <c r="M98" s="49">
        <f>VLOOKUP($A98,'Data shares'!$C:$FB,62)</f>
        <v>2799600</v>
      </c>
      <c r="N98" s="49">
        <f>VLOOKUP($A98,'Data shares'!$C:$FB,63)</f>
        <v>1671900</v>
      </c>
      <c r="O98" s="140">
        <f>VLOOKUP($A98,'Data shares'!$C:$FB,65)*100</f>
        <v>67.45</v>
      </c>
    </row>
    <row r="99" spans="1:15" x14ac:dyDescent="0.25">
      <c r="A99" s="101" t="str">
        <f>'Data Vlaue (Cr)'!C94</f>
        <v>INDUSINDBK</v>
      </c>
      <c r="B99" s="50">
        <f>VLOOKUP($A99,'Data shares'!$C:$FB,7)</f>
        <v>925</v>
      </c>
      <c r="C99" s="50">
        <f>VLOOKUP($A99,'Data shares'!$C:$FB,10)*100</f>
        <v>-0.27999999999999997</v>
      </c>
      <c r="D99" s="49">
        <f>VLOOKUP($A99,'Data shares'!$C:$FB,66)</f>
        <v>13162800</v>
      </c>
      <c r="E99" s="49">
        <f>VLOOKUP($A99,'Data shares'!$C:$FB,67)</f>
        <v>14871500</v>
      </c>
      <c r="F99" s="50">
        <f>VLOOKUP($A99,'Data shares'!$C:$FB,69)*100</f>
        <v>-11.49</v>
      </c>
      <c r="G99" s="49">
        <f>VLOOKUP($A99,'Data shares'!$C:$FB,42)</f>
        <v>4316200</v>
      </c>
      <c r="H99" s="49">
        <f>VLOOKUP($A99,'Data shares'!$C:$FB,43)</f>
        <v>3974600</v>
      </c>
      <c r="I99" s="50">
        <f>VLOOKUP($A99,'Data shares'!$C:$FB,45)*100</f>
        <v>8.59</v>
      </c>
      <c r="J99" s="49">
        <f>VLOOKUP($A99,'Data shares'!$C:$FB,58)</f>
        <v>5930400</v>
      </c>
      <c r="K99" s="49">
        <f>VLOOKUP($A99,'Data shares'!$C:$FB,59)</f>
        <v>7067200</v>
      </c>
      <c r="L99" s="50">
        <f>VLOOKUP($A99,'Data shares'!$C:$FB,61)*100</f>
        <v>-16.09</v>
      </c>
      <c r="M99" s="49">
        <f>VLOOKUP($A99,'Data shares'!$C:$FB,62)</f>
        <v>2916200</v>
      </c>
      <c r="N99" s="49">
        <f>VLOOKUP($A99,'Data shares'!$C:$FB,63)</f>
        <v>3829700</v>
      </c>
      <c r="O99" s="140">
        <f>VLOOKUP($A99,'Data shares'!$C:$FB,65)*100</f>
        <v>-23.849999999999998</v>
      </c>
    </row>
    <row r="100" spans="1:15" x14ac:dyDescent="0.25">
      <c r="A100" s="101" t="str">
        <f>'Data Vlaue (Cr)'!C95</f>
        <v>INDUSTOWER</v>
      </c>
      <c r="B100" s="50">
        <f>VLOOKUP($A100,'Data shares'!$C:$FB,7)</f>
        <v>467.05</v>
      </c>
      <c r="C100" s="50">
        <f>VLOOKUP($A100,'Data shares'!$C:$FB,10)*100</f>
        <v>1.72</v>
      </c>
      <c r="D100" s="49">
        <f>VLOOKUP($A100,'Data shares'!$C:$FB,66)</f>
        <v>123074900</v>
      </c>
      <c r="E100" s="49">
        <f>VLOOKUP($A100,'Data shares'!$C:$FB,67)</f>
        <v>96430800</v>
      </c>
      <c r="F100" s="50">
        <f>VLOOKUP($A100,'Data shares'!$C:$FB,69)*100</f>
        <v>27.63</v>
      </c>
      <c r="G100" s="49">
        <f>VLOOKUP($A100,'Data shares'!$C:$FB,42)</f>
        <v>15102800</v>
      </c>
      <c r="H100" s="49">
        <f>VLOOKUP($A100,'Data shares'!$C:$FB,43)</f>
        <v>18749300</v>
      </c>
      <c r="I100" s="50">
        <f>VLOOKUP($A100,'Data shares'!$C:$FB,45)*100</f>
        <v>-19.45</v>
      </c>
      <c r="J100" s="49">
        <f>VLOOKUP($A100,'Data shares'!$C:$FB,58)</f>
        <v>76743100</v>
      </c>
      <c r="K100" s="49">
        <f>VLOOKUP($A100,'Data shares'!$C:$FB,59)</f>
        <v>55234700</v>
      </c>
      <c r="L100" s="50">
        <f>VLOOKUP($A100,'Data shares'!$C:$FB,61)*100</f>
        <v>38.940000000000005</v>
      </c>
      <c r="M100" s="49">
        <f>VLOOKUP($A100,'Data shares'!$C:$FB,62)</f>
        <v>31229000</v>
      </c>
      <c r="N100" s="49">
        <f>VLOOKUP($A100,'Data shares'!$C:$FB,63)</f>
        <v>22446800</v>
      </c>
      <c r="O100" s="140">
        <f>VLOOKUP($A100,'Data shares'!$C:$FB,65)*100</f>
        <v>39.119999999999997</v>
      </c>
    </row>
    <row r="101" spans="1:15" x14ac:dyDescent="0.25">
      <c r="A101" s="101" t="str">
        <f>'Data Vlaue (Cr)'!C96</f>
        <v>INFY</v>
      </c>
      <c r="B101" s="50">
        <f>VLOOKUP($A101,'Data shares'!$C:$FB,7)</f>
        <v>1471.9</v>
      </c>
      <c r="C101" s="50">
        <f>VLOOKUP($A101,'Data shares'!$C:$FB,10)*100</f>
        <v>-1.73</v>
      </c>
      <c r="D101" s="49">
        <f>VLOOKUP($A101,'Data shares'!$C:$FB,66)</f>
        <v>102023200</v>
      </c>
      <c r="E101" s="49">
        <f>VLOOKUP($A101,'Data shares'!$C:$FB,67)</f>
        <v>87683600</v>
      </c>
      <c r="F101" s="50">
        <f>VLOOKUP($A101,'Data shares'!$C:$FB,69)*100</f>
        <v>16.350000000000001</v>
      </c>
      <c r="G101" s="49">
        <f>VLOOKUP($A101,'Data shares'!$C:$FB,42)</f>
        <v>10912400</v>
      </c>
      <c r="H101" s="49">
        <f>VLOOKUP($A101,'Data shares'!$C:$FB,43)</f>
        <v>9987200</v>
      </c>
      <c r="I101" s="50">
        <f>VLOOKUP($A101,'Data shares'!$C:$FB,45)*100</f>
        <v>9.26</v>
      </c>
      <c r="J101" s="49">
        <f>VLOOKUP($A101,'Data shares'!$C:$FB,58)</f>
        <v>57688000</v>
      </c>
      <c r="K101" s="49">
        <f>VLOOKUP($A101,'Data shares'!$C:$FB,59)</f>
        <v>51572400</v>
      </c>
      <c r="L101" s="50">
        <f>VLOOKUP($A101,'Data shares'!$C:$FB,61)*100</f>
        <v>11.86</v>
      </c>
      <c r="M101" s="49">
        <f>VLOOKUP($A101,'Data shares'!$C:$FB,62)</f>
        <v>33422800</v>
      </c>
      <c r="N101" s="49">
        <f>VLOOKUP($A101,'Data shares'!$C:$FB,63)</f>
        <v>26124000</v>
      </c>
      <c r="O101" s="140">
        <f>VLOOKUP($A101,'Data shares'!$C:$FB,65)*100</f>
        <v>27.939999999999998</v>
      </c>
    </row>
    <row r="102" spans="1:15" x14ac:dyDescent="0.25">
      <c r="A102" s="101" t="str">
        <f>'Data Vlaue (Cr)'!C97</f>
        <v>INOXWIND</v>
      </c>
      <c r="B102" s="50">
        <f>VLOOKUP($A102,'Data shares'!$C:$FB,7)</f>
        <v>110.42</v>
      </c>
      <c r="C102" s="50">
        <f>VLOOKUP($A102,'Data shares'!$C:$FB,10)*100</f>
        <v>-0.72</v>
      </c>
      <c r="D102" s="49">
        <f>VLOOKUP($A102,'Data shares'!$C:$FB,66)</f>
        <v>48062300</v>
      </c>
      <c r="E102" s="49">
        <f>VLOOKUP($A102,'Data shares'!$C:$FB,67)</f>
        <v>40851525</v>
      </c>
      <c r="F102" s="50">
        <f>VLOOKUP($A102,'Data shares'!$C:$FB,69)*100</f>
        <v>17.649999999999999</v>
      </c>
      <c r="G102" s="49">
        <f>VLOOKUP($A102,'Data shares'!$C:$FB,42)</f>
        <v>14489475</v>
      </c>
      <c r="H102" s="49">
        <f>VLOOKUP($A102,'Data shares'!$C:$FB,43)</f>
        <v>11300575</v>
      </c>
      <c r="I102" s="50">
        <f>VLOOKUP($A102,'Data shares'!$C:$FB,45)*100</f>
        <v>28.22</v>
      </c>
      <c r="J102" s="49">
        <f>VLOOKUP($A102,'Data shares'!$C:$FB,58)</f>
        <v>26208325</v>
      </c>
      <c r="K102" s="49">
        <f>VLOOKUP($A102,'Data shares'!$C:$FB,59)</f>
        <v>22747725</v>
      </c>
      <c r="L102" s="50">
        <f>VLOOKUP($A102,'Data shares'!$C:$FB,61)*100</f>
        <v>15.21</v>
      </c>
      <c r="M102" s="49">
        <f>VLOOKUP($A102,'Data shares'!$C:$FB,62)</f>
        <v>7364500</v>
      </c>
      <c r="N102" s="49">
        <f>VLOOKUP($A102,'Data shares'!$C:$FB,63)</f>
        <v>6803225</v>
      </c>
      <c r="O102" s="140">
        <f>VLOOKUP($A102,'Data shares'!$C:$FB,65)*100</f>
        <v>8.25</v>
      </c>
    </row>
    <row r="103" spans="1:15" x14ac:dyDescent="0.25">
      <c r="A103" s="101" t="str">
        <f>'Data Vlaue (Cr)'!C98</f>
        <v>IOC</v>
      </c>
      <c r="B103" s="50">
        <f>VLOOKUP($A103,'Data shares'!$C:$FB,7)</f>
        <v>181.31</v>
      </c>
      <c r="C103" s="50">
        <f>VLOOKUP($A103,'Data shares'!$C:$FB,10)*100</f>
        <v>1.7399999999999998</v>
      </c>
      <c r="D103" s="49">
        <f>VLOOKUP($A103,'Data shares'!$C:$FB,66)</f>
        <v>153274875</v>
      </c>
      <c r="E103" s="49">
        <f>VLOOKUP($A103,'Data shares'!$C:$FB,67)</f>
        <v>88403250</v>
      </c>
      <c r="F103" s="50">
        <f>VLOOKUP($A103,'Data shares'!$C:$FB,69)*100</f>
        <v>73.38</v>
      </c>
      <c r="G103" s="49">
        <f>VLOOKUP($A103,'Data shares'!$C:$FB,42)</f>
        <v>22152000</v>
      </c>
      <c r="H103" s="49">
        <f>VLOOKUP($A103,'Data shares'!$C:$FB,43)</f>
        <v>14415375</v>
      </c>
      <c r="I103" s="50">
        <f>VLOOKUP($A103,'Data shares'!$C:$FB,45)*100</f>
        <v>53.669999999999995</v>
      </c>
      <c r="J103" s="49">
        <f>VLOOKUP($A103,'Data shares'!$C:$FB,58)</f>
        <v>84971250</v>
      </c>
      <c r="K103" s="49">
        <f>VLOOKUP($A103,'Data shares'!$C:$FB,59)</f>
        <v>45040125</v>
      </c>
      <c r="L103" s="50">
        <f>VLOOKUP($A103,'Data shares'!$C:$FB,61)*100</f>
        <v>88.660000000000011</v>
      </c>
      <c r="M103" s="49">
        <f>VLOOKUP($A103,'Data shares'!$C:$FB,62)</f>
        <v>46151625</v>
      </c>
      <c r="N103" s="49">
        <f>VLOOKUP($A103,'Data shares'!$C:$FB,63)</f>
        <v>28947750</v>
      </c>
      <c r="O103" s="140">
        <f>VLOOKUP($A103,'Data shares'!$C:$FB,65)*100</f>
        <v>59.430000000000007</v>
      </c>
    </row>
    <row r="104" spans="1:15" x14ac:dyDescent="0.25">
      <c r="A104" s="101" t="str">
        <f>'Data Vlaue (Cr)'!C99</f>
        <v>IRCTC</v>
      </c>
      <c r="B104" s="50">
        <f>VLOOKUP($A104,'Data shares'!$C:$FB,7)</f>
        <v>628.35</v>
      </c>
      <c r="C104" s="50">
        <f>VLOOKUP($A104,'Data shares'!$C:$FB,10)*100</f>
        <v>-1.23</v>
      </c>
      <c r="D104" s="49">
        <f>VLOOKUP($A104,'Data shares'!$C:$FB,66)</f>
        <v>16672250</v>
      </c>
      <c r="E104" s="49">
        <f>VLOOKUP($A104,'Data shares'!$C:$FB,67)</f>
        <v>34286875</v>
      </c>
      <c r="F104" s="50">
        <f>VLOOKUP($A104,'Data shares'!$C:$FB,69)*100</f>
        <v>-51.370000000000005</v>
      </c>
      <c r="G104" s="49">
        <f>VLOOKUP($A104,'Data shares'!$C:$FB,42)</f>
        <v>1696625</v>
      </c>
      <c r="H104" s="49">
        <f>VLOOKUP($A104,'Data shares'!$C:$FB,43)</f>
        <v>3699500</v>
      </c>
      <c r="I104" s="50">
        <f>VLOOKUP($A104,'Data shares'!$C:$FB,45)*100</f>
        <v>-54.14</v>
      </c>
      <c r="J104" s="49">
        <f>VLOOKUP($A104,'Data shares'!$C:$FB,58)</f>
        <v>11578000</v>
      </c>
      <c r="K104" s="49">
        <f>VLOOKUP($A104,'Data shares'!$C:$FB,59)</f>
        <v>24917375</v>
      </c>
      <c r="L104" s="50">
        <f>VLOOKUP($A104,'Data shares'!$C:$FB,61)*100</f>
        <v>-53.53</v>
      </c>
      <c r="M104" s="49">
        <f>VLOOKUP($A104,'Data shares'!$C:$FB,62)</f>
        <v>3397625</v>
      </c>
      <c r="N104" s="49">
        <f>VLOOKUP($A104,'Data shares'!$C:$FB,63)</f>
        <v>5670000</v>
      </c>
      <c r="O104" s="140">
        <f>VLOOKUP($A104,'Data shares'!$C:$FB,65)*100</f>
        <v>-40.08</v>
      </c>
    </row>
    <row r="105" spans="1:15" x14ac:dyDescent="0.25">
      <c r="A105" s="101" t="str">
        <f>'Data Vlaue (Cr)'!C100</f>
        <v>IREDA</v>
      </c>
      <c r="B105" s="50">
        <f>VLOOKUP($A105,'Data shares'!$C:$FB,7)</f>
        <v>126.67</v>
      </c>
      <c r="C105" s="50">
        <f>VLOOKUP($A105,'Data shares'!$C:$FB,10)*100</f>
        <v>-2.02</v>
      </c>
      <c r="D105" s="49">
        <f>VLOOKUP($A105,'Data shares'!$C:$FB,66)</f>
        <v>82251450</v>
      </c>
      <c r="E105" s="49">
        <f>VLOOKUP($A105,'Data shares'!$C:$FB,67)</f>
        <v>30932700</v>
      </c>
      <c r="F105" s="50">
        <f>VLOOKUP($A105,'Data shares'!$C:$FB,69)*100</f>
        <v>165.9</v>
      </c>
      <c r="G105" s="49">
        <f>VLOOKUP($A105,'Data shares'!$C:$FB,42)</f>
        <v>24753750</v>
      </c>
      <c r="H105" s="49">
        <f>VLOOKUP($A105,'Data shares'!$C:$FB,43)</f>
        <v>11447100</v>
      </c>
      <c r="I105" s="50">
        <f>VLOOKUP($A105,'Data shares'!$C:$FB,45)*100</f>
        <v>116.24000000000001</v>
      </c>
      <c r="J105" s="49">
        <f>VLOOKUP($A105,'Data shares'!$C:$FB,58)</f>
        <v>41348250</v>
      </c>
      <c r="K105" s="49">
        <f>VLOOKUP($A105,'Data shares'!$C:$FB,59)</f>
        <v>14538300</v>
      </c>
      <c r="L105" s="50">
        <f>VLOOKUP($A105,'Data shares'!$C:$FB,61)*100</f>
        <v>184.41</v>
      </c>
      <c r="M105" s="49">
        <f>VLOOKUP($A105,'Data shares'!$C:$FB,62)</f>
        <v>16149450</v>
      </c>
      <c r="N105" s="49">
        <f>VLOOKUP($A105,'Data shares'!$C:$FB,63)</f>
        <v>4947300</v>
      </c>
      <c r="O105" s="140">
        <f>VLOOKUP($A105,'Data shares'!$C:$FB,65)*100</f>
        <v>226.43</v>
      </c>
    </row>
    <row r="106" spans="1:15" x14ac:dyDescent="0.25">
      <c r="A106" s="101" t="str">
        <f>'Data Vlaue (Cr)'!C101</f>
        <v>IRFC</v>
      </c>
      <c r="B106" s="50">
        <f>VLOOKUP($A106,'Data shares'!$C:$FB,7)</f>
        <v>114.33</v>
      </c>
      <c r="C106" s="50">
        <f>VLOOKUP($A106,'Data shares'!$C:$FB,10)*100</f>
        <v>-0.98</v>
      </c>
      <c r="D106" s="49">
        <f>VLOOKUP($A106,'Data shares'!$C:$FB,66)</f>
        <v>95650500</v>
      </c>
      <c r="E106" s="49">
        <f>VLOOKUP($A106,'Data shares'!$C:$FB,67)</f>
        <v>92560750</v>
      </c>
      <c r="F106" s="50">
        <f>VLOOKUP($A106,'Data shares'!$C:$FB,69)*100</f>
        <v>3.34</v>
      </c>
      <c r="G106" s="49">
        <f>VLOOKUP($A106,'Data shares'!$C:$FB,42)</f>
        <v>14071750</v>
      </c>
      <c r="H106" s="49">
        <f>VLOOKUP($A106,'Data shares'!$C:$FB,43)</f>
        <v>12231500</v>
      </c>
      <c r="I106" s="50">
        <f>VLOOKUP($A106,'Data shares'!$C:$FB,45)*100</f>
        <v>15.049999999999999</v>
      </c>
      <c r="J106" s="49">
        <f>VLOOKUP($A106,'Data shares'!$C:$FB,58)</f>
        <v>65076000</v>
      </c>
      <c r="K106" s="49">
        <f>VLOOKUP($A106,'Data shares'!$C:$FB,59)</f>
        <v>66529500</v>
      </c>
      <c r="L106" s="50">
        <f>VLOOKUP($A106,'Data shares'!$C:$FB,61)*100</f>
        <v>-2.1800000000000002</v>
      </c>
      <c r="M106" s="49">
        <f>VLOOKUP($A106,'Data shares'!$C:$FB,62)</f>
        <v>16502750</v>
      </c>
      <c r="N106" s="49">
        <f>VLOOKUP($A106,'Data shares'!$C:$FB,63)</f>
        <v>13799750</v>
      </c>
      <c r="O106" s="140">
        <f>VLOOKUP($A106,'Data shares'!$C:$FB,65)*100</f>
        <v>19.59</v>
      </c>
    </row>
    <row r="107" spans="1:15" x14ac:dyDescent="0.25">
      <c r="A107" s="101" t="str">
        <f>'Data Vlaue (Cr)'!C102</f>
        <v>ITC</v>
      </c>
      <c r="B107" s="50">
        <f>VLOOKUP($A107,'Data shares'!$C:$FB,7)</f>
        <v>318.25</v>
      </c>
      <c r="C107" s="50">
        <f>VLOOKUP($A107,'Data shares'!$C:$FB,10)*100</f>
        <v>-0.98</v>
      </c>
      <c r="D107" s="49">
        <f>VLOOKUP($A107,'Data shares'!$C:$FB,66)</f>
        <v>250953600</v>
      </c>
      <c r="E107" s="49">
        <f>VLOOKUP($A107,'Data shares'!$C:$FB,67)</f>
        <v>183904000</v>
      </c>
      <c r="F107" s="50">
        <f>VLOOKUP($A107,'Data shares'!$C:$FB,69)*100</f>
        <v>36.46</v>
      </c>
      <c r="G107" s="49">
        <f>VLOOKUP($A107,'Data shares'!$C:$FB,42)</f>
        <v>19556800</v>
      </c>
      <c r="H107" s="49">
        <f>VLOOKUP($A107,'Data shares'!$C:$FB,43)</f>
        <v>16212800</v>
      </c>
      <c r="I107" s="50">
        <f>VLOOKUP($A107,'Data shares'!$C:$FB,45)*100</f>
        <v>20.630000000000003</v>
      </c>
      <c r="J107" s="49">
        <f>VLOOKUP($A107,'Data shares'!$C:$FB,58)</f>
        <v>158126400</v>
      </c>
      <c r="K107" s="49">
        <f>VLOOKUP($A107,'Data shares'!$C:$FB,59)</f>
        <v>119270400</v>
      </c>
      <c r="L107" s="50">
        <f>VLOOKUP($A107,'Data shares'!$C:$FB,61)*100</f>
        <v>32.58</v>
      </c>
      <c r="M107" s="49">
        <f>VLOOKUP($A107,'Data shares'!$C:$FB,62)</f>
        <v>73270400</v>
      </c>
      <c r="N107" s="49">
        <f>VLOOKUP($A107,'Data shares'!$C:$FB,63)</f>
        <v>48420800</v>
      </c>
      <c r="O107" s="140">
        <f>VLOOKUP($A107,'Data shares'!$C:$FB,65)*100</f>
        <v>51.32</v>
      </c>
    </row>
    <row r="108" spans="1:15" x14ac:dyDescent="0.25">
      <c r="A108" s="101" t="str">
        <f>'Data Vlaue (Cr)'!C103</f>
        <v>JINDALSTEL</v>
      </c>
      <c r="B108" s="50">
        <f>VLOOKUP($A108,'Data shares'!$C:$FB,7)</f>
        <v>1190.5</v>
      </c>
      <c r="C108" s="50">
        <f>VLOOKUP($A108,'Data shares'!$C:$FB,10)*100</f>
        <v>-0.08</v>
      </c>
      <c r="D108" s="49">
        <f>VLOOKUP($A108,'Data shares'!$C:$FB,66)</f>
        <v>7601875</v>
      </c>
      <c r="E108" s="49">
        <f>VLOOKUP($A108,'Data shares'!$C:$FB,67)</f>
        <v>7369375</v>
      </c>
      <c r="F108" s="50">
        <f>VLOOKUP($A108,'Data shares'!$C:$FB,69)*100</f>
        <v>3.15</v>
      </c>
      <c r="G108" s="49">
        <f>VLOOKUP($A108,'Data shares'!$C:$FB,42)</f>
        <v>1306875</v>
      </c>
      <c r="H108" s="49">
        <f>VLOOKUP($A108,'Data shares'!$C:$FB,43)</f>
        <v>1218750</v>
      </c>
      <c r="I108" s="50">
        <f>VLOOKUP($A108,'Data shares'!$C:$FB,45)*100</f>
        <v>7.23</v>
      </c>
      <c r="J108" s="49">
        <f>VLOOKUP($A108,'Data shares'!$C:$FB,58)</f>
        <v>3276250</v>
      </c>
      <c r="K108" s="49">
        <f>VLOOKUP($A108,'Data shares'!$C:$FB,59)</f>
        <v>3753750</v>
      </c>
      <c r="L108" s="50">
        <f>VLOOKUP($A108,'Data shares'!$C:$FB,61)*100</f>
        <v>-12.72</v>
      </c>
      <c r="M108" s="49">
        <f>VLOOKUP($A108,'Data shares'!$C:$FB,62)</f>
        <v>3018750</v>
      </c>
      <c r="N108" s="49">
        <f>VLOOKUP($A108,'Data shares'!$C:$FB,63)</f>
        <v>2396875</v>
      </c>
      <c r="O108" s="140">
        <f>VLOOKUP($A108,'Data shares'!$C:$FB,65)*100</f>
        <v>25.95</v>
      </c>
    </row>
    <row r="109" spans="1:15" x14ac:dyDescent="0.25">
      <c r="A109" s="101" t="str">
        <f>'Data Vlaue (Cr)'!C104</f>
        <v>JIOFIN</v>
      </c>
      <c r="B109" s="50">
        <f>VLOOKUP($A109,'Data shares'!$C:$FB,7)</f>
        <v>270.3</v>
      </c>
      <c r="C109" s="50">
        <f>VLOOKUP($A109,'Data shares'!$C:$FB,10)*100</f>
        <v>0.04</v>
      </c>
      <c r="D109" s="49">
        <f>VLOOKUP($A109,'Data shares'!$C:$FB,66)</f>
        <v>78339600</v>
      </c>
      <c r="E109" s="49">
        <f>VLOOKUP($A109,'Data shares'!$C:$FB,67)</f>
        <v>108038900</v>
      </c>
      <c r="F109" s="50">
        <f>VLOOKUP($A109,'Data shares'!$C:$FB,69)*100</f>
        <v>-27.49</v>
      </c>
      <c r="G109" s="49">
        <f>VLOOKUP($A109,'Data shares'!$C:$FB,42)</f>
        <v>12229400</v>
      </c>
      <c r="H109" s="49">
        <f>VLOOKUP($A109,'Data shares'!$C:$FB,43)</f>
        <v>15359600</v>
      </c>
      <c r="I109" s="50">
        <f>VLOOKUP($A109,'Data shares'!$C:$FB,45)*100</f>
        <v>-20.380000000000003</v>
      </c>
      <c r="J109" s="49">
        <f>VLOOKUP($A109,'Data shares'!$C:$FB,58)</f>
        <v>49279500</v>
      </c>
      <c r="K109" s="49">
        <f>VLOOKUP($A109,'Data shares'!$C:$FB,59)</f>
        <v>66939750</v>
      </c>
      <c r="L109" s="50">
        <f>VLOOKUP($A109,'Data shares'!$C:$FB,61)*100</f>
        <v>-26.38</v>
      </c>
      <c r="M109" s="49">
        <f>VLOOKUP($A109,'Data shares'!$C:$FB,62)</f>
        <v>16830700</v>
      </c>
      <c r="N109" s="49">
        <f>VLOOKUP($A109,'Data shares'!$C:$FB,63)</f>
        <v>25739550</v>
      </c>
      <c r="O109" s="140">
        <f>VLOOKUP($A109,'Data shares'!$C:$FB,65)*100</f>
        <v>-34.61</v>
      </c>
    </row>
    <row r="110" spans="1:15" x14ac:dyDescent="0.25">
      <c r="A110" s="101" t="str">
        <f>'Data Vlaue (Cr)'!C105</f>
        <v>JSWENERGY</v>
      </c>
      <c r="B110" s="50">
        <f>VLOOKUP($A110,'Data shares'!$C:$FB,7)</f>
        <v>482.35</v>
      </c>
      <c r="C110" s="50">
        <f>VLOOKUP($A110,'Data shares'!$C:$FB,10)*100</f>
        <v>-0.27999999999999997</v>
      </c>
      <c r="D110" s="49">
        <f>VLOOKUP($A110,'Data shares'!$C:$FB,66)</f>
        <v>9381000</v>
      </c>
      <c r="E110" s="49">
        <f>VLOOKUP($A110,'Data shares'!$C:$FB,67)</f>
        <v>13675000</v>
      </c>
      <c r="F110" s="50">
        <f>VLOOKUP($A110,'Data shares'!$C:$FB,69)*100</f>
        <v>-31.4</v>
      </c>
      <c r="G110" s="49">
        <f>VLOOKUP($A110,'Data shares'!$C:$FB,42)</f>
        <v>1731000</v>
      </c>
      <c r="H110" s="49">
        <f>VLOOKUP($A110,'Data shares'!$C:$FB,43)</f>
        <v>2294000</v>
      </c>
      <c r="I110" s="50">
        <f>VLOOKUP($A110,'Data shares'!$C:$FB,45)*100</f>
        <v>-24.54</v>
      </c>
      <c r="J110" s="49">
        <f>VLOOKUP($A110,'Data shares'!$C:$FB,58)</f>
        <v>5024000</v>
      </c>
      <c r="K110" s="49">
        <f>VLOOKUP($A110,'Data shares'!$C:$FB,59)</f>
        <v>7583000</v>
      </c>
      <c r="L110" s="50">
        <f>VLOOKUP($A110,'Data shares'!$C:$FB,61)*100</f>
        <v>-33.75</v>
      </c>
      <c r="M110" s="49">
        <f>VLOOKUP($A110,'Data shares'!$C:$FB,62)</f>
        <v>2626000</v>
      </c>
      <c r="N110" s="49">
        <f>VLOOKUP($A110,'Data shares'!$C:$FB,63)</f>
        <v>3798000</v>
      </c>
      <c r="O110" s="140">
        <f>VLOOKUP($A110,'Data shares'!$C:$FB,65)*100</f>
        <v>-30.86</v>
      </c>
    </row>
    <row r="111" spans="1:15" x14ac:dyDescent="0.25">
      <c r="A111" s="101" t="str">
        <f>'Data Vlaue (Cr)'!C106</f>
        <v>JSWSTEEL</v>
      </c>
      <c r="B111" s="50">
        <f>VLOOKUP($A111,'Data shares'!$C:$FB,7)</f>
        <v>1249.2</v>
      </c>
      <c r="C111" s="50">
        <f>VLOOKUP($A111,'Data shares'!$C:$FB,10)*100</f>
        <v>0.41000000000000003</v>
      </c>
      <c r="D111" s="49">
        <f>VLOOKUP($A111,'Data shares'!$C:$FB,66)</f>
        <v>9447300</v>
      </c>
      <c r="E111" s="49">
        <f>VLOOKUP($A111,'Data shares'!$C:$FB,67)</f>
        <v>20181150</v>
      </c>
      <c r="F111" s="50">
        <f>VLOOKUP($A111,'Data shares'!$C:$FB,69)*100</f>
        <v>-53.190000000000005</v>
      </c>
      <c r="G111" s="49">
        <f>VLOOKUP($A111,'Data shares'!$C:$FB,42)</f>
        <v>1707750</v>
      </c>
      <c r="H111" s="49">
        <f>VLOOKUP($A111,'Data shares'!$C:$FB,43)</f>
        <v>2723625</v>
      </c>
      <c r="I111" s="50">
        <f>VLOOKUP($A111,'Data shares'!$C:$FB,45)*100</f>
        <v>-37.299999999999997</v>
      </c>
      <c r="J111" s="49">
        <f>VLOOKUP($A111,'Data shares'!$C:$FB,58)</f>
        <v>4878225</v>
      </c>
      <c r="K111" s="49">
        <f>VLOOKUP($A111,'Data shares'!$C:$FB,59)</f>
        <v>12650850</v>
      </c>
      <c r="L111" s="50">
        <f>VLOOKUP($A111,'Data shares'!$C:$FB,61)*100</f>
        <v>-61.44</v>
      </c>
      <c r="M111" s="49">
        <f>VLOOKUP($A111,'Data shares'!$C:$FB,62)</f>
        <v>2861325</v>
      </c>
      <c r="N111" s="49">
        <f>VLOOKUP($A111,'Data shares'!$C:$FB,63)</f>
        <v>4806675</v>
      </c>
      <c r="O111" s="140">
        <f>VLOOKUP($A111,'Data shares'!$C:$FB,65)*100</f>
        <v>-40.47</v>
      </c>
    </row>
    <row r="112" spans="1:15" x14ac:dyDescent="0.25">
      <c r="A112" s="101" t="str">
        <f>'Data Vlaue (Cr)'!C107</f>
        <v>JUBLFOOD</v>
      </c>
      <c r="B112" s="50">
        <f>VLOOKUP($A112,'Data shares'!$C:$FB,7)</f>
        <v>547</v>
      </c>
      <c r="C112" s="50">
        <f>VLOOKUP($A112,'Data shares'!$C:$FB,10)*100</f>
        <v>-1.34</v>
      </c>
      <c r="D112" s="49">
        <f>VLOOKUP($A112,'Data shares'!$C:$FB,66)</f>
        <v>124232500</v>
      </c>
      <c r="E112" s="49">
        <f>VLOOKUP($A112,'Data shares'!$C:$FB,67)</f>
        <v>30991250</v>
      </c>
      <c r="F112" s="50">
        <f>VLOOKUP($A112,'Data shares'!$C:$FB,69)*100</f>
        <v>300.86</v>
      </c>
      <c r="G112" s="49">
        <f>VLOOKUP($A112,'Data shares'!$C:$FB,42)</f>
        <v>19295000</v>
      </c>
      <c r="H112" s="49">
        <f>VLOOKUP($A112,'Data shares'!$C:$FB,43)</f>
        <v>6395000</v>
      </c>
      <c r="I112" s="50">
        <f>VLOOKUP($A112,'Data shares'!$C:$FB,45)*100</f>
        <v>201.72</v>
      </c>
      <c r="J112" s="49">
        <f>VLOOKUP($A112,'Data shares'!$C:$FB,58)</f>
        <v>74775000</v>
      </c>
      <c r="K112" s="49">
        <f>VLOOKUP($A112,'Data shares'!$C:$FB,59)</f>
        <v>17552500</v>
      </c>
      <c r="L112" s="50">
        <f>VLOOKUP($A112,'Data shares'!$C:$FB,61)*100</f>
        <v>326.01</v>
      </c>
      <c r="M112" s="49">
        <f>VLOOKUP($A112,'Data shares'!$C:$FB,62)</f>
        <v>30162500</v>
      </c>
      <c r="N112" s="49">
        <f>VLOOKUP($A112,'Data shares'!$C:$FB,63)</f>
        <v>7043750</v>
      </c>
      <c r="O112" s="140">
        <f>VLOOKUP($A112,'Data shares'!$C:$FB,65)*100</f>
        <v>328.22</v>
      </c>
    </row>
    <row r="113" spans="1:15" x14ac:dyDescent="0.25">
      <c r="A113" s="101" t="str">
        <f>'Data Vlaue (Cr)'!C108</f>
        <v>KALYANKJIL</v>
      </c>
      <c r="B113" s="50">
        <f>VLOOKUP($A113,'Data shares'!$C:$FB,7)</f>
        <v>426.95</v>
      </c>
      <c r="C113" s="50">
        <f>VLOOKUP($A113,'Data shares'!$C:$FB,10)*100</f>
        <v>-1.6</v>
      </c>
      <c r="D113" s="49">
        <f>VLOOKUP($A113,'Data shares'!$C:$FB,66)</f>
        <v>61601725</v>
      </c>
      <c r="E113" s="49">
        <f>VLOOKUP($A113,'Data shares'!$C:$FB,67)</f>
        <v>137554900</v>
      </c>
      <c r="F113" s="50">
        <f>VLOOKUP($A113,'Data shares'!$C:$FB,69)*100</f>
        <v>-55.22</v>
      </c>
      <c r="G113" s="49">
        <f>VLOOKUP($A113,'Data shares'!$C:$FB,42)</f>
        <v>8039350</v>
      </c>
      <c r="H113" s="49">
        <f>VLOOKUP($A113,'Data shares'!$C:$FB,43)</f>
        <v>13667600</v>
      </c>
      <c r="I113" s="50">
        <f>VLOOKUP($A113,'Data shares'!$C:$FB,45)*100</f>
        <v>-41.18</v>
      </c>
      <c r="J113" s="49">
        <f>VLOOKUP($A113,'Data shares'!$C:$FB,58)</f>
        <v>31102250</v>
      </c>
      <c r="K113" s="49">
        <f>VLOOKUP($A113,'Data shares'!$C:$FB,59)</f>
        <v>79069275</v>
      </c>
      <c r="L113" s="50">
        <f>VLOOKUP($A113,'Data shares'!$C:$FB,61)*100</f>
        <v>-60.660000000000004</v>
      </c>
      <c r="M113" s="49">
        <f>VLOOKUP($A113,'Data shares'!$C:$FB,62)</f>
        <v>22460125</v>
      </c>
      <c r="N113" s="49">
        <f>VLOOKUP($A113,'Data shares'!$C:$FB,63)</f>
        <v>44818025</v>
      </c>
      <c r="O113" s="140">
        <f>VLOOKUP($A113,'Data shares'!$C:$FB,65)*100</f>
        <v>-49.89</v>
      </c>
    </row>
    <row r="114" spans="1:15" x14ac:dyDescent="0.25">
      <c r="A114" s="101" t="str">
        <f>'Data Vlaue (Cr)'!C109</f>
        <v>KAYNES</v>
      </c>
      <c r="B114" s="50">
        <f>VLOOKUP($A114,'Data shares'!$C:$FB,7)</f>
        <v>4154.7</v>
      </c>
      <c r="C114" s="50">
        <f>VLOOKUP($A114,'Data shares'!$C:$FB,10)*100</f>
        <v>4.9799999999999995</v>
      </c>
      <c r="D114" s="49">
        <f>VLOOKUP($A114,'Data shares'!$C:$FB,66)</f>
        <v>21797700</v>
      </c>
      <c r="E114" s="49">
        <f>VLOOKUP($A114,'Data shares'!$C:$FB,67)</f>
        <v>14258300</v>
      </c>
      <c r="F114" s="50">
        <f>VLOOKUP($A114,'Data shares'!$C:$FB,69)*100</f>
        <v>52.88</v>
      </c>
      <c r="G114" s="49">
        <f>VLOOKUP($A114,'Data shares'!$C:$FB,42)</f>
        <v>1945900</v>
      </c>
      <c r="H114" s="49">
        <f>VLOOKUP($A114,'Data shares'!$C:$FB,43)</f>
        <v>1548700</v>
      </c>
      <c r="I114" s="50">
        <f>VLOOKUP($A114,'Data shares'!$C:$FB,45)*100</f>
        <v>25.650000000000002</v>
      </c>
      <c r="J114" s="49">
        <f>VLOOKUP($A114,'Data shares'!$C:$FB,58)</f>
        <v>14636100</v>
      </c>
      <c r="K114" s="49">
        <f>VLOOKUP($A114,'Data shares'!$C:$FB,59)</f>
        <v>8111100</v>
      </c>
      <c r="L114" s="50">
        <f>VLOOKUP($A114,'Data shares'!$C:$FB,61)*100</f>
        <v>80.45</v>
      </c>
      <c r="M114" s="49">
        <f>VLOOKUP($A114,'Data shares'!$C:$FB,62)</f>
        <v>5215700</v>
      </c>
      <c r="N114" s="49">
        <f>VLOOKUP($A114,'Data shares'!$C:$FB,63)</f>
        <v>4598500</v>
      </c>
      <c r="O114" s="140">
        <f>VLOOKUP($A114,'Data shares'!$C:$FB,65)*100</f>
        <v>13.420000000000002</v>
      </c>
    </row>
    <row r="115" spans="1:15" x14ac:dyDescent="0.25">
      <c r="A115" s="101" t="str">
        <f>'Data Vlaue (Cr)'!C110</f>
        <v>KEI</v>
      </c>
      <c r="B115" s="50">
        <f>VLOOKUP($A115,'Data shares'!$C:$FB,7)</f>
        <v>4605.8999999999996</v>
      </c>
      <c r="C115" s="50">
        <f>VLOOKUP($A115,'Data shares'!$C:$FB,10)*100</f>
        <v>0.33</v>
      </c>
      <c r="D115" s="49">
        <f>VLOOKUP($A115,'Data shares'!$C:$FB,66)</f>
        <v>1535975</v>
      </c>
      <c r="E115" s="49">
        <f>VLOOKUP($A115,'Data shares'!$C:$FB,67)</f>
        <v>1998150</v>
      </c>
      <c r="F115" s="50">
        <f>VLOOKUP($A115,'Data shares'!$C:$FB,69)*100</f>
        <v>-23.13</v>
      </c>
      <c r="G115" s="49">
        <f>VLOOKUP($A115,'Data shares'!$C:$FB,42)</f>
        <v>445375</v>
      </c>
      <c r="H115" s="49">
        <f>VLOOKUP($A115,'Data shares'!$C:$FB,43)</f>
        <v>292250</v>
      </c>
      <c r="I115" s="50">
        <f>VLOOKUP($A115,'Data shares'!$C:$FB,45)*100</f>
        <v>52.400000000000006</v>
      </c>
      <c r="J115" s="49">
        <f>VLOOKUP($A115,'Data shares'!$C:$FB,58)</f>
        <v>775425</v>
      </c>
      <c r="K115" s="49">
        <f>VLOOKUP($A115,'Data shares'!$C:$FB,59)</f>
        <v>1380575</v>
      </c>
      <c r="L115" s="50">
        <f>VLOOKUP($A115,'Data shares'!$C:$FB,61)*100</f>
        <v>-43.830000000000005</v>
      </c>
      <c r="M115" s="49">
        <f>VLOOKUP($A115,'Data shares'!$C:$FB,62)</f>
        <v>315175</v>
      </c>
      <c r="N115" s="49">
        <f>VLOOKUP($A115,'Data shares'!$C:$FB,63)</f>
        <v>325325</v>
      </c>
      <c r="O115" s="140">
        <f>VLOOKUP($A115,'Data shares'!$C:$FB,65)*100</f>
        <v>-3.1199999999999997</v>
      </c>
    </row>
    <row r="116" spans="1:15" x14ac:dyDescent="0.25">
      <c r="A116" s="101" t="str">
        <f>'Data Vlaue (Cr)'!C111</f>
        <v>KFINTECH</v>
      </c>
      <c r="B116" s="50">
        <f>VLOOKUP($A116,'Data shares'!$C:$FB,7)</f>
        <v>1022.5</v>
      </c>
      <c r="C116" s="50">
        <f>VLOOKUP($A116,'Data shares'!$C:$FB,10)*100</f>
        <v>0.01</v>
      </c>
      <c r="D116" s="49">
        <f>VLOOKUP($A116,'Data shares'!$C:$FB,66)</f>
        <v>2678500</v>
      </c>
      <c r="E116" s="49">
        <f>VLOOKUP($A116,'Data shares'!$C:$FB,67)</f>
        <v>15942500</v>
      </c>
      <c r="F116" s="50">
        <f>VLOOKUP($A116,'Data shares'!$C:$FB,69)*100</f>
        <v>-83.2</v>
      </c>
      <c r="G116" s="49">
        <f>VLOOKUP($A116,'Data shares'!$C:$FB,42)</f>
        <v>1033000</v>
      </c>
      <c r="H116" s="49">
        <f>VLOOKUP($A116,'Data shares'!$C:$FB,43)</f>
        <v>3019000</v>
      </c>
      <c r="I116" s="50">
        <f>VLOOKUP($A116,'Data shares'!$C:$FB,45)*100</f>
        <v>-65.78</v>
      </c>
      <c r="J116" s="49">
        <f>VLOOKUP($A116,'Data shares'!$C:$FB,58)</f>
        <v>1188000</v>
      </c>
      <c r="K116" s="49">
        <f>VLOOKUP($A116,'Data shares'!$C:$FB,59)</f>
        <v>9594000</v>
      </c>
      <c r="L116" s="50">
        <f>VLOOKUP($A116,'Data shares'!$C:$FB,61)*100</f>
        <v>-87.62</v>
      </c>
      <c r="M116" s="49">
        <f>VLOOKUP($A116,'Data shares'!$C:$FB,62)</f>
        <v>457500</v>
      </c>
      <c r="N116" s="49">
        <f>VLOOKUP($A116,'Data shares'!$C:$FB,63)</f>
        <v>3329500</v>
      </c>
      <c r="O116" s="140">
        <f>VLOOKUP($A116,'Data shares'!$C:$FB,65)*100</f>
        <v>-86.26</v>
      </c>
    </row>
    <row r="117" spans="1:15" x14ac:dyDescent="0.25">
      <c r="A117" s="101" t="str">
        <f>'Data Vlaue (Cr)'!C112</f>
        <v>KOTAKBANK</v>
      </c>
      <c r="B117" s="50">
        <f>VLOOKUP($A117,'Data shares'!$C:$FB,7)</f>
        <v>429.55</v>
      </c>
      <c r="C117" s="50">
        <f>VLOOKUP($A117,'Data shares'!$C:$FB,10)*100</f>
        <v>0.06</v>
      </c>
      <c r="D117" s="49">
        <f>VLOOKUP($A117,'Data shares'!$C:$FB,66)</f>
        <v>52644000</v>
      </c>
      <c r="E117" s="49">
        <f>VLOOKUP($A117,'Data shares'!$C:$FB,67)</f>
        <v>78022000</v>
      </c>
      <c r="F117" s="50">
        <f>VLOOKUP($A117,'Data shares'!$C:$FB,69)*100</f>
        <v>-32.53</v>
      </c>
      <c r="G117" s="49">
        <f>VLOOKUP($A117,'Data shares'!$C:$FB,42)</f>
        <v>12134000</v>
      </c>
      <c r="H117" s="49">
        <f>VLOOKUP($A117,'Data shares'!$C:$FB,43)</f>
        <v>13422000</v>
      </c>
      <c r="I117" s="50">
        <f>VLOOKUP($A117,'Data shares'!$C:$FB,45)*100</f>
        <v>-9.6</v>
      </c>
      <c r="J117" s="49">
        <f>VLOOKUP($A117,'Data shares'!$C:$FB,58)</f>
        <v>23262000</v>
      </c>
      <c r="K117" s="49">
        <f>VLOOKUP($A117,'Data shares'!$C:$FB,59)</f>
        <v>37710000</v>
      </c>
      <c r="L117" s="50">
        <f>VLOOKUP($A117,'Data shares'!$C:$FB,61)*100</f>
        <v>-38.31</v>
      </c>
      <c r="M117" s="49">
        <f>VLOOKUP($A117,'Data shares'!$C:$FB,62)</f>
        <v>17248000</v>
      </c>
      <c r="N117" s="49">
        <f>VLOOKUP($A117,'Data shares'!$C:$FB,63)</f>
        <v>26890000</v>
      </c>
      <c r="O117" s="140">
        <f>VLOOKUP($A117,'Data shares'!$C:$FB,65)*100</f>
        <v>-35.86</v>
      </c>
    </row>
    <row r="118" spans="1:15" x14ac:dyDescent="0.25">
      <c r="A118" s="101" t="str">
        <f>'Data Vlaue (Cr)'!C113</f>
        <v>KPITTECH</v>
      </c>
      <c r="B118" s="50">
        <f>VLOOKUP($A118,'Data shares'!$C:$FB,7)</f>
        <v>959.4</v>
      </c>
      <c r="C118" s="50">
        <f>VLOOKUP($A118,'Data shares'!$C:$FB,10)*100</f>
        <v>-1.46</v>
      </c>
      <c r="D118" s="49">
        <f>VLOOKUP($A118,'Data shares'!$C:$FB,66)</f>
        <v>3879825</v>
      </c>
      <c r="E118" s="49">
        <f>VLOOKUP($A118,'Data shares'!$C:$FB,67)</f>
        <v>8967075</v>
      </c>
      <c r="F118" s="50">
        <f>VLOOKUP($A118,'Data shares'!$C:$FB,69)*100</f>
        <v>-56.730000000000004</v>
      </c>
      <c r="G118" s="49">
        <f>VLOOKUP($A118,'Data shares'!$C:$FB,42)</f>
        <v>805800</v>
      </c>
      <c r="H118" s="49">
        <f>VLOOKUP($A118,'Data shares'!$C:$FB,43)</f>
        <v>1130075</v>
      </c>
      <c r="I118" s="50">
        <f>VLOOKUP($A118,'Data shares'!$C:$FB,45)*100</f>
        <v>-28.689999999999998</v>
      </c>
      <c r="J118" s="49">
        <f>VLOOKUP($A118,'Data shares'!$C:$FB,58)</f>
        <v>2432700</v>
      </c>
      <c r="K118" s="49">
        <f>VLOOKUP($A118,'Data shares'!$C:$FB,59)</f>
        <v>6688225</v>
      </c>
      <c r="L118" s="50">
        <f>VLOOKUP($A118,'Data shares'!$C:$FB,61)*100</f>
        <v>-63.629999999999995</v>
      </c>
      <c r="M118" s="49">
        <f>VLOOKUP($A118,'Data shares'!$C:$FB,62)</f>
        <v>641325</v>
      </c>
      <c r="N118" s="49">
        <f>VLOOKUP($A118,'Data shares'!$C:$FB,63)</f>
        <v>1148775</v>
      </c>
      <c r="O118" s="140">
        <f>VLOOKUP($A118,'Data shares'!$C:$FB,65)*100</f>
        <v>-44.17</v>
      </c>
    </row>
    <row r="119" spans="1:15" x14ac:dyDescent="0.25">
      <c r="A119" s="101" t="str">
        <f>'Data Vlaue (Cr)'!C114</f>
        <v>LAURUSLABS</v>
      </c>
      <c r="B119" s="50">
        <f>VLOOKUP($A119,'Data shares'!$C:$FB,7)</f>
        <v>1013.65</v>
      </c>
      <c r="C119" s="50">
        <f>VLOOKUP($A119,'Data shares'!$C:$FB,10)*100</f>
        <v>4.8899999999999997</v>
      </c>
      <c r="D119" s="49">
        <f>VLOOKUP($A119,'Data shares'!$C:$FB,66)</f>
        <v>41859100</v>
      </c>
      <c r="E119" s="49">
        <f>VLOOKUP($A119,'Data shares'!$C:$FB,67)</f>
        <v>10427800</v>
      </c>
      <c r="F119" s="50">
        <f>VLOOKUP($A119,'Data shares'!$C:$FB,69)*100</f>
        <v>301.42</v>
      </c>
      <c r="G119" s="49">
        <f>VLOOKUP($A119,'Data shares'!$C:$FB,42)</f>
        <v>5365200</v>
      </c>
      <c r="H119" s="49">
        <f>VLOOKUP($A119,'Data shares'!$C:$FB,43)</f>
        <v>1983900</v>
      </c>
      <c r="I119" s="50">
        <f>VLOOKUP($A119,'Data shares'!$C:$FB,45)*100</f>
        <v>170.44</v>
      </c>
      <c r="J119" s="49">
        <f>VLOOKUP($A119,'Data shares'!$C:$FB,58)</f>
        <v>28369600</v>
      </c>
      <c r="K119" s="49">
        <f>VLOOKUP($A119,'Data shares'!$C:$FB,59)</f>
        <v>5499500</v>
      </c>
      <c r="L119" s="50">
        <f>VLOOKUP($A119,'Data shares'!$C:$FB,61)*100</f>
        <v>415.86</v>
      </c>
      <c r="M119" s="49">
        <f>VLOOKUP($A119,'Data shares'!$C:$FB,62)</f>
        <v>8124300</v>
      </c>
      <c r="N119" s="49">
        <f>VLOOKUP($A119,'Data shares'!$C:$FB,63)</f>
        <v>2944400</v>
      </c>
      <c r="O119" s="140">
        <f>VLOOKUP($A119,'Data shares'!$C:$FB,65)*100</f>
        <v>175.92000000000002</v>
      </c>
    </row>
    <row r="120" spans="1:15" x14ac:dyDescent="0.25">
      <c r="A120" s="101" t="str">
        <f>'Data Vlaue (Cr)'!C115</f>
        <v>LICHSGFIN</v>
      </c>
      <c r="B120" s="50">
        <f>VLOOKUP($A120,'Data shares'!$C:$FB,7)</f>
        <v>525.54999999999995</v>
      </c>
      <c r="C120" s="50">
        <f>VLOOKUP($A120,'Data shares'!$C:$FB,10)*100</f>
        <v>0.57000000000000006</v>
      </c>
      <c r="D120" s="49">
        <f>VLOOKUP($A120,'Data shares'!$C:$FB,66)</f>
        <v>12422000</v>
      </c>
      <c r="E120" s="49">
        <f>VLOOKUP($A120,'Data shares'!$C:$FB,67)</f>
        <v>7311000</v>
      </c>
      <c r="F120" s="50">
        <f>VLOOKUP($A120,'Data shares'!$C:$FB,69)*100</f>
        <v>69.910000000000011</v>
      </c>
      <c r="G120" s="49">
        <f>VLOOKUP($A120,'Data shares'!$C:$FB,42)</f>
        <v>3334000</v>
      </c>
      <c r="H120" s="49">
        <f>VLOOKUP($A120,'Data shares'!$C:$FB,43)</f>
        <v>2295000</v>
      </c>
      <c r="I120" s="50">
        <f>VLOOKUP($A120,'Data shares'!$C:$FB,45)*100</f>
        <v>45.269999999999996</v>
      </c>
      <c r="J120" s="49">
        <f>VLOOKUP($A120,'Data shares'!$C:$FB,58)</f>
        <v>6557000</v>
      </c>
      <c r="K120" s="49">
        <f>VLOOKUP($A120,'Data shares'!$C:$FB,59)</f>
        <v>3699000</v>
      </c>
      <c r="L120" s="50">
        <f>VLOOKUP($A120,'Data shares'!$C:$FB,61)*100</f>
        <v>77.259999999999991</v>
      </c>
      <c r="M120" s="49">
        <f>VLOOKUP($A120,'Data shares'!$C:$FB,62)</f>
        <v>2531000</v>
      </c>
      <c r="N120" s="49">
        <f>VLOOKUP($A120,'Data shares'!$C:$FB,63)</f>
        <v>1317000</v>
      </c>
      <c r="O120" s="140">
        <f>VLOOKUP($A120,'Data shares'!$C:$FB,65)*100</f>
        <v>92.179999999999993</v>
      </c>
    </row>
    <row r="121" spans="1:15" x14ac:dyDescent="0.25">
      <c r="A121" s="101" t="str">
        <f>'Data Vlaue (Cr)'!C116</f>
        <v>LICI</v>
      </c>
      <c r="B121" s="50">
        <f>VLOOKUP($A121,'Data shares'!$C:$FB,7)</f>
        <v>875.3</v>
      </c>
      <c r="C121" s="50">
        <f>VLOOKUP($A121,'Data shares'!$C:$FB,10)*100</f>
        <v>-1.8399999999999999</v>
      </c>
      <c r="D121" s="49">
        <f>VLOOKUP($A121,'Data shares'!$C:$FB,66)</f>
        <v>31278100</v>
      </c>
      <c r="E121" s="49">
        <f>VLOOKUP($A121,'Data shares'!$C:$FB,67)</f>
        <v>16597000</v>
      </c>
      <c r="F121" s="50">
        <f>VLOOKUP($A121,'Data shares'!$C:$FB,69)*100</f>
        <v>88.460000000000008</v>
      </c>
      <c r="G121" s="49">
        <f>VLOOKUP($A121,'Data shares'!$C:$FB,42)</f>
        <v>3962000</v>
      </c>
      <c r="H121" s="49">
        <f>VLOOKUP($A121,'Data shares'!$C:$FB,43)</f>
        <v>2124500</v>
      </c>
      <c r="I121" s="50">
        <f>VLOOKUP($A121,'Data shares'!$C:$FB,45)*100</f>
        <v>86.49</v>
      </c>
      <c r="J121" s="49">
        <f>VLOOKUP($A121,'Data shares'!$C:$FB,58)</f>
        <v>16963100</v>
      </c>
      <c r="K121" s="49">
        <f>VLOOKUP($A121,'Data shares'!$C:$FB,59)</f>
        <v>9318400</v>
      </c>
      <c r="L121" s="50">
        <f>VLOOKUP($A121,'Data shares'!$C:$FB,61)*100</f>
        <v>82.04</v>
      </c>
      <c r="M121" s="49">
        <f>VLOOKUP($A121,'Data shares'!$C:$FB,62)</f>
        <v>10353000</v>
      </c>
      <c r="N121" s="49">
        <f>VLOOKUP($A121,'Data shares'!$C:$FB,63)</f>
        <v>5154100</v>
      </c>
      <c r="O121" s="140">
        <f>VLOOKUP($A121,'Data shares'!$C:$FB,65)*100</f>
        <v>100.86999999999999</v>
      </c>
    </row>
    <row r="122" spans="1:15" x14ac:dyDescent="0.25">
      <c r="A122" s="101" t="str">
        <f>'Data Vlaue (Cr)'!C117</f>
        <v>LODHA</v>
      </c>
      <c r="B122" s="50">
        <f>VLOOKUP($A122,'Data shares'!$C:$FB,7)</f>
        <v>1094.9000000000001</v>
      </c>
      <c r="C122" s="50">
        <f>VLOOKUP($A122,'Data shares'!$C:$FB,10)*100</f>
        <v>-0.01</v>
      </c>
      <c r="D122" s="49">
        <f>VLOOKUP($A122,'Data shares'!$C:$FB,66)</f>
        <v>3957300</v>
      </c>
      <c r="E122" s="49">
        <f>VLOOKUP($A122,'Data shares'!$C:$FB,67)</f>
        <v>7909650</v>
      </c>
      <c r="F122" s="50">
        <f>VLOOKUP($A122,'Data shares'!$C:$FB,69)*100</f>
        <v>-49.97</v>
      </c>
      <c r="G122" s="49">
        <f>VLOOKUP($A122,'Data shares'!$C:$FB,42)</f>
        <v>976500</v>
      </c>
      <c r="H122" s="49">
        <f>VLOOKUP($A122,'Data shares'!$C:$FB,43)</f>
        <v>1560150</v>
      </c>
      <c r="I122" s="50">
        <f>VLOOKUP($A122,'Data shares'!$C:$FB,45)*100</f>
        <v>-37.409999999999997</v>
      </c>
      <c r="J122" s="49">
        <f>VLOOKUP($A122,'Data shares'!$C:$FB,58)</f>
        <v>1678050</v>
      </c>
      <c r="K122" s="49">
        <f>VLOOKUP($A122,'Data shares'!$C:$FB,59)</f>
        <v>4021650</v>
      </c>
      <c r="L122" s="50">
        <f>VLOOKUP($A122,'Data shares'!$C:$FB,61)*100</f>
        <v>-58.269999999999996</v>
      </c>
      <c r="M122" s="49">
        <f>VLOOKUP($A122,'Data shares'!$C:$FB,62)</f>
        <v>1302750</v>
      </c>
      <c r="N122" s="49">
        <f>VLOOKUP($A122,'Data shares'!$C:$FB,63)</f>
        <v>2327850</v>
      </c>
      <c r="O122" s="140">
        <f>VLOOKUP($A122,'Data shares'!$C:$FB,65)*100</f>
        <v>-44.04</v>
      </c>
    </row>
    <row r="123" spans="1:15" x14ac:dyDescent="0.25">
      <c r="A123" s="101" t="str">
        <f>'Data Vlaue (Cr)'!C118</f>
        <v>LT</v>
      </c>
      <c r="B123" s="50">
        <f>VLOOKUP($A123,'Data shares'!$C:$FB,7)</f>
        <v>4170.3999999999996</v>
      </c>
      <c r="C123" s="50">
        <f>VLOOKUP($A123,'Data shares'!$C:$FB,10)*100</f>
        <v>0.03</v>
      </c>
      <c r="D123" s="49">
        <f>VLOOKUP($A123,'Data shares'!$C:$FB,66)</f>
        <v>15338925</v>
      </c>
      <c r="E123" s="49">
        <f>VLOOKUP($A123,'Data shares'!$C:$FB,67)</f>
        <v>16003225</v>
      </c>
      <c r="F123" s="50">
        <f>VLOOKUP($A123,'Data shares'!$C:$FB,69)*100</f>
        <v>-4.1500000000000004</v>
      </c>
      <c r="G123" s="49">
        <f>VLOOKUP($A123,'Data shares'!$C:$FB,42)</f>
        <v>1329475</v>
      </c>
      <c r="H123" s="49">
        <f>VLOOKUP($A123,'Data shares'!$C:$FB,43)</f>
        <v>1499400</v>
      </c>
      <c r="I123" s="50">
        <f>VLOOKUP($A123,'Data shares'!$C:$FB,45)*100</f>
        <v>-11.33</v>
      </c>
      <c r="J123" s="49">
        <f>VLOOKUP($A123,'Data shares'!$C:$FB,58)</f>
        <v>6109950</v>
      </c>
      <c r="K123" s="49">
        <f>VLOOKUP($A123,'Data shares'!$C:$FB,59)</f>
        <v>8727950</v>
      </c>
      <c r="L123" s="50">
        <f>VLOOKUP($A123,'Data shares'!$C:$FB,61)*100</f>
        <v>-30</v>
      </c>
      <c r="M123" s="49">
        <f>VLOOKUP($A123,'Data shares'!$C:$FB,62)</f>
        <v>7899500</v>
      </c>
      <c r="N123" s="49">
        <f>VLOOKUP($A123,'Data shares'!$C:$FB,63)</f>
        <v>5775875</v>
      </c>
      <c r="O123" s="140">
        <f>VLOOKUP($A123,'Data shares'!$C:$FB,65)*100</f>
        <v>36.770000000000003</v>
      </c>
    </row>
    <row r="124" spans="1:15" x14ac:dyDescent="0.25">
      <c r="A124" s="101" t="str">
        <f>'Data Vlaue (Cr)'!C119</f>
        <v>LTF</v>
      </c>
      <c r="B124" s="50">
        <f>VLOOKUP($A124,'Data shares'!$C:$FB,7)</f>
        <v>288.3</v>
      </c>
      <c r="C124" s="50">
        <f>VLOOKUP($A124,'Data shares'!$C:$FB,10)*100</f>
        <v>-1.94</v>
      </c>
      <c r="D124" s="49">
        <f>VLOOKUP($A124,'Data shares'!$C:$FB,66)</f>
        <v>76304250</v>
      </c>
      <c r="E124" s="49">
        <f>VLOOKUP($A124,'Data shares'!$C:$FB,67)</f>
        <v>50919750</v>
      </c>
      <c r="F124" s="50">
        <f>VLOOKUP($A124,'Data shares'!$C:$FB,69)*100</f>
        <v>49.85</v>
      </c>
      <c r="G124" s="49">
        <f>VLOOKUP($A124,'Data shares'!$C:$FB,42)</f>
        <v>16782750</v>
      </c>
      <c r="H124" s="49">
        <f>VLOOKUP($A124,'Data shares'!$C:$FB,43)</f>
        <v>10903500</v>
      </c>
      <c r="I124" s="50">
        <f>VLOOKUP($A124,'Data shares'!$C:$FB,45)*100</f>
        <v>53.92</v>
      </c>
      <c r="J124" s="49">
        <f>VLOOKUP($A124,'Data shares'!$C:$FB,58)</f>
        <v>41593500</v>
      </c>
      <c r="K124" s="49">
        <f>VLOOKUP($A124,'Data shares'!$C:$FB,59)</f>
        <v>28143000</v>
      </c>
      <c r="L124" s="50">
        <f>VLOOKUP($A124,'Data shares'!$C:$FB,61)*100</f>
        <v>47.79</v>
      </c>
      <c r="M124" s="49">
        <f>VLOOKUP($A124,'Data shares'!$C:$FB,62)</f>
        <v>17928000</v>
      </c>
      <c r="N124" s="49">
        <f>VLOOKUP($A124,'Data shares'!$C:$FB,63)</f>
        <v>11873250</v>
      </c>
      <c r="O124" s="140">
        <f>VLOOKUP($A124,'Data shares'!$C:$FB,65)*100</f>
        <v>50.99</v>
      </c>
    </row>
    <row r="125" spans="1:15" x14ac:dyDescent="0.25">
      <c r="A125" s="101" t="str">
        <f>'Data Vlaue (Cr)'!C120</f>
        <v>LTIM</v>
      </c>
      <c r="B125" s="50">
        <f>VLOOKUP($A125,'Data shares'!$C:$FB,7)</f>
        <v>5515.5</v>
      </c>
      <c r="C125" s="50">
        <f>VLOOKUP($A125,'Data shares'!$C:$FB,10)*100</f>
        <v>-2.59</v>
      </c>
      <c r="D125" s="49">
        <f>VLOOKUP($A125,'Data shares'!$C:$FB,66)</f>
        <v>3277950</v>
      </c>
      <c r="E125" s="49">
        <f>VLOOKUP($A125,'Data shares'!$C:$FB,67)</f>
        <v>2556900</v>
      </c>
      <c r="F125" s="50">
        <f>VLOOKUP($A125,'Data shares'!$C:$FB,69)*100</f>
        <v>28.199999999999996</v>
      </c>
      <c r="G125" s="49">
        <f>VLOOKUP($A125,'Data shares'!$C:$FB,42)</f>
        <v>665400</v>
      </c>
      <c r="H125" s="49">
        <f>VLOOKUP($A125,'Data shares'!$C:$FB,43)</f>
        <v>472050</v>
      </c>
      <c r="I125" s="50">
        <f>VLOOKUP($A125,'Data shares'!$C:$FB,45)*100</f>
        <v>40.96</v>
      </c>
      <c r="J125" s="49">
        <f>VLOOKUP($A125,'Data shares'!$C:$FB,58)</f>
        <v>1576800</v>
      </c>
      <c r="K125" s="49">
        <f>VLOOKUP($A125,'Data shares'!$C:$FB,59)</f>
        <v>1322400</v>
      </c>
      <c r="L125" s="50">
        <f>VLOOKUP($A125,'Data shares'!$C:$FB,61)*100</f>
        <v>19.239999999999998</v>
      </c>
      <c r="M125" s="49">
        <f>VLOOKUP($A125,'Data shares'!$C:$FB,62)</f>
        <v>1035750</v>
      </c>
      <c r="N125" s="49">
        <f>VLOOKUP($A125,'Data shares'!$C:$FB,63)</f>
        <v>762450</v>
      </c>
      <c r="O125" s="140">
        <f>VLOOKUP($A125,'Data shares'!$C:$FB,65)*100</f>
        <v>35.839999999999996</v>
      </c>
    </row>
    <row r="126" spans="1:15" x14ac:dyDescent="0.25">
      <c r="A126" s="101" t="str">
        <f>'Data Vlaue (Cr)'!C121</f>
        <v>LUPIN</v>
      </c>
      <c r="B126" s="50">
        <f>VLOOKUP($A126,'Data shares'!$C:$FB,7)</f>
        <v>2209.1</v>
      </c>
      <c r="C126" s="50">
        <f>VLOOKUP($A126,'Data shares'!$C:$FB,10)*100</f>
        <v>0.22999999999999998</v>
      </c>
      <c r="D126" s="49">
        <f>VLOOKUP($A126,'Data shares'!$C:$FB,66)</f>
        <v>11468200</v>
      </c>
      <c r="E126" s="49">
        <f>VLOOKUP($A126,'Data shares'!$C:$FB,67)</f>
        <v>11919550</v>
      </c>
      <c r="F126" s="50">
        <f>VLOOKUP($A126,'Data shares'!$C:$FB,69)*100</f>
        <v>-3.7900000000000005</v>
      </c>
      <c r="G126" s="49">
        <f>VLOOKUP($A126,'Data shares'!$C:$FB,42)</f>
        <v>1989425</v>
      </c>
      <c r="H126" s="49">
        <f>VLOOKUP($A126,'Data shares'!$C:$FB,43)</f>
        <v>2668150</v>
      </c>
      <c r="I126" s="50">
        <f>VLOOKUP($A126,'Data shares'!$C:$FB,45)*100</f>
        <v>-25.44</v>
      </c>
      <c r="J126" s="49">
        <f>VLOOKUP($A126,'Data shares'!$C:$FB,58)</f>
        <v>7139150</v>
      </c>
      <c r="K126" s="49">
        <f>VLOOKUP($A126,'Data shares'!$C:$FB,59)</f>
        <v>6658050</v>
      </c>
      <c r="L126" s="50">
        <f>VLOOKUP($A126,'Data shares'!$C:$FB,61)*100</f>
        <v>7.23</v>
      </c>
      <c r="M126" s="49">
        <f>VLOOKUP($A126,'Data shares'!$C:$FB,62)</f>
        <v>2339625</v>
      </c>
      <c r="N126" s="49">
        <f>VLOOKUP($A126,'Data shares'!$C:$FB,63)</f>
        <v>2593350</v>
      </c>
      <c r="O126" s="140">
        <f>VLOOKUP($A126,'Data shares'!$C:$FB,65)*100</f>
        <v>-9.7799999999999994</v>
      </c>
    </row>
    <row r="127" spans="1:15" x14ac:dyDescent="0.25">
      <c r="A127" s="101" t="str">
        <f>'Data Vlaue (Cr)'!C122</f>
        <v>M&amp;M</v>
      </c>
      <c r="B127" s="50">
        <f>VLOOKUP($A127,'Data shares'!$C:$FB,7)</f>
        <v>3674.9</v>
      </c>
      <c r="C127" s="50">
        <f>VLOOKUP($A127,'Data shares'!$C:$FB,10)*100</f>
        <v>-0.02</v>
      </c>
      <c r="D127" s="49">
        <f>VLOOKUP($A127,'Data shares'!$C:$FB,66)</f>
        <v>101391000</v>
      </c>
      <c r="E127" s="49">
        <f>VLOOKUP($A127,'Data shares'!$C:$FB,67)</f>
        <v>21190800</v>
      </c>
      <c r="F127" s="50">
        <f>VLOOKUP($A127,'Data shares'!$C:$FB,69)*100</f>
        <v>378.46999999999997</v>
      </c>
      <c r="G127" s="49">
        <f>VLOOKUP($A127,'Data shares'!$C:$FB,42)</f>
        <v>6833000</v>
      </c>
      <c r="H127" s="49">
        <f>VLOOKUP($A127,'Data shares'!$C:$FB,43)</f>
        <v>2012400</v>
      </c>
      <c r="I127" s="50">
        <f>VLOOKUP($A127,'Data shares'!$C:$FB,45)*100</f>
        <v>239.54</v>
      </c>
      <c r="J127" s="49">
        <f>VLOOKUP($A127,'Data shares'!$C:$FB,58)</f>
        <v>67313800</v>
      </c>
      <c r="K127" s="49">
        <f>VLOOKUP($A127,'Data shares'!$C:$FB,59)</f>
        <v>14207800</v>
      </c>
      <c r="L127" s="50">
        <f>VLOOKUP($A127,'Data shares'!$C:$FB,61)*100</f>
        <v>373.78</v>
      </c>
      <c r="M127" s="49">
        <f>VLOOKUP($A127,'Data shares'!$C:$FB,62)</f>
        <v>27244200</v>
      </c>
      <c r="N127" s="49">
        <f>VLOOKUP($A127,'Data shares'!$C:$FB,63)</f>
        <v>4970600</v>
      </c>
      <c r="O127" s="140">
        <f>VLOOKUP($A127,'Data shares'!$C:$FB,65)*100</f>
        <v>448.10999999999996</v>
      </c>
    </row>
    <row r="128" spans="1:15" x14ac:dyDescent="0.25">
      <c r="A128" s="101" t="str">
        <f>'Data Vlaue (Cr)'!C123</f>
        <v>MANAPPURAM</v>
      </c>
      <c r="B128" s="50">
        <f>VLOOKUP($A128,'Data shares'!$C:$FB,7)</f>
        <v>302.55</v>
      </c>
      <c r="C128" s="50">
        <f>VLOOKUP($A128,'Data shares'!$C:$FB,10)*100</f>
        <v>-2.0699999999999998</v>
      </c>
      <c r="D128" s="49">
        <f>VLOOKUP($A128,'Data shares'!$C:$FB,66)</f>
        <v>85254000</v>
      </c>
      <c r="E128" s="49">
        <f>VLOOKUP($A128,'Data shares'!$C:$FB,67)</f>
        <v>66567000</v>
      </c>
      <c r="F128" s="50">
        <f>VLOOKUP($A128,'Data shares'!$C:$FB,69)*100</f>
        <v>28.07</v>
      </c>
      <c r="G128" s="49">
        <f>VLOOKUP($A128,'Data shares'!$C:$FB,42)</f>
        <v>22449000</v>
      </c>
      <c r="H128" s="49">
        <f>VLOOKUP($A128,'Data shares'!$C:$FB,43)</f>
        <v>16995000</v>
      </c>
      <c r="I128" s="50">
        <f>VLOOKUP($A128,'Data shares'!$C:$FB,45)*100</f>
        <v>32.090000000000003</v>
      </c>
      <c r="J128" s="49">
        <f>VLOOKUP($A128,'Data shares'!$C:$FB,58)</f>
        <v>35346000</v>
      </c>
      <c r="K128" s="49">
        <f>VLOOKUP($A128,'Data shares'!$C:$FB,59)</f>
        <v>32367000</v>
      </c>
      <c r="L128" s="50">
        <f>VLOOKUP($A128,'Data shares'!$C:$FB,61)*100</f>
        <v>9.1999999999999993</v>
      </c>
      <c r="M128" s="49">
        <f>VLOOKUP($A128,'Data shares'!$C:$FB,62)</f>
        <v>27459000</v>
      </c>
      <c r="N128" s="49">
        <f>VLOOKUP($A128,'Data shares'!$C:$FB,63)</f>
        <v>17205000</v>
      </c>
      <c r="O128" s="140">
        <f>VLOOKUP($A128,'Data shares'!$C:$FB,65)*100</f>
        <v>59.599999999999994</v>
      </c>
    </row>
    <row r="129" spans="1:15" x14ac:dyDescent="0.25">
      <c r="A129" s="101" t="str">
        <f>'Data Vlaue (Cr)'!C124</f>
        <v>MANKIND</v>
      </c>
      <c r="B129" s="50">
        <f>VLOOKUP($A129,'Data shares'!$C:$FB,7)</f>
        <v>2087</v>
      </c>
      <c r="C129" s="50">
        <f>VLOOKUP($A129,'Data shares'!$C:$FB,10)*100</f>
        <v>0.67</v>
      </c>
      <c r="D129" s="49">
        <f>VLOOKUP($A129,'Data shares'!$C:$FB,66)</f>
        <v>1362150</v>
      </c>
      <c r="E129" s="49">
        <f>VLOOKUP($A129,'Data shares'!$C:$FB,67)</f>
        <v>1155150</v>
      </c>
      <c r="F129" s="50">
        <f>VLOOKUP($A129,'Data shares'!$C:$FB,69)*100</f>
        <v>17.919999999999998</v>
      </c>
      <c r="G129" s="49">
        <f>VLOOKUP($A129,'Data shares'!$C:$FB,42)</f>
        <v>263700</v>
      </c>
      <c r="H129" s="49">
        <f>VLOOKUP($A129,'Data shares'!$C:$FB,43)</f>
        <v>324225</v>
      </c>
      <c r="I129" s="50">
        <f>VLOOKUP($A129,'Data shares'!$C:$FB,45)*100</f>
        <v>-18.670000000000002</v>
      </c>
      <c r="J129" s="49">
        <f>VLOOKUP($A129,'Data shares'!$C:$FB,58)</f>
        <v>918900</v>
      </c>
      <c r="K129" s="49">
        <f>VLOOKUP($A129,'Data shares'!$C:$FB,59)</f>
        <v>668025</v>
      </c>
      <c r="L129" s="50">
        <f>VLOOKUP($A129,'Data shares'!$C:$FB,61)*100</f>
        <v>37.549999999999997</v>
      </c>
      <c r="M129" s="49">
        <f>VLOOKUP($A129,'Data shares'!$C:$FB,62)</f>
        <v>179550</v>
      </c>
      <c r="N129" s="49">
        <f>VLOOKUP($A129,'Data shares'!$C:$FB,63)</f>
        <v>162900</v>
      </c>
      <c r="O129" s="140">
        <f>VLOOKUP($A129,'Data shares'!$C:$FB,65)*100</f>
        <v>10.220000000000001</v>
      </c>
    </row>
    <row r="130" spans="1:15" x14ac:dyDescent="0.25">
      <c r="A130" s="101" t="str">
        <f>'Data Vlaue (Cr)'!C125</f>
        <v>MARICO</v>
      </c>
      <c r="B130" s="50">
        <f>VLOOKUP($A130,'Data shares'!$C:$FB,7)</f>
        <v>770.4</v>
      </c>
      <c r="C130" s="50">
        <f>VLOOKUP($A130,'Data shares'!$C:$FB,10)*100</f>
        <v>0.73</v>
      </c>
      <c r="D130" s="49">
        <f>VLOOKUP($A130,'Data shares'!$C:$FB,66)</f>
        <v>16827600</v>
      </c>
      <c r="E130" s="49">
        <f>VLOOKUP($A130,'Data shares'!$C:$FB,67)</f>
        <v>14114400</v>
      </c>
      <c r="F130" s="50">
        <f>VLOOKUP($A130,'Data shares'!$C:$FB,69)*100</f>
        <v>19.220000000000002</v>
      </c>
      <c r="G130" s="49">
        <f>VLOOKUP($A130,'Data shares'!$C:$FB,42)</f>
        <v>1668000</v>
      </c>
      <c r="H130" s="49">
        <f>VLOOKUP($A130,'Data shares'!$C:$FB,43)</f>
        <v>1862400</v>
      </c>
      <c r="I130" s="50">
        <f>VLOOKUP($A130,'Data shares'!$C:$FB,45)*100</f>
        <v>-10.440000000000001</v>
      </c>
      <c r="J130" s="49">
        <f>VLOOKUP($A130,'Data shares'!$C:$FB,58)</f>
        <v>10530000</v>
      </c>
      <c r="K130" s="49">
        <f>VLOOKUP($A130,'Data shares'!$C:$FB,59)</f>
        <v>8541600</v>
      </c>
      <c r="L130" s="50">
        <f>VLOOKUP($A130,'Data shares'!$C:$FB,61)*100</f>
        <v>23.28</v>
      </c>
      <c r="M130" s="49">
        <f>VLOOKUP($A130,'Data shares'!$C:$FB,62)</f>
        <v>4629600</v>
      </c>
      <c r="N130" s="49">
        <f>VLOOKUP($A130,'Data shares'!$C:$FB,63)</f>
        <v>3710400</v>
      </c>
      <c r="O130" s="140">
        <f>VLOOKUP($A130,'Data shares'!$C:$FB,65)*100</f>
        <v>24.77</v>
      </c>
    </row>
    <row r="131" spans="1:15" x14ac:dyDescent="0.25">
      <c r="A131" s="101" t="str">
        <f>'Data Vlaue (Cr)'!C126</f>
        <v>MARUTI</v>
      </c>
      <c r="B131" s="50">
        <f>VLOOKUP($A131,'Data shares'!$C:$FB,7)</f>
        <v>15412</v>
      </c>
      <c r="C131" s="50">
        <f>VLOOKUP($A131,'Data shares'!$C:$FB,10)*100</f>
        <v>1.76</v>
      </c>
      <c r="D131" s="49">
        <f>VLOOKUP($A131,'Data shares'!$C:$FB,66)</f>
        <v>11361850</v>
      </c>
      <c r="E131" s="49">
        <f>VLOOKUP($A131,'Data shares'!$C:$FB,67)</f>
        <v>12636000</v>
      </c>
      <c r="F131" s="50">
        <f>VLOOKUP($A131,'Data shares'!$C:$FB,69)*100</f>
        <v>-10.08</v>
      </c>
      <c r="G131" s="49">
        <f>VLOOKUP($A131,'Data shares'!$C:$FB,42)</f>
        <v>582250</v>
      </c>
      <c r="H131" s="49">
        <f>VLOOKUP($A131,'Data shares'!$C:$FB,43)</f>
        <v>558450</v>
      </c>
      <c r="I131" s="50">
        <f>VLOOKUP($A131,'Data shares'!$C:$FB,45)*100</f>
        <v>4.26</v>
      </c>
      <c r="J131" s="49">
        <f>VLOOKUP($A131,'Data shares'!$C:$FB,58)</f>
        <v>7522450</v>
      </c>
      <c r="K131" s="49">
        <f>VLOOKUP($A131,'Data shares'!$C:$FB,59)</f>
        <v>8535250</v>
      </c>
      <c r="L131" s="50">
        <f>VLOOKUP($A131,'Data shares'!$C:$FB,61)*100</f>
        <v>-11.87</v>
      </c>
      <c r="M131" s="49">
        <f>VLOOKUP($A131,'Data shares'!$C:$FB,62)</f>
        <v>3257150</v>
      </c>
      <c r="N131" s="49">
        <f>VLOOKUP($A131,'Data shares'!$C:$FB,63)</f>
        <v>3542300</v>
      </c>
      <c r="O131" s="140">
        <f>VLOOKUP($A131,'Data shares'!$C:$FB,65)*100</f>
        <v>-8.0500000000000007</v>
      </c>
    </row>
    <row r="132" spans="1:15" x14ac:dyDescent="0.25">
      <c r="A132" s="101" t="str">
        <f>'Data Vlaue (Cr)'!C127</f>
        <v>MAXHEALTH</v>
      </c>
      <c r="B132" s="50">
        <f>VLOOKUP($A132,'Data shares'!$C:$FB,7)</f>
        <v>1055.1500000000001</v>
      </c>
      <c r="C132" s="50">
        <f>VLOOKUP($A132,'Data shares'!$C:$FB,10)*100</f>
        <v>3.29</v>
      </c>
      <c r="D132" s="49">
        <f>VLOOKUP($A132,'Data shares'!$C:$FB,66)</f>
        <v>34741350</v>
      </c>
      <c r="E132" s="49">
        <f>VLOOKUP($A132,'Data shares'!$C:$FB,67)</f>
        <v>8402625</v>
      </c>
      <c r="F132" s="50">
        <f>VLOOKUP($A132,'Data shares'!$C:$FB,69)*100</f>
        <v>313.45999999999998</v>
      </c>
      <c r="G132" s="49">
        <f>VLOOKUP($A132,'Data shares'!$C:$FB,42)</f>
        <v>4485600</v>
      </c>
      <c r="H132" s="49">
        <f>VLOOKUP($A132,'Data shares'!$C:$FB,43)</f>
        <v>2392950</v>
      </c>
      <c r="I132" s="50">
        <f>VLOOKUP($A132,'Data shares'!$C:$FB,45)*100</f>
        <v>87.45</v>
      </c>
      <c r="J132" s="49">
        <f>VLOOKUP($A132,'Data shares'!$C:$FB,58)</f>
        <v>23814525</v>
      </c>
      <c r="K132" s="49">
        <f>VLOOKUP($A132,'Data shares'!$C:$FB,59)</f>
        <v>4093425</v>
      </c>
      <c r="L132" s="50">
        <f>VLOOKUP($A132,'Data shares'!$C:$FB,61)*100</f>
        <v>481.78000000000003</v>
      </c>
      <c r="M132" s="49">
        <f>VLOOKUP($A132,'Data shares'!$C:$FB,62)</f>
        <v>6441225</v>
      </c>
      <c r="N132" s="49">
        <f>VLOOKUP($A132,'Data shares'!$C:$FB,63)</f>
        <v>1916250</v>
      </c>
      <c r="O132" s="140">
        <f>VLOOKUP($A132,'Data shares'!$C:$FB,65)*100</f>
        <v>236.14000000000001</v>
      </c>
    </row>
    <row r="133" spans="1:15" x14ac:dyDescent="0.25">
      <c r="A133" s="101" t="str">
        <f>'Data Vlaue (Cr)'!C128</f>
        <v>MAZDOCK</v>
      </c>
      <c r="B133" s="50">
        <f>VLOOKUP($A133,'Data shares'!$C:$FB,7)</f>
        <v>2430.6</v>
      </c>
      <c r="C133" s="50">
        <f>VLOOKUP($A133,'Data shares'!$C:$FB,10)*100</f>
        <v>-0.35000000000000003</v>
      </c>
      <c r="D133" s="49">
        <f>VLOOKUP($A133,'Data shares'!$C:$FB,66)</f>
        <v>3742200</v>
      </c>
      <c r="E133" s="49">
        <f>VLOOKUP($A133,'Data shares'!$C:$FB,67)</f>
        <v>4413200</v>
      </c>
      <c r="F133" s="50">
        <f>VLOOKUP($A133,'Data shares'!$C:$FB,69)*100</f>
        <v>-15.2</v>
      </c>
      <c r="G133" s="49">
        <f>VLOOKUP($A133,'Data shares'!$C:$FB,42)</f>
        <v>678000</v>
      </c>
      <c r="H133" s="49">
        <f>VLOOKUP($A133,'Data shares'!$C:$FB,43)</f>
        <v>787800</v>
      </c>
      <c r="I133" s="50">
        <f>VLOOKUP($A133,'Data shares'!$C:$FB,45)*100</f>
        <v>-13.94</v>
      </c>
      <c r="J133" s="49">
        <f>VLOOKUP($A133,'Data shares'!$C:$FB,58)</f>
        <v>2406800</v>
      </c>
      <c r="K133" s="49">
        <f>VLOOKUP($A133,'Data shares'!$C:$FB,59)</f>
        <v>2923800</v>
      </c>
      <c r="L133" s="50">
        <f>VLOOKUP($A133,'Data shares'!$C:$FB,61)*100</f>
        <v>-17.68</v>
      </c>
      <c r="M133" s="49">
        <f>VLOOKUP($A133,'Data shares'!$C:$FB,62)</f>
        <v>657400</v>
      </c>
      <c r="N133" s="49">
        <f>VLOOKUP($A133,'Data shares'!$C:$FB,63)</f>
        <v>701600</v>
      </c>
      <c r="O133" s="140">
        <f>VLOOKUP($A133,'Data shares'!$C:$FB,65)*100</f>
        <v>-6.3</v>
      </c>
    </row>
    <row r="134" spans="1:15" x14ac:dyDescent="0.25">
      <c r="A134" s="101" t="str">
        <f>'Data Vlaue (Cr)'!C129</f>
        <v>MCX</v>
      </c>
      <c r="B134" s="50">
        <f>VLOOKUP($A134,'Data shares'!$C:$FB,7)</f>
        <v>2372.8000000000002</v>
      </c>
      <c r="C134" s="50">
        <f>VLOOKUP($A134,'Data shares'!$C:$FB,10)*100</f>
        <v>-3.9600000000000004</v>
      </c>
      <c r="D134" s="49">
        <f>VLOOKUP($A134,'Data shares'!$C:$FB,66)</f>
        <v>54276875</v>
      </c>
      <c r="E134" s="49">
        <f>VLOOKUP($A134,'Data shares'!$C:$FB,67)</f>
        <v>33227500</v>
      </c>
      <c r="F134" s="50">
        <f>VLOOKUP($A134,'Data shares'!$C:$FB,69)*100</f>
        <v>63.349999999999994</v>
      </c>
      <c r="G134" s="49">
        <f>VLOOKUP($A134,'Data shares'!$C:$FB,42)</f>
        <v>9501875</v>
      </c>
      <c r="H134" s="49">
        <f>VLOOKUP($A134,'Data shares'!$C:$FB,43)</f>
        <v>4751875</v>
      </c>
      <c r="I134" s="50">
        <f>VLOOKUP($A134,'Data shares'!$C:$FB,45)*100</f>
        <v>99.960000000000008</v>
      </c>
      <c r="J134" s="49">
        <f>VLOOKUP($A134,'Data shares'!$C:$FB,58)</f>
        <v>29156875</v>
      </c>
      <c r="K134" s="49">
        <f>VLOOKUP($A134,'Data shares'!$C:$FB,59)</f>
        <v>19345000</v>
      </c>
      <c r="L134" s="50">
        <f>VLOOKUP($A134,'Data shares'!$C:$FB,61)*100</f>
        <v>50.72</v>
      </c>
      <c r="M134" s="49">
        <f>VLOOKUP($A134,'Data shares'!$C:$FB,62)</f>
        <v>15618125</v>
      </c>
      <c r="N134" s="49">
        <f>VLOOKUP($A134,'Data shares'!$C:$FB,63)</f>
        <v>9130625</v>
      </c>
      <c r="O134" s="140">
        <f>VLOOKUP($A134,'Data shares'!$C:$FB,65)*100</f>
        <v>71.05</v>
      </c>
    </row>
    <row r="135" spans="1:15" x14ac:dyDescent="0.25">
      <c r="A135" s="101" t="str">
        <f>'Data Vlaue (Cr)'!C130</f>
        <v>MFSL</v>
      </c>
      <c r="B135" s="50">
        <f>VLOOKUP($A135,'Data shares'!$C:$FB,7)</f>
        <v>1734.1</v>
      </c>
      <c r="C135" s="50">
        <f>VLOOKUP($A135,'Data shares'!$C:$FB,10)*100</f>
        <v>-0.75</v>
      </c>
      <c r="D135" s="49">
        <f>VLOOKUP($A135,'Data shares'!$C:$FB,66)</f>
        <v>10097600</v>
      </c>
      <c r="E135" s="49">
        <f>VLOOKUP($A135,'Data shares'!$C:$FB,67)</f>
        <v>4605200</v>
      </c>
      <c r="F135" s="50">
        <f>VLOOKUP($A135,'Data shares'!$C:$FB,69)*100</f>
        <v>119.27000000000001</v>
      </c>
      <c r="G135" s="49">
        <f>VLOOKUP($A135,'Data shares'!$C:$FB,42)</f>
        <v>1529600</v>
      </c>
      <c r="H135" s="49">
        <f>VLOOKUP($A135,'Data shares'!$C:$FB,43)</f>
        <v>1228000</v>
      </c>
      <c r="I135" s="50">
        <f>VLOOKUP($A135,'Data shares'!$C:$FB,45)*100</f>
        <v>24.560000000000002</v>
      </c>
      <c r="J135" s="49">
        <f>VLOOKUP($A135,'Data shares'!$C:$FB,58)</f>
        <v>5643600</v>
      </c>
      <c r="K135" s="49">
        <f>VLOOKUP($A135,'Data shares'!$C:$FB,59)</f>
        <v>2378400</v>
      </c>
      <c r="L135" s="50">
        <f>VLOOKUP($A135,'Data shares'!$C:$FB,61)*100</f>
        <v>137.29</v>
      </c>
      <c r="M135" s="49">
        <f>VLOOKUP($A135,'Data shares'!$C:$FB,62)</f>
        <v>2924400</v>
      </c>
      <c r="N135" s="49">
        <f>VLOOKUP($A135,'Data shares'!$C:$FB,63)</f>
        <v>998800</v>
      </c>
      <c r="O135" s="140">
        <f>VLOOKUP($A135,'Data shares'!$C:$FB,65)*100</f>
        <v>192.79</v>
      </c>
    </row>
    <row r="136" spans="1:15" x14ac:dyDescent="0.25">
      <c r="A136" s="101" t="str">
        <f>'Data Vlaue (Cr)'!C131</f>
        <v>MIDCPNIFTY</v>
      </c>
      <c r="B136" s="50">
        <f>VLOOKUP($A136,'Data shares'!$C:$FB,7)</f>
        <v>13952.8</v>
      </c>
      <c r="C136" s="50">
        <f>VLOOKUP($A136,'Data shares'!$C:$FB,10)*100</f>
        <v>0</v>
      </c>
      <c r="D136" s="49">
        <f>VLOOKUP($A136,'Data shares'!$C:$FB,66)</f>
        <v>25361400</v>
      </c>
      <c r="E136" s="49">
        <f>VLOOKUP($A136,'Data shares'!$C:$FB,67)</f>
        <v>27109440</v>
      </c>
      <c r="F136" s="50">
        <f>VLOOKUP($A136,'Data shares'!$C:$FB,69)*100</f>
        <v>-6.45</v>
      </c>
      <c r="G136" s="49">
        <f>VLOOKUP($A136,'Data shares'!$C:$FB,42)</f>
        <v>516600</v>
      </c>
      <c r="H136" s="49">
        <f>VLOOKUP($A136,'Data shares'!$C:$FB,43)</f>
        <v>439320</v>
      </c>
      <c r="I136" s="50">
        <f>VLOOKUP($A136,'Data shares'!$C:$FB,45)*100</f>
        <v>17.59</v>
      </c>
      <c r="J136" s="49">
        <f>VLOOKUP($A136,'Data shares'!$C:$FB,58)</f>
        <v>12523800</v>
      </c>
      <c r="K136" s="49">
        <f>VLOOKUP($A136,'Data shares'!$C:$FB,59)</f>
        <v>13880040</v>
      </c>
      <c r="L136" s="50">
        <f>VLOOKUP($A136,'Data shares'!$C:$FB,61)*100</f>
        <v>-9.77</v>
      </c>
      <c r="M136" s="49">
        <f>VLOOKUP($A136,'Data shares'!$C:$FB,62)</f>
        <v>12321000</v>
      </c>
      <c r="N136" s="49">
        <f>VLOOKUP($A136,'Data shares'!$C:$FB,63)</f>
        <v>12790080</v>
      </c>
      <c r="O136" s="140">
        <f>VLOOKUP($A136,'Data shares'!$C:$FB,65)*100</f>
        <v>-3.6700000000000004</v>
      </c>
    </row>
    <row r="137" spans="1:15" x14ac:dyDescent="0.25">
      <c r="A137" s="101" t="str">
        <f>'Data Vlaue (Cr)'!C132</f>
        <v>MOTHERSON</v>
      </c>
      <c r="B137" s="50">
        <f>VLOOKUP($A137,'Data shares'!$C:$FB,7)</f>
        <v>130.16999999999999</v>
      </c>
      <c r="C137" s="50">
        <f>VLOOKUP($A137,'Data shares'!$C:$FB,10)*100</f>
        <v>0.57000000000000006</v>
      </c>
      <c r="D137" s="49">
        <f>VLOOKUP($A137,'Data shares'!$C:$FB,66)</f>
        <v>593124450</v>
      </c>
      <c r="E137" s="49">
        <f>VLOOKUP($A137,'Data shares'!$C:$FB,67)</f>
        <v>657355050</v>
      </c>
      <c r="F137" s="50">
        <f>VLOOKUP($A137,'Data shares'!$C:$FB,69)*100</f>
        <v>-9.77</v>
      </c>
      <c r="G137" s="49">
        <f>VLOOKUP($A137,'Data shares'!$C:$FB,42)</f>
        <v>100595550</v>
      </c>
      <c r="H137" s="49">
        <f>VLOOKUP($A137,'Data shares'!$C:$FB,43)</f>
        <v>110244900</v>
      </c>
      <c r="I137" s="50">
        <f>VLOOKUP($A137,'Data shares'!$C:$FB,45)*100</f>
        <v>-8.75</v>
      </c>
      <c r="J137" s="49">
        <f>VLOOKUP($A137,'Data shares'!$C:$FB,58)</f>
        <v>320562600</v>
      </c>
      <c r="K137" s="49">
        <f>VLOOKUP($A137,'Data shares'!$C:$FB,59)</f>
        <v>409959000</v>
      </c>
      <c r="L137" s="50">
        <f>VLOOKUP($A137,'Data shares'!$C:$FB,61)*100</f>
        <v>-21.81</v>
      </c>
      <c r="M137" s="49">
        <f>VLOOKUP($A137,'Data shares'!$C:$FB,62)</f>
        <v>171966300</v>
      </c>
      <c r="N137" s="49">
        <f>VLOOKUP($A137,'Data shares'!$C:$FB,63)</f>
        <v>137151150</v>
      </c>
      <c r="O137" s="140">
        <f>VLOOKUP($A137,'Data shares'!$C:$FB,65)*100</f>
        <v>25.380000000000003</v>
      </c>
    </row>
    <row r="138" spans="1:15" x14ac:dyDescent="0.25">
      <c r="A138" s="101" t="str">
        <f>'Data Vlaue (Cr)'!C133</f>
        <v>MPHASIS</v>
      </c>
      <c r="B138" s="50">
        <f>VLOOKUP($A138,'Data shares'!$C:$FB,7)</f>
        <v>2588.1999999999998</v>
      </c>
      <c r="C138" s="50">
        <f>VLOOKUP($A138,'Data shares'!$C:$FB,10)*100</f>
        <v>-0.9900000000000001</v>
      </c>
      <c r="D138" s="49">
        <f>VLOOKUP($A138,'Data shares'!$C:$FB,66)</f>
        <v>3919850</v>
      </c>
      <c r="E138" s="49">
        <f>VLOOKUP($A138,'Data shares'!$C:$FB,67)</f>
        <v>2554200</v>
      </c>
      <c r="F138" s="50">
        <f>VLOOKUP($A138,'Data shares'!$C:$FB,69)*100</f>
        <v>53.47</v>
      </c>
      <c r="G138" s="49">
        <f>VLOOKUP($A138,'Data shares'!$C:$FB,42)</f>
        <v>790900</v>
      </c>
      <c r="H138" s="49">
        <f>VLOOKUP($A138,'Data shares'!$C:$FB,43)</f>
        <v>741950</v>
      </c>
      <c r="I138" s="50">
        <f>VLOOKUP($A138,'Data shares'!$C:$FB,45)*100</f>
        <v>6.6000000000000005</v>
      </c>
      <c r="J138" s="49">
        <f>VLOOKUP($A138,'Data shares'!$C:$FB,58)</f>
        <v>1803450</v>
      </c>
      <c r="K138" s="49">
        <f>VLOOKUP($A138,'Data shares'!$C:$FB,59)</f>
        <v>1365925</v>
      </c>
      <c r="L138" s="50">
        <f>VLOOKUP($A138,'Data shares'!$C:$FB,61)*100</f>
        <v>32.029999999999994</v>
      </c>
      <c r="M138" s="49">
        <f>VLOOKUP($A138,'Data shares'!$C:$FB,62)</f>
        <v>1325500</v>
      </c>
      <c r="N138" s="49">
        <f>VLOOKUP($A138,'Data shares'!$C:$FB,63)</f>
        <v>446325</v>
      </c>
      <c r="O138" s="140">
        <f>VLOOKUP($A138,'Data shares'!$C:$FB,65)*100</f>
        <v>196.98</v>
      </c>
    </row>
    <row r="139" spans="1:15" x14ac:dyDescent="0.25">
      <c r="A139" s="101" t="str">
        <f>'Data Vlaue (Cr)'!C134</f>
        <v>MUTHOOTFIN</v>
      </c>
      <c r="B139" s="50">
        <f>VLOOKUP($A139,'Data shares'!$C:$FB,7)</f>
        <v>3933.2</v>
      </c>
      <c r="C139" s="50">
        <f>VLOOKUP($A139,'Data shares'!$C:$FB,10)*100</f>
        <v>1.32</v>
      </c>
      <c r="D139" s="49">
        <f>VLOOKUP($A139,'Data shares'!$C:$FB,66)</f>
        <v>10541300</v>
      </c>
      <c r="E139" s="49">
        <f>VLOOKUP($A139,'Data shares'!$C:$FB,67)</f>
        <v>11313500</v>
      </c>
      <c r="F139" s="50">
        <f>VLOOKUP($A139,'Data shares'!$C:$FB,69)*100</f>
        <v>-6.83</v>
      </c>
      <c r="G139" s="49">
        <f>VLOOKUP($A139,'Data shares'!$C:$FB,42)</f>
        <v>1292500</v>
      </c>
      <c r="H139" s="49">
        <f>VLOOKUP($A139,'Data shares'!$C:$FB,43)</f>
        <v>1498750</v>
      </c>
      <c r="I139" s="50">
        <f>VLOOKUP($A139,'Data shares'!$C:$FB,45)*100</f>
        <v>-13.76</v>
      </c>
      <c r="J139" s="49">
        <f>VLOOKUP($A139,'Data shares'!$C:$FB,58)</f>
        <v>7611450</v>
      </c>
      <c r="K139" s="49">
        <f>VLOOKUP($A139,'Data shares'!$C:$FB,59)</f>
        <v>7720900</v>
      </c>
      <c r="L139" s="50">
        <f>VLOOKUP($A139,'Data shares'!$C:$FB,61)*100</f>
        <v>-1.4200000000000002</v>
      </c>
      <c r="M139" s="49">
        <f>VLOOKUP($A139,'Data shares'!$C:$FB,62)</f>
        <v>1637350</v>
      </c>
      <c r="N139" s="49">
        <f>VLOOKUP($A139,'Data shares'!$C:$FB,63)</f>
        <v>2093850</v>
      </c>
      <c r="O139" s="140">
        <f>VLOOKUP($A139,'Data shares'!$C:$FB,65)*100</f>
        <v>-21.8</v>
      </c>
    </row>
    <row r="140" spans="1:15" x14ac:dyDescent="0.25">
      <c r="A140" s="101" t="str">
        <f>'Data Vlaue (Cr)'!C135</f>
        <v>NATIONALUM</v>
      </c>
      <c r="B140" s="50">
        <f>VLOOKUP($A140,'Data shares'!$C:$FB,7)</f>
        <v>367.7</v>
      </c>
      <c r="C140" s="50">
        <f>VLOOKUP($A140,'Data shares'!$C:$FB,10)*100</f>
        <v>-0.26</v>
      </c>
      <c r="D140" s="49">
        <f>VLOOKUP($A140,'Data shares'!$C:$FB,66)</f>
        <v>85638750</v>
      </c>
      <c r="E140" s="49">
        <f>VLOOKUP($A140,'Data shares'!$C:$FB,67)</f>
        <v>72078750</v>
      </c>
      <c r="F140" s="50">
        <f>VLOOKUP($A140,'Data shares'!$C:$FB,69)*100</f>
        <v>18.809999999999999</v>
      </c>
      <c r="G140" s="49">
        <f>VLOOKUP($A140,'Data shares'!$C:$FB,42)</f>
        <v>16387500</v>
      </c>
      <c r="H140" s="49">
        <f>VLOOKUP($A140,'Data shares'!$C:$FB,43)</f>
        <v>13440000</v>
      </c>
      <c r="I140" s="50">
        <f>VLOOKUP($A140,'Data shares'!$C:$FB,45)*100</f>
        <v>21.93</v>
      </c>
      <c r="J140" s="49">
        <f>VLOOKUP($A140,'Data shares'!$C:$FB,58)</f>
        <v>43023750</v>
      </c>
      <c r="K140" s="49">
        <f>VLOOKUP($A140,'Data shares'!$C:$FB,59)</f>
        <v>37068750</v>
      </c>
      <c r="L140" s="50">
        <f>VLOOKUP($A140,'Data shares'!$C:$FB,61)*100</f>
        <v>16.059999999999999</v>
      </c>
      <c r="M140" s="49">
        <f>VLOOKUP($A140,'Data shares'!$C:$FB,62)</f>
        <v>26227500</v>
      </c>
      <c r="N140" s="49">
        <f>VLOOKUP($A140,'Data shares'!$C:$FB,63)</f>
        <v>21570000</v>
      </c>
      <c r="O140" s="140">
        <f>VLOOKUP($A140,'Data shares'!$C:$FB,65)*100</f>
        <v>21.59</v>
      </c>
    </row>
    <row r="141" spans="1:15" x14ac:dyDescent="0.25">
      <c r="A141" s="101" t="str">
        <f>'Data Vlaue (Cr)'!C136</f>
        <v>NAUKRI</v>
      </c>
      <c r="B141" s="50">
        <f>VLOOKUP($A141,'Data shares'!$C:$FB,7)</f>
        <v>1171.7</v>
      </c>
      <c r="C141" s="50">
        <f>VLOOKUP($A141,'Data shares'!$C:$FB,10)*100</f>
        <v>-1.8900000000000001</v>
      </c>
      <c r="D141" s="49">
        <f>VLOOKUP($A141,'Data shares'!$C:$FB,66)</f>
        <v>13886625</v>
      </c>
      <c r="E141" s="49">
        <f>VLOOKUP($A141,'Data shares'!$C:$FB,67)</f>
        <v>9424125</v>
      </c>
      <c r="F141" s="50">
        <f>VLOOKUP($A141,'Data shares'!$C:$FB,69)*100</f>
        <v>47.349999999999994</v>
      </c>
      <c r="G141" s="49">
        <f>VLOOKUP($A141,'Data shares'!$C:$FB,42)</f>
        <v>2845875</v>
      </c>
      <c r="H141" s="49">
        <f>VLOOKUP($A141,'Data shares'!$C:$FB,43)</f>
        <v>2032125</v>
      </c>
      <c r="I141" s="50">
        <f>VLOOKUP($A141,'Data shares'!$C:$FB,45)*100</f>
        <v>40.04</v>
      </c>
      <c r="J141" s="49">
        <f>VLOOKUP($A141,'Data shares'!$C:$FB,58)</f>
        <v>6644250</v>
      </c>
      <c r="K141" s="49">
        <f>VLOOKUP($A141,'Data shares'!$C:$FB,59)</f>
        <v>5601750</v>
      </c>
      <c r="L141" s="50">
        <f>VLOOKUP($A141,'Data shares'!$C:$FB,61)*100</f>
        <v>18.61</v>
      </c>
      <c r="M141" s="49">
        <f>VLOOKUP($A141,'Data shares'!$C:$FB,62)</f>
        <v>4396500</v>
      </c>
      <c r="N141" s="49">
        <f>VLOOKUP($A141,'Data shares'!$C:$FB,63)</f>
        <v>1790250</v>
      </c>
      <c r="O141" s="140">
        <f>VLOOKUP($A141,'Data shares'!$C:$FB,65)*100</f>
        <v>145.57999999999998</v>
      </c>
    </row>
    <row r="142" spans="1:15" x14ac:dyDescent="0.25">
      <c r="A142" s="101" t="str">
        <f>'Data Vlaue (Cr)'!C137</f>
        <v>NBCC</v>
      </c>
      <c r="B142" s="50">
        <f>VLOOKUP($A142,'Data shares'!$C:$FB,7)</f>
        <v>101.68</v>
      </c>
      <c r="C142" s="50">
        <f>VLOOKUP($A142,'Data shares'!$C:$FB,10)*100</f>
        <v>0.24</v>
      </c>
      <c r="D142" s="49">
        <f>VLOOKUP($A142,'Data shares'!$C:$FB,66)</f>
        <v>45825000</v>
      </c>
      <c r="E142" s="49">
        <f>VLOOKUP($A142,'Data shares'!$C:$FB,67)</f>
        <v>35360000</v>
      </c>
      <c r="F142" s="50">
        <f>VLOOKUP($A142,'Data shares'!$C:$FB,69)*100</f>
        <v>29.599999999999998</v>
      </c>
      <c r="G142" s="49">
        <f>VLOOKUP($A142,'Data shares'!$C:$FB,42)</f>
        <v>16120000</v>
      </c>
      <c r="H142" s="49">
        <f>VLOOKUP($A142,'Data shares'!$C:$FB,43)</f>
        <v>10647000</v>
      </c>
      <c r="I142" s="50">
        <f>VLOOKUP($A142,'Data shares'!$C:$FB,45)*100</f>
        <v>51.4</v>
      </c>
      <c r="J142" s="49">
        <f>VLOOKUP($A142,'Data shares'!$C:$FB,58)</f>
        <v>22139000</v>
      </c>
      <c r="K142" s="49">
        <f>VLOOKUP($A142,'Data shares'!$C:$FB,59)</f>
        <v>18674500</v>
      </c>
      <c r="L142" s="50">
        <f>VLOOKUP($A142,'Data shares'!$C:$FB,61)*100</f>
        <v>18.55</v>
      </c>
      <c r="M142" s="49">
        <f>VLOOKUP($A142,'Data shares'!$C:$FB,62)</f>
        <v>7566000</v>
      </c>
      <c r="N142" s="49">
        <f>VLOOKUP($A142,'Data shares'!$C:$FB,63)</f>
        <v>6038500</v>
      </c>
      <c r="O142" s="140">
        <f>VLOOKUP($A142,'Data shares'!$C:$FB,65)*100</f>
        <v>25.3</v>
      </c>
    </row>
    <row r="143" spans="1:15" x14ac:dyDescent="0.25">
      <c r="A143" s="101" t="str">
        <f>'Data Vlaue (Cr)'!C138</f>
        <v>NESTLEIND</v>
      </c>
      <c r="B143" s="50">
        <f>VLOOKUP($A143,'Data shares'!$C:$FB,7)</f>
        <v>1305.3</v>
      </c>
      <c r="C143" s="50">
        <f>VLOOKUP($A143,'Data shares'!$C:$FB,10)*100</f>
        <v>-0.25</v>
      </c>
      <c r="D143" s="49">
        <f>VLOOKUP($A143,'Data shares'!$C:$FB,66)</f>
        <v>9836000</v>
      </c>
      <c r="E143" s="49">
        <f>VLOOKUP($A143,'Data shares'!$C:$FB,67)</f>
        <v>6410500</v>
      </c>
      <c r="F143" s="50">
        <f>VLOOKUP($A143,'Data shares'!$C:$FB,69)*100</f>
        <v>53.44</v>
      </c>
      <c r="G143" s="49">
        <f>VLOOKUP($A143,'Data shares'!$C:$FB,42)</f>
        <v>1639000</v>
      </c>
      <c r="H143" s="49">
        <f>VLOOKUP($A143,'Data shares'!$C:$FB,43)</f>
        <v>1079500</v>
      </c>
      <c r="I143" s="50">
        <f>VLOOKUP($A143,'Data shares'!$C:$FB,45)*100</f>
        <v>51.83</v>
      </c>
      <c r="J143" s="49">
        <f>VLOOKUP($A143,'Data shares'!$C:$FB,58)</f>
        <v>6006000</v>
      </c>
      <c r="K143" s="49">
        <f>VLOOKUP($A143,'Data shares'!$C:$FB,59)</f>
        <v>4263500</v>
      </c>
      <c r="L143" s="50">
        <f>VLOOKUP($A143,'Data shares'!$C:$FB,61)*100</f>
        <v>40.869999999999997</v>
      </c>
      <c r="M143" s="49">
        <f>VLOOKUP($A143,'Data shares'!$C:$FB,62)</f>
        <v>2191000</v>
      </c>
      <c r="N143" s="49">
        <f>VLOOKUP($A143,'Data shares'!$C:$FB,63)</f>
        <v>1067500</v>
      </c>
      <c r="O143" s="140">
        <f>VLOOKUP($A143,'Data shares'!$C:$FB,65)*100</f>
        <v>105.25</v>
      </c>
    </row>
    <row r="144" spans="1:15" x14ac:dyDescent="0.25">
      <c r="A144" s="101" t="str">
        <f>'Data Vlaue (Cr)'!C139</f>
        <v>NHPC</v>
      </c>
      <c r="B144" s="50">
        <f>VLOOKUP($A144,'Data shares'!$C:$FB,7)</f>
        <v>77.58</v>
      </c>
      <c r="C144" s="50">
        <f>VLOOKUP($A144,'Data shares'!$C:$FB,10)*100</f>
        <v>0.82000000000000006</v>
      </c>
      <c r="D144" s="49">
        <f>VLOOKUP($A144,'Data shares'!$C:$FB,66)</f>
        <v>60832000</v>
      </c>
      <c r="E144" s="49">
        <f>VLOOKUP($A144,'Data shares'!$C:$FB,67)</f>
        <v>54771200</v>
      </c>
      <c r="F144" s="50">
        <f>VLOOKUP($A144,'Data shares'!$C:$FB,69)*100</f>
        <v>11.07</v>
      </c>
      <c r="G144" s="49">
        <f>VLOOKUP($A144,'Data shares'!$C:$FB,42)</f>
        <v>12550400</v>
      </c>
      <c r="H144" s="49">
        <f>VLOOKUP($A144,'Data shares'!$C:$FB,43)</f>
        <v>11654400</v>
      </c>
      <c r="I144" s="50">
        <f>VLOOKUP($A144,'Data shares'!$C:$FB,45)*100</f>
        <v>7.6899999999999995</v>
      </c>
      <c r="J144" s="49">
        <f>VLOOKUP($A144,'Data shares'!$C:$FB,58)</f>
        <v>32345600</v>
      </c>
      <c r="K144" s="49">
        <f>VLOOKUP($A144,'Data shares'!$C:$FB,59)</f>
        <v>29030400</v>
      </c>
      <c r="L144" s="50">
        <f>VLOOKUP($A144,'Data shares'!$C:$FB,61)*100</f>
        <v>11.42</v>
      </c>
      <c r="M144" s="49">
        <f>VLOOKUP($A144,'Data shares'!$C:$FB,62)</f>
        <v>15936000</v>
      </c>
      <c r="N144" s="49">
        <f>VLOOKUP($A144,'Data shares'!$C:$FB,63)</f>
        <v>14086400</v>
      </c>
      <c r="O144" s="140">
        <f>VLOOKUP($A144,'Data shares'!$C:$FB,65)*100</f>
        <v>13.13</v>
      </c>
    </row>
    <row r="145" spans="1:15" x14ac:dyDescent="0.25">
      <c r="A145" s="101" t="str">
        <f>'Data Vlaue (Cr)'!C140</f>
        <v>NIFTY</v>
      </c>
      <c r="B145" s="50">
        <f>VLOOKUP($A145,'Data shares'!$C:$FB,7)</f>
        <v>25953.85</v>
      </c>
      <c r="C145" s="50">
        <f>VLOOKUP($A145,'Data shares'!$C:$FB,10)*100</f>
        <v>6.9999999999999993E-2</v>
      </c>
      <c r="D145" s="49">
        <f>VLOOKUP($A145,'Data shares'!$C:$FB,66)</f>
        <v>3318049280</v>
      </c>
      <c r="E145" s="49">
        <f>VLOOKUP($A145,'Data shares'!$C:$FB,67)</f>
        <v>22717567665</v>
      </c>
      <c r="F145" s="50">
        <f>VLOOKUP($A145,'Data shares'!$C:$FB,69)*100</f>
        <v>-85.39</v>
      </c>
      <c r="G145" s="49">
        <f>VLOOKUP($A145,'Data shares'!$C:$FB,42)</f>
        <v>3799510</v>
      </c>
      <c r="H145" s="49">
        <f>VLOOKUP($A145,'Data shares'!$C:$FB,43)</f>
        <v>4329845</v>
      </c>
      <c r="I145" s="50">
        <f>VLOOKUP($A145,'Data shares'!$C:$FB,45)*100</f>
        <v>-12.25</v>
      </c>
      <c r="J145" s="49">
        <f>VLOOKUP($A145,'Data shares'!$C:$FB,58)</f>
        <v>1598228970</v>
      </c>
      <c r="K145" s="49">
        <f>VLOOKUP($A145,'Data shares'!$C:$FB,59)</f>
        <v>11090627795</v>
      </c>
      <c r="L145" s="50">
        <f>VLOOKUP($A145,'Data shares'!$C:$FB,61)*100</f>
        <v>-85.59</v>
      </c>
      <c r="M145" s="49">
        <f>VLOOKUP($A145,'Data shares'!$C:$FB,62)</f>
        <v>1716020800</v>
      </c>
      <c r="N145" s="49">
        <f>VLOOKUP($A145,'Data shares'!$C:$FB,63)</f>
        <v>11622610025</v>
      </c>
      <c r="O145" s="140">
        <f>VLOOKUP($A145,'Data shares'!$C:$FB,65)*100</f>
        <v>-85.240000000000009</v>
      </c>
    </row>
    <row r="146" spans="1:15" x14ac:dyDescent="0.25">
      <c r="A146" s="101" t="str">
        <f>'Data Vlaue (Cr)'!C141</f>
        <v>NIFTYNXT50</v>
      </c>
      <c r="B146" s="50">
        <f>VLOOKUP($A146,'Data shares'!$C:$FB,7)</f>
        <v>70216.55</v>
      </c>
      <c r="C146" s="50">
        <f>VLOOKUP($A146,'Data shares'!$C:$FB,10)*100</f>
        <v>0.54999999999999993</v>
      </c>
      <c r="D146" s="49">
        <f>VLOOKUP($A146,'Data shares'!$C:$FB,66)</f>
        <v>27375</v>
      </c>
      <c r="E146" s="49">
        <f>VLOOKUP($A146,'Data shares'!$C:$FB,67)</f>
        <v>15750</v>
      </c>
      <c r="F146" s="50">
        <f>VLOOKUP($A146,'Data shares'!$C:$FB,69)*100</f>
        <v>73.81</v>
      </c>
      <c r="G146" s="49">
        <f>VLOOKUP($A146,'Data shares'!$C:$FB,42)</f>
        <v>6200</v>
      </c>
      <c r="H146" s="49">
        <f>VLOOKUP($A146,'Data shares'!$C:$FB,43)</f>
        <v>4350</v>
      </c>
      <c r="I146" s="50">
        <f>VLOOKUP($A146,'Data shares'!$C:$FB,45)*100</f>
        <v>42.53</v>
      </c>
      <c r="J146" s="49">
        <f>VLOOKUP($A146,'Data shares'!$C:$FB,58)</f>
        <v>11075</v>
      </c>
      <c r="K146" s="49">
        <f>VLOOKUP($A146,'Data shares'!$C:$FB,59)</f>
        <v>5425</v>
      </c>
      <c r="L146" s="50">
        <f>VLOOKUP($A146,'Data shares'!$C:$FB,61)*100</f>
        <v>104.15</v>
      </c>
      <c r="M146" s="49">
        <f>VLOOKUP($A146,'Data shares'!$C:$FB,62)</f>
        <v>10100</v>
      </c>
      <c r="N146" s="49">
        <f>VLOOKUP($A146,'Data shares'!$C:$FB,63)</f>
        <v>5975</v>
      </c>
      <c r="O146" s="140">
        <f>VLOOKUP($A146,'Data shares'!$C:$FB,65)*100</f>
        <v>69.040000000000006</v>
      </c>
    </row>
    <row r="147" spans="1:15" x14ac:dyDescent="0.25">
      <c r="A147" s="101" t="str">
        <f>'Data Vlaue (Cr)'!C142</f>
        <v>NMDC</v>
      </c>
      <c r="B147" s="50">
        <f>VLOOKUP($A147,'Data shares'!$C:$FB,7)</f>
        <v>85.46</v>
      </c>
      <c r="C147" s="50">
        <f>VLOOKUP($A147,'Data shares'!$C:$FB,10)*100</f>
        <v>0.45999999999999996</v>
      </c>
      <c r="D147" s="49">
        <f>VLOOKUP($A147,'Data shares'!$C:$FB,66)</f>
        <v>230323500</v>
      </c>
      <c r="E147" s="49">
        <f>VLOOKUP($A147,'Data shares'!$C:$FB,67)</f>
        <v>224727750</v>
      </c>
      <c r="F147" s="50">
        <f>VLOOKUP($A147,'Data shares'!$C:$FB,69)*100</f>
        <v>2.4899999999999998</v>
      </c>
      <c r="G147" s="49">
        <f>VLOOKUP($A147,'Data shares'!$C:$FB,42)</f>
        <v>50544000</v>
      </c>
      <c r="H147" s="49">
        <f>VLOOKUP($A147,'Data shares'!$C:$FB,43)</f>
        <v>52906500</v>
      </c>
      <c r="I147" s="50">
        <f>VLOOKUP($A147,'Data shares'!$C:$FB,45)*100</f>
        <v>-4.47</v>
      </c>
      <c r="J147" s="49">
        <f>VLOOKUP($A147,'Data shares'!$C:$FB,58)</f>
        <v>131895000</v>
      </c>
      <c r="K147" s="49">
        <f>VLOOKUP($A147,'Data shares'!$C:$FB,59)</f>
        <v>130349250</v>
      </c>
      <c r="L147" s="50">
        <f>VLOOKUP($A147,'Data shares'!$C:$FB,61)*100</f>
        <v>1.1900000000000002</v>
      </c>
      <c r="M147" s="49">
        <f>VLOOKUP($A147,'Data shares'!$C:$FB,62)</f>
        <v>47884500</v>
      </c>
      <c r="N147" s="49">
        <f>VLOOKUP($A147,'Data shares'!$C:$FB,63)</f>
        <v>41472000</v>
      </c>
      <c r="O147" s="140">
        <f>VLOOKUP($A147,'Data shares'!$C:$FB,65)*100</f>
        <v>15.459999999999999</v>
      </c>
    </row>
    <row r="148" spans="1:15" x14ac:dyDescent="0.25">
      <c r="A148" s="101" t="str">
        <f>'Data Vlaue (Cr)'!C143</f>
        <v>NTPC</v>
      </c>
      <c r="B148" s="50">
        <f>VLOOKUP($A148,'Data shares'!$C:$FB,7)</f>
        <v>368.45</v>
      </c>
      <c r="C148" s="50">
        <f>VLOOKUP($A148,'Data shares'!$C:$FB,10)*100</f>
        <v>0.42</v>
      </c>
      <c r="D148" s="49">
        <f>VLOOKUP($A148,'Data shares'!$C:$FB,66)</f>
        <v>95293500</v>
      </c>
      <c r="E148" s="49">
        <f>VLOOKUP($A148,'Data shares'!$C:$FB,67)</f>
        <v>119232000</v>
      </c>
      <c r="F148" s="50">
        <f>VLOOKUP($A148,'Data shares'!$C:$FB,69)*100</f>
        <v>-20.080000000000002</v>
      </c>
      <c r="G148" s="49">
        <f>VLOOKUP($A148,'Data shares'!$C:$FB,42)</f>
        <v>7953000</v>
      </c>
      <c r="H148" s="49">
        <f>VLOOKUP($A148,'Data shares'!$C:$FB,43)</f>
        <v>9484500</v>
      </c>
      <c r="I148" s="50">
        <f>VLOOKUP($A148,'Data shares'!$C:$FB,45)*100</f>
        <v>-16.150000000000002</v>
      </c>
      <c r="J148" s="49">
        <f>VLOOKUP($A148,'Data shares'!$C:$FB,58)</f>
        <v>60481500</v>
      </c>
      <c r="K148" s="49">
        <f>VLOOKUP($A148,'Data shares'!$C:$FB,59)</f>
        <v>72564000</v>
      </c>
      <c r="L148" s="50">
        <f>VLOOKUP($A148,'Data shares'!$C:$FB,61)*100</f>
        <v>-16.650000000000002</v>
      </c>
      <c r="M148" s="49">
        <f>VLOOKUP($A148,'Data shares'!$C:$FB,62)</f>
        <v>26859000</v>
      </c>
      <c r="N148" s="49">
        <f>VLOOKUP($A148,'Data shares'!$C:$FB,63)</f>
        <v>37183500</v>
      </c>
      <c r="O148" s="140">
        <f>VLOOKUP($A148,'Data shares'!$C:$FB,65)*100</f>
        <v>-27.77</v>
      </c>
    </row>
    <row r="149" spans="1:15" x14ac:dyDescent="0.25">
      <c r="A149" s="101" t="str">
        <f>'Data Vlaue (Cr)'!C144</f>
        <v>NUVAMA</v>
      </c>
      <c r="B149" s="50">
        <f>VLOOKUP($A149,'Data shares'!$C:$FB,7)</f>
        <v>1324.2</v>
      </c>
      <c r="C149" s="50">
        <f>VLOOKUP($A149,'Data shares'!$C:$FB,10)*100</f>
        <v>-4.46</v>
      </c>
      <c r="D149" s="49">
        <f>VLOOKUP($A149,'Data shares'!$C:$FB,66)</f>
        <v>6585000</v>
      </c>
      <c r="E149" s="49">
        <f>VLOOKUP($A149,'Data shares'!$C:$FB,67)</f>
        <v>3417000</v>
      </c>
      <c r="F149" s="50">
        <f>VLOOKUP($A149,'Data shares'!$C:$FB,69)*100</f>
        <v>92.710000000000008</v>
      </c>
      <c r="G149" s="49">
        <f>VLOOKUP($A149,'Data shares'!$C:$FB,42)</f>
        <v>1846500</v>
      </c>
      <c r="H149" s="49">
        <f>VLOOKUP($A149,'Data shares'!$C:$FB,43)</f>
        <v>1005000</v>
      </c>
      <c r="I149" s="50">
        <f>VLOOKUP($A149,'Data shares'!$C:$FB,45)*100</f>
        <v>83.73</v>
      </c>
      <c r="J149" s="49">
        <f>VLOOKUP($A149,'Data shares'!$C:$FB,58)</f>
        <v>2777500</v>
      </c>
      <c r="K149" s="49">
        <f>VLOOKUP($A149,'Data shares'!$C:$FB,59)</f>
        <v>1866500</v>
      </c>
      <c r="L149" s="50">
        <f>VLOOKUP($A149,'Data shares'!$C:$FB,61)*100</f>
        <v>48.809999999999995</v>
      </c>
      <c r="M149" s="49">
        <f>VLOOKUP($A149,'Data shares'!$C:$FB,62)</f>
        <v>1961000</v>
      </c>
      <c r="N149" s="49">
        <f>VLOOKUP($A149,'Data shares'!$C:$FB,63)</f>
        <v>545500</v>
      </c>
      <c r="O149" s="140">
        <f>VLOOKUP($A149,'Data shares'!$C:$FB,65)*100</f>
        <v>259.49</v>
      </c>
    </row>
    <row r="150" spans="1:15" x14ac:dyDescent="0.25">
      <c r="A150" s="101" t="str">
        <f>'Data Vlaue (Cr)'!C145</f>
        <v>NYKAA</v>
      </c>
      <c r="B150" s="50">
        <f>VLOOKUP($A150,'Data shares'!$C:$FB,7)</f>
        <v>277.54000000000002</v>
      </c>
      <c r="C150" s="50">
        <f>VLOOKUP($A150,'Data shares'!$C:$FB,10)*100</f>
        <v>-1.1199999999999999</v>
      </c>
      <c r="D150" s="49">
        <f>VLOOKUP($A150,'Data shares'!$C:$FB,66)</f>
        <v>48696875</v>
      </c>
      <c r="E150" s="49">
        <f>VLOOKUP($A150,'Data shares'!$C:$FB,67)</f>
        <v>60081250</v>
      </c>
      <c r="F150" s="50">
        <f>VLOOKUP($A150,'Data shares'!$C:$FB,69)*100</f>
        <v>-18.95</v>
      </c>
      <c r="G150" s="49">
        <f>VLOOKUP($A150,'Data shares'!$C:$FB,42)</f>
        <v>7665625</v>
      </c>
      <c r="H150" s="49">
        <f>VLOOKUP($A150,'Data shares'!$C:$FB,43)</f>
        <v>11612500</v>
      </c>
      <c r="I150" s="50">
        <f>VLOOKUP($A150,'Data shares'!$C:$FB,45)*100</f>
        <v>-33.989999999999995</v>
      </c>
      <c r="J150" s="49">
        <f>VLOOKUP($A150,'Data shares'!$C:$FB,58)</f>
        <v>24937500</v>
      </c>
      <c r="K150" s="49">
        <f>VLOOKUP($A150,'Data shares'!$C:$FB,59)</f>
        <v>33125000</v>
      </c>
      <c r="L150" s="50">
        <f>VLOOKUP($A150,'Data shares'!$C:$FB,61)*100</f>
        <v>-24.72</v>
      </c>
      <c r="M150" s="49">
        <f>VLOOKUP($A150,'Data shares'!$C:$FB,62)</f>
        <v>16093750</v>
      </c>
      <c r="N150" s="49">
        <f>VLOOKUP($A150,'Data shares'!$C:$FB,63)</f>
        <v>15343750</v>
      </c>
      <c r="O150" s="140">
        <f>VLOOKUP($A150,'Data shares'!$C:$FB,65)*100</f>
        <v>4.8899999999999997</v>
      </c>
    </row>
    <row r="151" spans="1:15" x14ac:dyDescent="0.25">
      <c r="A151" s="101" t="str">
        <f>'Data Vlaue (Cr)'!C146</f>
        <v>OBEROIRLTY</v>
      </c>
      <c r="B151" s="50">
        <f>VLOOKUP($A151,'Data shares'!$C:$FB,7)</f>
        <v>1577.3</v>
      </c>
      <c r="C151" s="50">
        <f>VLOOKUP($A151,'Data shares'!$C:$FB,10)*100</f>
        <v>0.54</v>
      </c>
      <c r="D151" s="49">
        <f>VLOOKUP($A151,'Data shares'!$C:$FB,66)</f>
        <v>2339400</v>
      </c>
      <c r="E151" s="49">
        <f>VLOOKUP($A151,'Data shares'!$C:$FB,67)</f>
        <v>2948400</v>
      </c>
      <c r="F151" s="50">
        <f>VLOOKUP($A151,'Data shares'!$C:$FB,69)*100</f>
        <v>-20.66</v>
      </c>
      <c r="G151" s="49">
        <f>VLOOKUP($A151,'Data shares'!$C:$FB,42)</f>
        <v>506100</v>
      </c>
      <c r="H151" s="49">
        <f>VLOOKUP($A151,'Data shares'!$C:$FB,43)</f>
        <v>571200</v>
      </c>
      <c r="I151" s="50">
        <f>VLOOKUP($A151,'Data shares'!$C:$FB,45)*100</f>
        <v>-11.4</v>
      </c>
      <c r="J151" s="49">
        <f>VLOOKUP($A151,'Data shares'!$C:$FB,58)</f>
        <v>1319850</v>
      </c>
      <c r="K151" s="49">
        <f>VLOOKUP($A151,'Data shares'!$C:$FB,59)</f>
        <v>1556100</v>
      </c>
      <c r="L151" s="50">
        <f>VLOOKUP($A151,'Data shares'!$C:$FB,61)*100</f>
        <v>-15.18</v>
      </c>
      <c r="M151" s="49">
        <f>VLOOKUP($A151,'Data shares'!$C:$FB,62)</f>
        <v>513450</v>
      </c>
      <c r="N151" s="49">
        <f>VLOOKUP($A151,'Data shares'!$C:$FB,63)</f>
        <v>821100</v>
      </c>
      <c r="O151" s="140">
        <f>VLOOKUP($A151,'Data shares'!$C:$FB,65)*100</f>
        <v>-37.47</v>
      </c>
    </row>
    <row r="152" spans="1:15" x14ac:dyDescent="0.25">
      <c r="A152" s="101" t="str">
        <f>'Data Vlaue (Cr)'!C147</f>
        <v>OFSS</v>
      </c>
      <c r="B152" s="50">
        <f>VLOOKUP($A152,'Data shares'!$C:$FB,7)</f>
        <v>7217.5</v>
      </c>
      <c r="C152" s="50">
        <f>VLOOKUP($A152,'Data shares'!$C:$FB,10)*100</f>
        <v>-1.7000000000000002</v>
      </c>
      <c r="D152" s="49">
        <f>VLOOKUP($A152,'Data shares'!$C:$FB,66)</f>
        <v>984600</v>
      </c>
      <c r="E152" s="49">
        <f>VLOOKUP($A152,'Data shares'!$C:$FB,67)</f>
        <v>933375</v>
      </c>
      <c r="F152" s="50">
        <f>VLOOKUP($A152,'Data shares'!$C:$FB,69)*100</f>
        <v>5.4899999999999993</v>
      </c>
      <c r="G152" s="49">
        <f>VLOOKUP($A152,'Data shares'!$C:$FB,42)</f>
        <v>153000</v>
      </c>
      <c r="H152" s="49">
        <f>VLOOKUP($A152,'Data shares'!$C:$FB,43)</f>
        <v>159150</v>
      </c>
      <c r="I152" s="50">
        <f>VLOOKUP($A152,'Data shares'!$C:$FB,45)*100</f>
        <v>-3.8600000000000003</v>
      </c>
      <c r="J152" s="49">
        <f>VLOOKUP($A152,'Data shares'!$C:$FB,58)</f>
        <v>562650</v>
      </c>
      <c r="K152" s="49">
        <f>VLOOKUP($A152,'Data shares'!$C:$FB,59)</f>
        <v>597825</v>
      </c>
      <c r="L152" s="50">
        <f>VLOOKUP($A152,'Data shares'!$C:$FB,61)*100</f>
        <v>-5.88</v>
      </c>
      <c r="M152" s="49">
        <f>VLOOKUP($A152,'Data shares'!$C:$FB,62)</f>
        <v>268950</v>
      </c>
      <c r="N152" s="49">
        <f>VLOOKUP($A152,'Data shares'!$C:$FB,63)</f>
        <v>176400</v>
      </c>
      <c r="O152" s="140">
        <f>VLOOKUP($A152,'Data shares'!$C:$FB,65)*100</f>
        <v>52.470000000000006</v>
      </c>
    </row>
    <row r="153" spans="1:15" x14ac:dyDescent="0.25">
      <c r="A153" s="101" t="str">
        <f>'Data Vlaue (Cr)'!C148</f>
        <v>OIL</v>
      </c>
      <c r="B153" s="50">
        <f>VLOOKUP($A153,'Data shares'!$C:$FB,7)</f>
        <v>479.25</v>
      </c>
      <c r="C153" s="50">
        <f>VLOOKUP($A153,'Data shares'!$C:$FB,10)*100</f>
        <v>-1.96</v>
      </c>
      <c r="D153" s="49">
        <f>VLOOKUP($A153,'Data shares'!$C:$FB,66)</f>
        <v>58389800</v>
      </c>
      <c r="E153" s="49">
        <f>VLOOKUP($A153,'Data shares'!$C:$FB,67)</f>
        <v>30325400</v>
      </c>
      <c r="F153" s="50">
        <f>VLOOKUP($A153,'Data shares'!$C:$FB,69)*100</f>
        <v>92.54</v>
      </c>
      <c r="G153" s="49">
        <f>VLOOKUP($A153,'Data shares'!$C:$FB,42)</f>
        <v>12908000</v>
      </c>
      <c r="H153" s="49">
        <f>VLOOKUP($A153,'Data shares'!$C:$FB,43)</f>
        <v>5892600</v>
      </c>
      <c r="I153" s="50">
        <f>VLOOKUP($A153,'Data shares'!$C:$FB,45)*100</f>
        <v>119.04999999999998</v>
      </c>
      <c r="J153" s="49">
        <f>VLOOKUP($A153,'Data shares'!$C:$FB,58)</f>
        <v>31932600</v>
      </c>
      <c r="K153" s="49">
        <f>VLOOKUP($A153,'Data shares'!$C:$FB,59)</f>
        <v>17848600</v>
      </c>
      <c r="L153" s="50">
        <f>VLOOKUP($A153,'Data shares'!$C:$FB,61)*100</f>
        <v>78.91</v>
      </c>
      <c r="M153" s="49">
        <f>VLOOKUP($A153,'Data shares'!$C:$FB,62)</f>
        <v>13549200</v>
      </c>
      <c r="N153" s="49">
        <f>VLOOKUP($A153,'Data shares'!$C:$FB,63)</f>
        <v>6584200</v>
      </c>
      <c r="O153" s="140">
        <f>VLOOKUP($A153,'Data shares'!$C:$FB,65)*100</f>
        <v>105.78</v>
      </c>
    </row>
    <row r="154" spans="1:15" x14ac:dyDescent="0.25">
      <c r="A154" s="101" t="str">
        <f>'Data Vlaue (Cr)'!C149</f>
        <v>ONGC</v>
      </c>
      <c r="B154" s="50">
        <f>VLOOKUP($A154,'Data shares'!$C:$FB,7)</f>
        <v>274.60000000000002</v>
      </c>
      <c r="C154" s="50">
        <f>VLOOKUP($A154,'Data shares'!$C:$FB,10)*100</f>
        <v>0.89999999999999991</v>
      </c>
      <c r="D154" s="49">
        <f>VLOOKUP($A154,'Data shares'!$C:$FB,66)</f>
        <v>163008000</v>
      </c>
      <c r="E154" s="49">
        <f>VLOOKUP($A154,'Data shares'!$C:$FB,67)</f>
        <v>89068500</v>
      </c>
      <c r="F154" s="50">
        <f>VLOOKUP($A154,'Data shares'!$C:$FB,69)*100</f>
        <v>83.009999999999991</v>
      </c>
      <c r="G154" s="49">
        <f>VLOOKUP($A154,'Data shares'!$C:$FB,42)</f>
        <v>26084250</v>
      </c>
      <c r="H154" s="49">
        <f>VLOOKUP($A154,'Data shares'!$C:$FB,43)</f>
        <v>14575500</v>
      </c>
      <c r="I154" s="50">
        <f>VLOOKUP($A154,'Data shares'!$C:$FB,45)*100</f>
        <v>78.959999999999994</v>
      </c>
      <c r="J154" s="49">
        <f>VLOOKUP($A154,'Data shares'!$C:$FB,58)</f>
        <v>102609000</v>
      </c>
      <c r="K154" s="49">
        <f>VLOOKUP($A154,'Data shares'!$C:$FB,59)</f>
        <v>55919250</v>
      </c>
      <c r="L154" s="50">
        <f>VLOOKUP($A154,'Data shares'!$C:$FB,61)*100</f>
        <v>83.49</v>
      </c>
      <c r="M154" s="49">
        <f>VLOOKUP($A154,'Data shares'!$C:$FB,62)</f>
        <v>34314750</v>
      </c>
      <c r="N154" s="49">
        <f>VLOOKUP($A154,'Data shares'!$C:$FB,63)</f>
        <v>18573750</v>
      </c>
      <c r="O154" s="140">
        <f>VLOOKUP($A154,'Data shares'!$C:$FB,65)*100</f>
        <v>84.75</v>
      </c>
    </row>
    <row r="155" spans="1:15" x14ac:dyDescent="0.25">
      <c r="A155" s="101" t="str">
        <f>'Data Vlaue (Cr)'!C150</f>
        <v>PAGEIND</v>
      </c>
      <c r="B155" s="50">
        <f>VLOOKUP($A155,'Data shares'!$C:$FB,7)</f>
        <v>34360</v>
      </c>
      <c r="C155" s="50">
        <f>VLOOKUP($A155,'Data shares'!$C:$FB,10)*100</f>
        <v>-0.69</v>
      </c>
      <c r="D155" s="49">
        <f>VLOOKUP($A155,'Data shares'!$C:$FB,66)</f>
        <v>362370</v>
      </c>
      <c r="E155" s="49">
        <f>VLOOKUP($A155,'Data shares'!$C:$FB,67)</f>
        <v>298950</v>
      </c>
      <c r="F155" s="50">
        <f>VLOOKUP($A155,'Data shares'!$C:$FB,69)*100</f>
        <v>21.21</v>
      </c>
      <c r="G155" s="49">
        <f>VLOOKUP($A155,'Data shares'!$C:$FB,42)</f>
        <v>68490</v>
      </c>
      <c r="H155" s="49">
        <f>VLOOKUP($A155,'Data shares'!$C:$FB,43)</f>
        <v>34770</v>
      </c>
      <c r="I155" s="50">
        <f>VLOOKUP($A155,'Data shares'!$C:$FB,45)*100</f>
        <v>96.98</v>
      </c>
      <c r="J155" s="49">
        <f>VLOOKUP($A155,'Data shares'!$C:$FB,58)</f>
        <v>216945</v>
      </c>
      <c r="K155" s="49">
        <f>VLOOKUP($A155,'Data shares'!$C:$FB,59)</f>
        <v>196965</v>
      </c>
      <c r="L155" s="50">
        <f>VLOOKUP($A155,'Data shares'!$C:$FB,61)*100</f>
        <v>10.14</v>
      </c>
      <c r="M155" s="49">
        <f>VLOOKUP($A155,'Data shares'!$C:$FB,62)</f>
        <v>76935</v>
      </c>
      <c r="N155" s="49">
        <f>VLOOKUP($A155,'Data shares'!$C:$FB,63)</f>
        <v>67215</v>
      </c>
      <c r="O155" s="140">
        <f>VLOOKUP($A155,'Data shares'!$C:$FB,65)*100</f>
        <v>14.46</v>
      </c>
    </row>
    <row r="156" spans="1:15" x14ac:dyDescent="0.25">
      <c r="A156" s="101" t="str">
        <f>'Data Vlaue (Cr)'!C151</f>
        <v>PATANJALI</v>
      </c>
      <c r="B156" s="50">
        <f>VLOOKUP($A156,'Data shares'!$C:$FB,7)</f>
        <v>521.75</v>
      </c>
      <c r="C156" s="50">
        <f>VLOOKUP($A156,'Data shares'!$C:$FB,10)*100</f>
        <v>0.04</v>
      </c>
      <c r="D156" s="49">
        <f>VLOOKUP($A156,'Data shares'!$C:$FB,66)</f>
        <v>15056100</v>
      </c>
      <c r="E156" s="49">
        <f>VLOOKUP($A156,'Data shares'!$C:$FB,67)</f>
        <v>16194600</v>
      </c>
      <c r="F156" s="50">
        <f>VLOOKUP($A156,'Data shares'!$C:$FB,69)*100</f>
        <v>-7.03</v>
      </c>
      <c r="G156" s="49">
        <f>VLOOKUP($A156,'Data shares'!$C:$FB,42)</f>
        <v>3051000</v>
      </c>
      <c r="H156" s="49">
        <f>VLOOKUP($A156,'Data shares'!$C:$FB,43)</f>
        <v>4460400</v>
      </c>
      <c r="I156" s="50">
        <f>VLOOKUP($A156,'Data shares'!$C:$FB,45)*100</f>
        <v>-31.6</v>
      </c>
      <c r="J156" s="49">
        <f>VLOOKUP($A156,'Data shares'!$C:$FB,58)</f>
        <v>7825500</v>
      </c>
      <c r="K156" s="49">
        <f>VLOOKUP($A156,'Data shares'!$C:$FB,59)</f>
        <v>6510600</v>
      </c>
      <c r="L156" s="50">
        <f>VLOOKUP($A156,'Data shares'!$C:$FB,61)*100</f>
        <v>20.200000000000003</v>
      </c>
      <c r="M156" s="49">
        <f>VLOOKUP($A156,'Data shares'!$C:$FB,62)</f>
        <v>4179600</v>
      </c>
      <c r="N156" s="49">
        <f>VLOOKUP($A156,'Data shares'!$C:$FB,63)</f>
        <v>5223600</v>
      </c>
      <c r="O156" s="140">
        <f>VLOOKUP($A156,'Data shares'!$C:$FB,65)*100</f>
        <v>-19.989999999999998</v>
      </c>
    </row>
    <row r="157" spans="1:15" x14ac:dyDescent="0.25">
      <c r="A157" s="101" t="str">
        <f>'Data Vlaue (Cr)'!C152</f>
        <v>PAYTM</v>
      </c>
      <c r="B157" s="50">
        <f>VLOOKUP($A157,'Data shares'!$C:$FB,7)</f>
        <v>1160</v>
      </c>
      <c r="C157" s="50">
        <f>VLOOKUP($A157,'Data shares'!$C:$FB,10)*100</f>
        <v>-0.11</v>
      </c>
      <c r="D157" s="49">
        <f>VLOOKUP($A157,'Data shares'!$C:$FB,66)</f>
        <v>18101800</v>
      </c>
      <c r="E157" s="49">
        <f>VLOOKUP($A157,'Data shares'!$C:$FB,67)</f>
        <v>32793925</v>
      </c>
      <c r="F157" s="50">
        <f>VLOOKUP($A157,'Data shares'!$C:$FB,69)*100</f>
        <v>-44.800000000000004</v>
      </c>
      <c r="G157" s="49">
        <f>VLOOKUP($A157,'Data shares'!$C:$FB,42)</f>
        <v>3819300</v>
      </c>
      <c r="H157" s="49">
        <f>VLOOKUP($A157,'Data shares'!$C:$FB,43)</f>
        <v>6240800</v>
      </c>
      <c r="I157" s="50">
        <f>VLOOKUP($A157,'Data shares'!$C:$FB,45)*100</f>
        <v>-38.800000000000004</v>
      </c>
      <c r="J157" s="49">
        <f>VLOOKUP($A157,'Data shares'!$C:$FB,58)</f>
        <v>10616175</v>
      </c>
      <c r="K157" s="49">
        <f>VLOOKUP($A157,'Data shares'!$C:$FB,59)</f>
        <v>17477575</v>
      </c>
      <c r="L157" s="50">
        <f>VLOOKUP($A157,'Data shares'!$C:$FB,61)*100</f>
        <v>-39.26</v>
      </c>
      <c r="M157" s="49">
        <f>VLOOKUP($A157,'Data shares'!$C:$FB,62)</f>
        <v>3666325</v>
      </c>
      <c r="N157" s="49">
        <f>VLOOKUP($A157,'Data shares'!$C:$FB,63)</f>
        <v>9075550</v>
      </c>
      <c r="O157" s="140">
        <f>VLOOKUP($A157,'Data shares'!$C:$FB,65)*100</f>
        <v>-59.599999999999994</v>
      </c>
    </row>
    <row r="158" spans="1:15" x14ac:dyDescent="0.25">
      <c r="A158" s="101" t="str">
        <f>'Data Vlaue (Cr)'!C153</f>
        <v>PERSISTENT</v>
      </c>
      <c r="B158" s="50">
        <f>VLOOKUP($A158,'Data shares'!$C:$FB,7)</f>
        <v>5724</v>
      </c>
      <c r="C158" s="50">
        <f>VLOOKUP($A158,'Data shares'!$C:$FB,10)*100</f>
        <v>-2.5299999999999998</v>
      </c>
      <c r="D158" s="49">
        <f>VLOOKUP($A158,'Data shares'!$C:$FB,66)</f>
        <v>6864200</v>
      </c>
      <c r="E158" s="49">
        <f>VLOOKUP($A158,'Data shares'!$C:$FB,67)</f>
        <v>3124900</v>
      </c>
      <c r="F158" s="50">
        <f>VLOOKUP($A158,'Data shares'!$C:$FB,69)*100</f>
        <v>119.66000000000001</v>
      </c>
      <c r="G158" s="49">
        <f>VLOOKUP($A158,'Data shares'!$C:$FB,42)</f>
        <v>1206900</v>
      </c>
      <c r="H158" s="49">
        <f>VLOOKUP($A158,'Data shares'!$C:$FB,43)</f>
        <v>560300</v>
      </c>
      <c r="I158" s="50">
        <f>VLOOKUP($A158,'Data shares'!$C:$FB,45)*100</f>
        <v>115.39999999999999</v>
      </c>
      <c r="J158" s="49">
        <f>VLOOKUP($A158,'Data shares'!$C:$FB,58)</f>
        <v>3142700</v>
      </c>
      <c r="K158" s="49">
        <f>VLOOKUP($A158,'Data shares'!$C:$FB,59)</f>
        <v>1824000</v>
      </c>
      <c r="L158" s="50">
        <f>VLOOKUP($A158,'Data shares'!$C:$FB,61)*100</f>
        <v>72.3</v>
      </c>
      <c r="M158" s="49">
        <f>VLOOKUP($A158,'Data shares'!$C:$FB,62)</f>
        <v>2514600</v>
      </c>
      <c r="N158" s="49">
        <f>VLOOKUP($A158,'Data shares'!$C:$FB,63)</f>
        <v>740600</v>
      </c>
      <c r="O158" s="140">
        <f>VLOOKUP($A158,'Data shares'!$C:$FB,65)*100</f>
        <v>239.54</v>
      </c>
    </row>
    <row r="159" spans="1:15" x14ac:dyDescent="0.25">
      <c r="A159" s="101" t="str">
        <f>'Data Vlaue (Cr)'!C154</f>
        <v>PETRONET</v>
      </c>
      <c r="B159" s="50">
        <f>VLOOKUP($A159,'Data shares'!$C:$FB,7)</f>
        <v>303.89999999999998</v>
      </c>
      <c r="C159" s="50">
        <f>VLOOKUP($A159,'Data shares'!$C:$FB,10)*100</f>
        <v>6.9999999999999993E-2</v>
      </c>
      <c r="D159" s="49">
        <f>VLOOKUP($A159,'Data shares'!$C:$FB,66)</f>
        <v>16748500</v>
      </c>
      <c r="E159" s="49">
        <f>VLOOKUP($A159,'Data shares'!$C:$FB,67)</f>
        <v>30439900</v>
      </c>
      <c r="F159" s="50">
        <f>VLOOKUP($A159,'Data shares'!$C:$FB,69)*100</f>
        <v>-44.98</v>
      </c>
      <c r="G159" s="49">
        <f>VLOOKUP($A159,'Data shares'!$C:$FB,42)</f>
        <v>1884800</v>
      </c>
      <c r="H159" s="49">
        <f>VLOOKUP($A159,'Data shares'!$C:$FB,43)</f>
        <v>3883600</v>
      </c>
      <c r="I159" s="50">
        <f>VLOOKUP($A159,'Data shares'!$C:$FB,45)*100</f>
        <v>-51.470000000000006</v>
      </c>
      <c r="J159" s="49">
        <f>VLOOKUP($A159,'Data shares'!$C:$FB,58)</f>
        <v>10206800</v>
      </c>
      <c r="K159" s="49">
        <f>VLOOKUP($A159,'Data shares'!$C:$FB,59)</f>
        <v>21546000</v>
      </c>
      <c r="L159" s="50">
        <f>VLOOKUP($A159,'Data shares'!$C:$FB,61)*100</f>
        <v>-52.629999999999995</v>
      </c>
      <c r="M159" s="49">
        <f>VLOOKUP($A159,'Data shares'!$C:$FB,62)</f>
        <v>4656900</v>
      </c>
      <c r="N159" s="49">
        <f>VLOOKUP($A159,'Data shares'!$C:$FB,63)</f>
        <v>5010300</v>
      </c>
      <c r="O159" s="140">
        <f>VLOOKUP($A159,'Data shares'!$C:$FB,65)*100</f>
        <v>-7.0499999999999989</v>
      </c>
    </row>
    <row r="160" spans="1:15" x14ac:dyDescent="0.25">
      <c r="A160" s="101" t="str">
        <f>'Data Vlaue (Cr)'!C155</f>
        <v>PFC</v>
      </c>
      <c r="B160" s="50">
        <f>VLOOKUP($A160,'Data shares'!$C:$FB,7)</f>
        <v>415.85</v>
      </c>
      <c r="C160" s="50">
        <f>VLOOKUP($A160,'Data shares'!$C:$FB,10)*100</f>
        <v>0.63</v>
      </c>
      <c r="D160" s="49">
        <f>VLOOKUP($A160,'Data shares'!$C:$FB,66)</f>
        <v>49197200</v>
      </c>
      <c r="E160" s="49">
        <f>VLOOKUP($A160,'Data shares'!$C:$FB,67)</f>
        <v>76567400</v>
      </c>
      <c r="F160" s="50">
        <f>VLOOKUP($A160,'Data shares'!$C:$FB,69)*100</f>
        <v>-35.75</v>
      </c>
      <c r="G160" s="49">
        <f>VLOOKUP($A160,'Data shares'!$C:$FB,42)</f>
        <v>8816600</v>
      </c>
      <c r="H160" s="49">
        <f>VLOOKUP($A160,'Data shares'!$C:$FB,43)</f>
        <v>14354600</v>
      </c>
      <c r="I160" s="50">
        <f>VLOOKUP($A160,'Data shares'!$C:$FB,45)*100</f>
        <v>-38.58</v>
      </c>
      <c r="J160" s="49">
        <f>VLOOKUP($A160,'Data shares'!$C:$FB,58)</f>
        <v>26841100</v>
      </c>
      <c r="K160" s="49">
        <f>VLOOKUP($A160,'Data shares'!$C:$FB,59)</f>
        <v>41269800</v>
      </c>
      <c r="L160" s="50">
        <f>VLOOKUP($A160,'Data shares'!$C:$FB,61)*100</f>
        <v>-34.96</v>
      </c>
      <c r="M160" s="49">
        <f>VLOOKUP($A160,'Data shares'!$C:$FB,62)</f>
        <v>13539500</v>
      </c>
      <c r="N160" s="49">
        <f>VLOOKUP($A160,'Data shares'!$C:$FB,63)</f>
        <v>20943000</v>
      </c>
      <c r="O160" s="140">
        <f>VLOOKUP($A160,'Data shares'!$C:$FB,65)*100</f>
        <v>-35.35</v>
      </c>
    </row>
    <row r="161" spans="1:15" x14ac:dyDescent="0.25">
      <c r="A161" s="101" t="str">
        <f>'Data Vlaue (Cr)'!C156</f>
        <v>PGEL</v>
      </c>
      <c r="B161" s="50">
        <f>VLOOKUP($A161,'Data shares'!$C:$FB,7)</f>
        <v>617.75</v>
      </c>
      <c r="C161" s="50">
        <f>VLOOKUP($A161,'Data shares'!$C:$FB,10)*100</f>
        <v>2.65</v>
      </c>
      <c r="D161" s="49">
        <f>VLOOKUP($A161,'Data shares'!$C:$FB,66)</f>
        <v>33888400</v>
      </c>
      <c r="E161" s="49">
        <f>VLOOKUP($A161,'Data shares'!$C:$FB,67)</f>
        <v>46133900</v>
      </c>
      <c r="F161" s="50">
        <f>VLOOKUP($A161,'Data shares'!$C:$FB,69)*100</f>
        <v>-26.540000000000003</v>
      </c>
      <c r="G161" s="49">
        <f>VLOOKUP($A161,'Data shares'!$C:$FB,42)</f>
        <v>4466900</v>
      </c>
      <c r="H161" s="49">
        <f>VLOOKUP($A161,'Data shares'!$C:$FB,43)</f>
        <v>5179400</v>
      </c>
      <c r="I161" s="50">
        <f>VLOOKUP($A161,'Data shares'!$C:$FB,45)*100</f>
        <v>-13.76</v>
      </c>
      <c r="J161" s="49">
        <f>VLOOKUP($A161,'Data shares'!$C:$FB,58)</f>
        <v>20808800</v>
      </c>
      <c r="K161" s="49">
        <f>VLOOKUP($A161,'Data shares'!$C:$FB,59)</f>
        <v>31119150</v>
      </c>
      <c r="L161" s="50">
        <f>VLOOKUP($A161,'Data shares'!$C:$FB,61)*100</f>
        <v>-33.129999999999995</v>
      </c>
      <c r="M161" s="49">
        <f>VLOOKUP($A161,'Data shares'!$C:$FB,62)</f>
        <v>8612700</v>
      </c>
      <c r="N161" s="49">
        <f>VLOOKUP($A161,'Data shares'!$C:$FB,63)</f>
        <v>9835350</v>
      </c>
      <c r="O161" s="140">
        <f>VLOOKUP($A161,'Data shares'!$C:$FB,65)*100</f>
        <v>-12.43</v>
      </c>
    </row>
    <row r="162" spans="1:15" x14ac:dyDescent="0.25">
      <c r="A162" s="101" t="str">
        <f>'Data Vlaue (Cr)'!C157</f>
        <v>PHOENIXLTD</v>
      </c>
      <c r="B162" s="50">
        <f>VLOOKUP($A162,'Data shares'!$C:$FB,7)</f>
        <v>1784</v>
      </c>
      <c r="C162" s="50">
        <f>VLOOKUP($A162,'Data shares'!$C:$FB,10)*100</f>
        <v>1.44</v>
      </c>
      <c r="D162" s="49">
        <f>VLOOKUP($A162,'Data shares'!$C:$FB,66)</f>
        <v>6427750</v>
      </c>
      <c r="E162" s="49">
        <f>VLOOKUP($A162,'Data shares'!$C:$FB,67)</f>
        <v>2354450</v>
      </c>
      <c r="F162" s="50">
        <f>VLOOKUP($A162,'Data shares'!$C:$FB,69)*100</f>
        <v>173</v>
      </c>
      <c r="G162" s="49">
        <f>VLOOKUP($A162,'Data shares'!$C:$FB,42)</f>
        <v>630350</v>
      </c>
      <c r="H162" s="49">
        <f>VLOOKUP($A162,'Data shares'!$C:$FB,43)</f>
        <v>259350</v>
      </c>
      <c r="I162" s="50">
        <f>VLOOKUP($A162,'Data shares'!$C:$FB,45)*100</f>
        <v>143.05000000000001</v>
      </c>
      <c r="J162" s="49">
        <f>VLOOKUP($A162,'Data shares'!$C:$FB,58)</f>
        <v>3736250</v>
      </c>
      <c r="K162" s="49">
        <f>VLOOKUP($A162,'Data shares'!$C:$FB,59)</f>
        <v>1450400</v>
      </c>
      <c r="L162" s="50">
        <f>VLOOKUP($A162,'Data shares'!$C:$FB,61)*100</f>
        <v>157.6</v>
      </c>
      <c r="M162" s="49">
        <f>VLOOKUP($A162,'Data shares'!$C:$FB,62)</f>
        <v>2061150</v>
      </c>
      <c r="N162" s="49">
        <f>VLOOKUP($A162,'Data shares'!$C:$FB,63)</f>
        <v>644700</v>
      </c>
      <c r="O162" s="140">
        <f>VLOOKUP($A162,'Data shares'!$C:$FB,65)*100</f>
        <v>219.70999999999998</v>
      </c>
    </row>
    <row r="163" spans="1:15" x14ac:dyDescent="0.25">
      <c r="A163" s="101" t="str">
        <f>'Data Vlaue (Cr)'!C158</f>
        <v>PIDILITIND</v>
      </c>
      <c r="B163" s="50">
        <f>VLOOKUP($A163,'Data shares'!$C:$FB,7)</f>
        <v>1480.1</v>
      </c>
      <c r="C163" s="50">
        <f>VLOOKUP($A163,'Data shares'!$C:$FB,10)*100</f>
        <v>0.08</v>
      </c>
      <c r="D163" s="49">
        <f>VLOOKUP($A163,'Data shares'!$C:$FB,66)</f>
        <v>3408000</v>
      </c>
      <c r="E163" s="49">
        <f>VLOOKUP($A163,'Data shares'!$C:$FB,67)</f>
        <v>2891000</v>
      </c>
      <c r="F163" s="50">
        <f>VLOOKUP($A163,'Data shares'!$C:$FB,69)*100</f>
        <v>17.88</v>
      </c>
      <c r="G163" s="49">
        <f>VLOOKUP($A163,'Data shares'!$C:$FB,42)</f>
        <v>1051500</v>
      </c>
      <c r="H163" s="49">
        <f>VLOOKUP($A163,'Data shares'!$C:$FB,43)</f>
        <v>748500</v>
      </c>
      <c r="I163" s="50">
        <f>VLOOKUP($A163,'Data shares'!$C:$FB,45)*100</f>
        <v>40.479999999999997</v>
      </c>
      <c r="J163" s="49">
        <f>VLOOKUP($A163,'Data shares'!$C:$FB,58)</f>
        <v>1664500</v>
      </c>
      <c r="K163" s="49">
        <f>VLOOKUP($A163,'Data shares'!$C:$FB,59)</f>
        <v>1330500</v>
      </c>
      <c r="L163" s="50">
        <f>VLOOKUP($A163,'Data shares'!$C:$FB,61)*100</f>
        <v>25.1</v>
      </c>
      <c r="M163" s="49">
        <f>VLOOKUP($A163,'Data shares'!$C:$FB,62)</f>
        <v>692000</v>
      </c>
      <c r="N163" s="49">
        <f>VLOOKUP($A163,'Data shares'!$C:$FB,63)</f>
        <v>812000</v>
      </c>
      <c r="O163" s="140">
        <f>VLOOKUP($A163,'Data shares'!$C:$FB,65)*100</f>
        <v>-14.78</v>
      </c>
    </row>
    <row r="164" spans="1:15" x14ac:dyDescent="0.25">
      <c r="A164" s="101" t="str">
        <f>'Data Vlaue (Cr)'!C159</f>
        <v>PIIND</v>
      </c>
      <c r="B164" s="50">
        <f>VLOOKUP($A164,'Data shares'!$C:$FB,7)</f>
        <v>3281.1</v>
      </c>
      <c r="C164" s="50">
        <f>VLOOKUP($A164,'Data shares'!$C:$FB,10)*100</f>
        <v>2.8400000000000003</v>
      </c>
      <c r="D164" s="49">
        <f>VLOOKUP($A164,'Data shares'!$C:$FB,66)</f>
        <v>10668350</v>
      </c>
      <c r="E164" s="49">
        <f>VLOOKUP($A164,'Data shares'!$C:$FB,67)</f>
        <v>2872800</v>
      </c>
      <c r="F164" s="50">
        <f>VLOOKUP($A164,'Data shares'!$C:$FB,69)*100</f>
        <v>271.36</v>
      </c>
      <c r="G164" s="49">
        <f>VLOOKUP($A164,'Data shares'!$C:$FB,42)</f>
        <v>2726150</v>
      </c>
      <c r="H164" s="49">
        <f>VLOOKUP($A164,'Data shares'!$C:$FB,43)</f>
        <v>1102500</v>
      </c>
      <c r="I164" s="50">
        <f>VLOOKUP($A164,'Data shares'!$C:$FB,45)*100</f>
        <v>147.26999999999998</v>
      </c>
      <c r="J164" s="49">
        <f>VLOOKUP($A164,'Data shares'!$C:$FB,58)</f>
        <v>4807425</v>
      </c>
      <c r="K164" s="49">
        <f>VLOOKUP($A164,'Data shares'!$C:$FB,59)</f>
        <v>974400</v>
      </c>
      <c r="L164" s="50">
        <f>VLOOKUP($A164,'Data shares'!$C:$FB,61)*100</f>
        <v>393.37</v>
      </c>
      <c r="M164" s="49">
        <f>VLOOKUP($A164,'Data shares'!$C:$FB,62)</f>
        <v>3134775</v>
      </c>
      <c r="N164" s="49">
        <f>VLOOKUP($A164,'Data shares'!$C:$FB,63)</f>
        <v>795900</v>
      </c>
      <c r="O164" s="140">
        <f>VLOOKUP($A164,'Data shares'!$C:$FB,65)*100</f>
        <v>293.87</v>
      </c>
    </row>
    <row r="165" spans="1:15" x14ac:dyDescent="0.25">
      <c r="A165" s="101" t="str">
        <f>'Data Vlaue (Cr)'!C160</f>
        <v>PNB</v>
      </c>
      <c r="B165" s="50">
        <f>VLOOKUP($A165,'Data shares'!$C:$FB,7)</f>
        <v>122.91</v>
      </c>
      <c r="C165" s="50">
        <f>VLOOKUP($A165,'Data shares'!$C:$FB,10)*100</f>
        <v>-0.04</v>
      </c>
      <c r="D165" s="49">
        <f>VLOOKUP($A165,'Data shares'!$C:$FB,66)</f>
        <v>259120000</v>
      </c>
      <c r="E165" s="49">
        <f>VLOOKUP($A165,'Data shares'!$C:$FB,67)</f>
        <v>113256000</v>
      </c>
      <c r="F165" s="50">
        <f>VLOOKUP($A165,'Data shares'!$C:$FB,69)*100</f>
        <v>128.79</v>
      </c>
      <c r="G165" s="49">
        <f>VLOOKUP($A165,'Data shares'!$C:$FB,42)</f>
        <v>44936000</v>
      </c>
      <c r="H165" s="49">
        <f>VLOOKUP($A165,'Data shares'!$C:$FB,43)</f>
        <v>24080000</v>
      </c>
      <c r="I165" s="50">
        <f>VLOOKUP($A165,'Data shares'!$C:$FB,45)*100</f>
        <v>86.61</v>
      </c>
      <c r="J165" s="49">
        <f>VLOOKUP($A165,'Data shares'!$C:$FB,58)</f>
        <v>145464000</v>
      </c>
      <c r="K165" s="49">
        <f>VLOOKUP($A165,'Data shares'!$C:$FB,59)</f>
        <v>62920000</v>
      </c>
      <c r="L165" s="50">
        <f>VLOOKUP($A165,'Data shares'!$C:$FB,61)*100</f>
        <v>131.19</v>
      </c>
      <c r="M165" s="49">
        <f>VLOOKUP($A165,'Data shares'!$C:$FB,62)</f>
        <v>68720000</v>
      </c>
      <c r="N165" s="49">
        <f>VLOOKUP($A165,'Data shares'!$C:$FB,63)</f>
        <v>26256000</v>
      </c>
      <c r="O165" s="140">
        <f>VLOOKUP($A165,'Data shares'!$C:$FB,65)*100</f>
        <v>161.72999999999999</v>
      </c>
    </row>
    <row r="166" spans="1:15" x14ac:dyDescent="0.25">
      <c r="A166" s="101" t="str">
        <f>'Data Vlaue (Cr)'!C161</f>
        <v>PNBHOUSING</v>
      </c>
      <c r="B166" s="50">
        <f>VLOOKUP($A166,'Data shares'!$C:$FB,7)</f>
        <v>854.9</v>
      </c>
      <c r="C166" s="50">
        <f>VLOOKUP($A166,'Data shares'!$C:$FB,10)*100</f>
        <v>0.02</v>
      </c>
      <c r="D166" s="49">
        <f>VLOOKUP($A166,'Data shares'!$C:$FB,66)</f>
        <v>2949050</v>
      </c>
      <c r="E166" s="49">
        <f>VLOOKUP($A166,'Data shares'!$C:$FB,67)</f>
        <v>6412900</v>
      </c>
      <c r="F166" s="50">
        <f>VLOOKUP($A166,'Data shares'!$C:$FB,69)*100</f>
        <v>-54.010000000000005</v>
      </c>
      <c r="G166" s="49">
        <f>VLOOKUP($A166,'Data shares'!$C:$FB,42)</f>
        <v>1239550</v>
      </c>
      <c r="H166" s="49">
        <f>VLOOKUP($A166,'Data shares'!$C:$FB,43)</f>
        <v>2086500</v>
      </c>
      <c r="I166" s="50">
        <f>VLOOKUP($A166,'Data shares'!$C:$FB,45)*100</f>
        <v>-40.589999999999996</v>
      </c>
      <c r="J166" s="49">
        <f>VLOOKUP($A166,'Data shares'!$C:$FB,58)</f>
        <v>1343550</v>
      </c>
      <c r="K166" s="49">
        <f>VLOOKUP($A166,'Data shares'!$C:$FB,59)</f>
        <v>3236350</v>
      </c>
      <c r="L166" s="50">
        <f>VLOOKUP($A166,'Data shares'!$C:$FB,61)*100</f>
        <v>-58.489999999999995</v>
      </c>
      <c r="M166" s="49">
        <f>VLOOKUP($A166,'Data shares'!$C:$FB,62)</f>
        <v>365950</v>
      </c>
      <c r="N166" s="49">
        <f>VLOOKUP($A166,'Data shares'!$C:$FB,63)</f>
        <v>1090050</v>
      </c>
      <c r="O166" s="140">
        <f>VLOOKUP($A166,'Data shares'!$C:$FB,65)*100</f>
        <v>-66.430000000000007</v>
      </c>
    </row>
    <row r="167" spans="1:15" x14ac:dyDescent="0.25">
      <c r="A167" s="101" t="str">
        <f>'Data Vlaue (Cr)'!C162</f>
        <v>POLICYBZR</v>
      </c>
      <c r="B167" s="50">
        <f>VLOOKUP($A167,'Data shares'!$C:$FB,7)</f>
        <v>1554.6</v>
      </c>
      <c r="C167" s="50">
        <f>VLOOKUP($A167,'Data shares'!$C:$FB,10)*100</f>
        <v>3.32</v>
      </c>
      <c r="D167" s="49">
        <f>VLOOKUP($A167,'Data shares'!$C:$FB,66)</f>
        <v>9933000</v>
      </c>
      <c r="E167" s="49">
        <f>VLOOKUP($A167,'Data shares'!$C:$FB,67)</f>
        <v>26124700</v>
      </c>
      <c r="F167" s="50">
        <f>VLOOKUP($A167,'Data shares'!$C:$FB,69)*100</f>
        <v>-61.980000000000004</v>
      </c>
      <c r="G167" s="49">
        <f>VLOOKUP($A167,'Data shares'!$C:$FB,42)</f>
        <v>2021600</v>
      </c>
      <c r="H167" s="49">
        <f>VLOOKUP($A167,'Data shares'!$C:$FB,43)</f>
        <v>5440050</v>
      </c>
      <c r="I167" s="50">
        <f>VLOOKUP($A167,'Data shares'!$C:$FB,45)*100</f>
        <v>-62.839999999999996</v>
      </c>
      <c r="J167" s="49">
        <f>VLOOKUP($A167,'Data shares'!$C:$FB,58)</f>
        <v>5571300</v>
      </c>
      <c r="K167" s="49">
        <f>VLOOKUP($A167,'Data shares'!$C:$FB,59)</f>
        <v>12657050</v>
      </c>
      <c r="L167" s="50">
        <f>VLOOKUP($A167,'Data shares'!$C:$FB,61)*100</f>
        <v>-55.98</v>
      </c>
      <c r="M167" s="49">
        <f>VLOOKUP($A167,'Data shares'!$C:$FB,62)</f>
        <v>2340100</v>
      </c>
      <c r="N167" s="49">
        <f>VLOOKUP($A167,'Data shares'!$C:$FB,63)</f>
        <v>8027600</v>
      </c>
      <c r="O167" s="140">
        <f>VLOOKUP($A167,'Data shares'!$C:$FB,65)*100</f>
        <v>-70.850000000000009</v>
      </c>
    </row>
    <row r="168" spans="1:15" x14ac:dyDescent="0.25">
      <c r="A168" s="101" t="str">
        <f>'Data Vlaue (Cr)'!C163</f>
        <v>POLYCAB</v>
      </c>
      <c r="B168" s="50">
        <f>VLOOKUP($A168,'Data shares'!$C:$FB,7)</f>
        <v>7814</v>
      </c>
      <c r="C168" s="50">
        <f>VLOOKUP($A168,'Data shares'!$C:$FB,10)*100</f>
        <v>0.91999999999999993</v>
      </c>
      <c r="D168" s="49">
        <f>VLOOKUP($A168,'Data shares'!$C:$FB,66)</f>
        <v>1771625</v>
      </c>
      <c r="E168" s="49">
        <f>VLOOKUP($A168,'Data shares'!$C:$FB,67)</f>
        <v>1929250</v>
      </c>
      <c r="F168" s="50">
        <f>VLOOKUP($A168,'Data shares'!$C:$FB,69)*100</f>
        <v>-8.17</v>
      </c>
      <c r="G168" s="49">
        <f>VLOOKUP($A168,'Data shares'!$C:$FB,42)</f>
        <v>211500</v>
      </c>
      <c r="H168" s="49">
        <f>VLOOKUP($A168,'Data shares'!$C:$FB,43)</f>
        <v>317625</v>
      </c>
      <c r="I168" s="50">
        <f>VLOOKUP($A168,'Data shares'!$C:$FB,45)*100</f>
        <v>-33.410000000000004</v>
      </c>
      <c r="J168" s="49">
        <f>VLOOKUP($A168,'Data shares'!$C:$FB,58)</f>
        <v>914750</v>
      </c>
      <c r="K168" s="49">
        <f>VLOOKUP($A168,'Data shares'!$C:$FB,59)</f>
        <v>919750</v>
      </c>
      <c r="L168" s="50">
        <f>VLOOKUP($A168,'Data shares'!$C:$FB,61)*100</f>
        <v>-0.54</v>
      </c>
      <c r="M168" s="49">
        <f>VLOOKUP($A168,'Data shares'!$C:$FB,62)</f>
        <v>645375</v>
      </c>
      <c r="N168" s="49">
        <f>VLOOKUP($A168,'Data shares'!$C:$FB,63)</f>
        <v>691875</v>
      </c>
      <c r="O168" s="140">
        <f>VLOOKUP($A168,'Data shares'!$C:$FB,65)*100</f>
        <v>-6.72</v>
      </c>
    </row>
    <row r="169" spans="1:15" x14ac:dyDescent="0.25">
      <c r="A169" s="101" t="str">
        <f>'Data Vlaue (Cr)'!C164</f>
        <v>POWERGRID</v>
      </c>
      <c r="B169" s="50">
        <f>VLOOKUP($A169,'Data shares'!$C:$FB,7)</f>
        <v>294.45</v>
      </c>
      <c r="C169" s="50">
        <f>VLOOKUP($A169,'Data shares'!$C:$FB,10)*100</f>
        <v>0.03</v>
      </c>
      <c r="D169" s="49">
        <f>VLOOKUP($A169,'Data shares'!$C:$FB,66)</f>
        <v>82534100</v>
      </c>
      <c r="E169" s="49">
        <f>VLOOKUP($A169,'Data shares'!$C:$FB,67)</f>
        <v>116304700</v>
      </c>
      <c r="F169" s="50">
        <f>VLOOKUP($A169,'Data shares'!$C:$FB,69)*100</f>
        <v>-29.04</v>
      </c>
      <c r="G169" s="49">
        <f>VLOOKUP($A169,'Data shares'!$C:$FB,42)</f>
        <v>8882500</v>
      </c>
      <c r="H169" s="49">
        <f>VLOOKUP($A169,'Data shares'!$C:$FB,43)</f>
        <v>11574800</v>
      </c>
      <c r="I169" s="50">
        <f>VLOOKUP($A169,'Data shares'!$C:$FB,45)*100</f>
        <v>-23.26</v>
      </c>
      <c r="J169" s="49">
        <f>VLOOKUP($A169,'Data shares'!$C:$FB,58)</f>
        <v>50690100</v>
      </c>
      <c r="K169" s="49">
        <f>VLOOKUP($A169,'Data shares'!$C:$FB,59)</f>
        <v>73744700</v>
      </c>
      <c r="L169" s="50">
        <f>VLOOKUP($A169,'Data shares'!$C:$FB,61)*100</f>
        <v>-31.259999999999998</v>
      </c>
      <c r="M169" s="49">
        <f>VLOOKUP($A169,'Data shares'!$C:$FB,62)</f>
        <v>22961500</v>
      </c>
      <c r="N169" s="49">
        <f>VLOOKUP($A169,'Data shares'!$C:$FB,63)</f>
        <v>30985200</v>
      </c>
      <c r="O169" s="140">
        <f>VLOOKUP($A169,'Data shares'!$C:$FB,65)*100</f>
        <v>-25.900000000000002</v>
      </c>
    </row>
    <row r="170" spans="1:15" x14ac:dyDescent="0.25">
      <c r="A170" s="101" t="str">
        <f>'Data Vlaue (Cr)'!C165</f>
        <v>POWERINDIA</v>
      </c>
      <c r="B170" s="50">
        <f>VLOOKUP($A170,'Data shares'!$C:$FB,7)</f>
        <v>22731</v>
      </c>
      <c r="C170" s="50">
        <f>VLOOKUP($A170,'Data shares'!$C:$FB,10)*100</f>
        <v>1.22</v>
      </c>
      <c r="D170" s="49">
        <f>VLOOKUP($A170,'Data shares'!$C:$FB,66)</f>
        <v>603700</v>
      </c>
      <c r="E170" s="49">
        <f>VLOOKUP($A170,'Data shares'!$C:$FB,67)</f>
        <v>740600</v>
      </c>
      <c r="F170" s="50">
        <f>VLOOKUP($A170,'Data shares'!$C:$FB,69)*100</f>
        <v>-18.490000000000002</v>
      </c>
      <c r="G170" s="49">
        <f>VLOOKUP($A170,'Data shares'!$C:$FB,42)</f>
        <v>80450</v>
      </c>
      <c r="H170" s="49">
        <f>VLOOKUP($A170,'Data shares'!$C:$FB,43)</f>
        <v>90200</v>
      </c>
      <c r="I170" s="50">
        <f>VLOOKUP($A170,'Data shares'!$C:$FB,45)*100</f>
        <v>-10.81</v>
      </c>
      <c r="J170" s="49">
        <f>VLOOKUP($A170,'Data shares'!$C:$FB,58)</f>
        <v>321900</v>
      </c>
      <c r="K170" s="49">
        <f>VLOOKUP($A170,'Data shares'!$C:$FB,59)</f>
        <v>297750</v>
      </c>
      <c r="L170" s="50">
        <f>VLOOKUP($A170,'Data shares'!$C:$FB,61)*100</f>
        <v>8.1100000000000012</v>
      </c>
      <c r="M170" s="49">
        <f>VLOOKUP($A170,'Data shares'!$C:$FB,62)</f>
        <v>201350</v>
      </c>
      <c r="N170" s="49">
        <f>VLOOKUP($A170,'Data shares'!$C:$FB,63)</f>
        <v>352650</v>
      </c>
      <c r="O170" s="140">
        <f>VLOOKUP($A170,'Data shares'!$C:$FB,65)*100</f>
        <v>-42.9</v>
      </c>
    </row>
    <row r="171" spans="1:15" x14ac:dyDescent="0.25">
      <c r="A171" s="101" t="str">
        <f>'Data Vlaue (Cr)'!C166</f>
        <v>PPLPHARMA</v>
      </c>
      <c r="B171" s="50">
        <f>VLOOKUP($A171,'Data shares'!$C:$FB,7)</f>
        <v>164.36</v>
      </c>
      <c r="C171" s="50">
        <f>VLOOKUP($A171,'Data shares'!$C:$FB,10)*100</f>
        <v>0.57999999999999996</v>
      </c>
      <c r="D171" s="49">
        <f>VLOOKUP($A171,'Data shares'!$C:$FB,66)</f>
        <v>9880500</v>
      </c>
      <c r="E171" s="49">
        <f>VLOOKUP($A171,'Data shares'!$C:$FB,67)</f>
        <v>23365125</v>
      </c>
      <c r="F171" s="50">
        <f>VLOOKUP($A171,'Data shares'!$C:$FB,69)*100</f>
        <v>-57.709999999999994</v>
      </c>
      <c r="G171" s="49">
        <f>VLOOKUP($A171,'Data shares'!$C:$FB,42)</f>
        <v>4515000</v>
      </c>
      <c r="H171" s="49">
        <f>VLOOKUP($A171,'Data shares'!$C:$FB,43)</f>
        <v>6651750</v>
      </c>
      <c r="I171" s="50">
        <f>VLOOKUP($A171,'Data shares'!$C:$FB,45)*100</f>
        <v>-32.119999999999997</v>
      </c>
      <c r="J171" s="49">
        <f>VLOOKUP($A171,'Data shares'!$C:$FB,58)</f>
        <v>4189500</v>
      </c>
      <c r="K171" s="49">
        <f>VLOOKUP($A171,'Data shares'!$C:$FB,59)</f>
        <v>12455625</v>
      </c>
      <c r="L171" s="50">
        <f>VLOOKUP($A171,'Data shares'!$C:$FB,61)*100</f>
        <v>-66.36</v>
      </c>
      <c r="M171" s="49">
        <f>VLOOKUP($A171,'Data shares'!$C:$FB,62)</f>
        <v>1176000</v>
      </c>
      <c r="N171" s="49">
        <f>VLOOKUP($A171,'Data shares'!$C:$FB,63)</f>
        <v>4257750</v>
      </c>
      <c r="O171" s="140">
        <f>VLOOKUP($A171,'Data shares'!$C:$FB,65)*100</f>
        <v>-72.38</v>
      </c>
    </row>
    <row r="172" spans="1:15" x14ac:dyDescent="0.25">
      <c r="A172" s="101" t="str">
        <f>'Data Vlaue (Cr)'!C167</f>
        <v>PREMIERENE</v>
      </c>
      <c r="B172" s="50">
        <f>VLOOKUP($A172,'Data shares'!$C:$FB,7)</f>
        <v>780.65</v>
      </c>
      <c r="C172" s="50">
        <f>VLOOKUP($A172,'Data shares'!$C:$FB,10)*100</f>
        <v>-5.24</v>
      </c>
      <c r="D172" s="49">
        <f>VLOOKUP($A172,'Data shares'!$C:$FB,66)</f>
        <v>21702800</v>
      </c>
      <c r="E172" s="49">
        <f>VLOOKUP($A172,'Data shares'!$C:$FB,67)</f>
        <v>11842125</v>
      </c>
      <c r="F172" s="50">
        <f>VLOOKUP($A172,'Data shares'!$C:$FB,69)*100</f>
        <v>83.27</v>
      </c>
      <c r="G172" s="49">
        <f>VLOOKUP($A172,'Data shares'!$C:$FB,42)</f>
        <v>4353900</v>
      </c>
      <c r="H172" s="49">
        <f>VLOOKUP($A172,'Data shares'!$C:$FB,43)</f>
        <v>2613950</v>
      </c>
      <c r="I172" s="50">
        <f>VLOOKUP($A172,'Data shares'!$C:$FB,45)*100</f>
        <v>66.56</v>
      </c>
      <c r="J172" s="49">
        <f>VLOOKUP($A172,'Data shares'!$C:$FB,58)</f>
        <v>10938225</v>
      </c>
      <c r="K172" s="49">
        <f>VLOOKUP($A172,'Data shares'!$C:$FB,59)</f>
        <v>7395650</v>
      </c>
      <c r="L172" s="50">
        <f>VLOOKUP($A172,'Data shares'!$C:$FB,61)*100</f>
        <v>47.9</v>
      </c>
      <c r="M172" s="49">
        <f>VLOOKUP($A172,'Data shares'!$C:$FB,62)</f>
        <v>6410675</v>
      </c>
      <c r="N172" s="49">
        <f>VLOOKUP($A172,'Data shares'!$C:$FB,63)</f>
        <v>1832525</v>
      </c>
      <c r="O172" s="140">
        <f>VLOOKUP($A172,'Data shares'!$C:$FB,65)*100</f>
        <v>249.82999999999998</v>
      </c>
    </row>
    <row r="173" spans="1:15" x14ac:dyDescent="0.25">
      <c r="A173" s="101" t="str">
        <f>'Data Vlaue (Cr)'!C168</f>
        <v>PRESTIGE</v>
      </c>
      <c r="B173" s="50">
        <f>VLOOKUP($A173,'Data shares'!$C:$FB,7)</f>
        <v>1597.5</v>
      </c>
      <c r="C173" s="50">
        <f>VLOOKUP($A173,'Data shares'!$C:$FB,10)*100</f>
        <v>0.36</v>
      </c>
      <c r="D173" s="49">
        <f>VLOOKUP($A173,'Data shares'!$C:$FB,66)</f>
        <v>2553300</v>
      </c>
      <c r="E173" s="49">
        <f>VLOOKUP($A173,'Data shares'!$C:$FB,67)</f>
        <v>1956600</v>
      </c>
      <c r="F173" s="50">
        <f>VLOOKUP($A173,'Data shares'!$C:$FB,69)*100</f>
        <v>30.5</v>
      </c>
      <c r="G173" s="49">
        <f>VLOOKUP($A173,'Data shares'!$C:$FB,42)</f>
        <v>761400</v>
      </c>
      <c r="H173" s="49">
        <f>VLOOKUP($A173,'Data shares'!$C:$FB,43)</f>
        <v>415800</v>
      </c>
      <c r="I173" s="50">
        <f>VLOOKUP($A173,'Data shares'!$C:$FB,45)*100</f>
        <v>83.12</v>
      </c>
      <c r="J173" s="49">
        <f>VLOOKUP($A173,'Data shares'!$C:$FB,58)</f>
        <v>1423350</v>
      </c>
      <c r="K173" s="49">
        <f>VLOOKUP($A173,'Data shares'!$C:$FB,59)</f>
        <v>1151100</v>
      </c>
      <c r="L173" s="50">
        <f>VLOOKUP($A173,'Data shares'!$C:$FB,61)*100</f>
        <v>23.65</v>
      </c>
      <c r="M173" s="49">
        <f>VLOOKUP($A173,'Data shares'!$C:$FB,62)</f>
        <v>368550</v>
      </c>
      <c r="N173" s="49">
        <f>VLOOKUP($A173,'Data shares'!$C:$FB,63)</f>
        <v>389700</v>
      </c>
      <c r="O173" s="140">
        <f>VLOOKUP($A173,'Data shares'!$C:$FB,65)*100</f>
        <v>-5.43</v>
      </c>
    </row>
    <row r="174" spans="1:15" x14ac:dyDescent="0.25">
      <c r="A174" s="101" t="str">
        <f>'Data Vlaue (Cr)'!C169</f>
        <v>RBLBANK</v>
      </c>
      <c r="B174" s="50">
        <f>VLOOKUP($A174,'Data shares'!$C:$FB,7)</f>
        <v>308.8</v>
      </c>
      <c r="C174" s="50">
        <f>VLOOKUP($A174,'Data shares'!$C:$FB,10)*100</f>
        <v>0.67999999999999994</v>
      </c>
      <c r="D174" s="49">
        <f>VLOOKUP($A174,'Data shares'!$C:$FB,66)</f>
        <v>27235150</v>
      </c>
      <c r="E174" s="49">
        <f>VLOOKUP($A174,'Data shares'!$C:$FB,67)</f>
        <v>23974425</v>
      </c>
      <c r="F174" s="50">
        <f>VLOOKUP($A174,'Data shares'!$C:$FB,69)*100</f>
        <v>13.600000000000001</v>
      </c>
      <c r="G174" s="49">
        <f>VLOOKUP($A174,'Data shares'!$C:$FB,42)</f>
        <v>7737475</v>
      </c>
      <c r="H174" s="49">
        <f>VLOOKUP($A174,'Data shares'!$C:$FB,43)</f>
        <v>7810500</v>
      </c>
      <c r="I174" s="50">
        <f>VLOOKUP($A174,'Data shares'!$C:$FB,45)*100</f>
        <v>-0.92999999999999994</v>
      </c>
      <c r="J174" s="49">
        <f>VLOOKUP($A174,'Data shares'!$C:$FB,58)</f>
        <v>14274800</v>
      </c>
      <c r="K174" s="49">
        <f>VLOOKUP($A174,'Data shares'!$C:$FB,59)</f>
        <v>12007850</v>
      </c>
      <c r="L174" s="50">
        <f>VLOOKUP($A174,'Data shares'!$C:$FB,61)*100</f>
        <v>18.88</v>
      </c>
      <c r="M174" s="49">
        <f>VLOOKUP($A174,'Data shares'!$C:$FB,62)</f>
        <v>5222875</v>
      </c>
      <c r="N174" s="49">
        <f>VLOOKUP($A174,'Data shares'!$C:$FB,63)</f>
        <v>4156075</v>
      </c>
      <c r="O174" s="140">
        <f>VLOOKUP($A174,'Data shares'!$C:$FB,65)*100</f>
        <v>25.669999999999998</v>
      </c>
    </row>
    <row r="175" spans="1:15" x14ac:dyDescent="0.25">
      <c r="A175" s="101" t="str">
        <f>'Data Vlaue (Cr)'!C170</f>
        <v>RECLTD</v>
      </c>
      <c r="B175" s="50">
        <f>VLOOKUP($A175,'Data shares'!$C:$FB,7)</f>
        <v>353.95</v>
      </c>
      <c r="C175" s="50">
        <f>VLOOKUP($A175,'Data shares'!$C:$FB,10)*100</f>
        <v>-0.52</v>
      </c>
      <c r="D175" s="49">
        <f>VLOOKUP($A175,'Data shares'!$C:$FB,66)</f>
        <v>62230000</v>
      </c>
      <c r="E175" s="49">
        <f>VLOOKUP($A175,'Data shares'!$C:$FB,67)</f>
        <v>68712000</v>
      </c>
      <c r="F175" s="50">
        <f>VLOOKUP($A175,'Data shares'!$C:$FB,69)*100</f>
        <v>-9.43</v>
      </c>
      <c r="G175" s="49">
        <f>VLOOKUP($A175,'Data shares'!$C:$FB,42)</f>
        <v>12244400</v>
      </c>
      <c r="H175" s="49">
        <f>VLOOKUP($A175,'Data shares'!$C:$FB,43)</f>
        <v>12156200</v>
      </c>
      <c r="I175" s="50">
        <f>VLOOKUP($A175,'Data shares'!$C:$FB,45)*100</f>
        <v>0.73</v>
      </c>
      <c r="J175" s="49">
        <f>VLOOKUP($A175,'Data shares'!$C:$FB,58)</f>
        <v>38011400</v>
      </c>
      <c r="K175" s="49">
        <f>VLOOKUP($A175,'Data shares'!$C:$FB,59)</f>
        <v>42520800</v>
      </c>
      <c r="L175" s="50">
        <f>VLOOKUP($A175,'Data shares'!$C:$FB,61)*100</f>
        <v>-10.61</v>
      </c>
      <c r="M175" s="49">
        <f>VLOOKUP($A175,'Data shares'!$C:$FB,62)</f>
        <v>11974200</v>
      </c>
      <c r="N175" s="49">
        <f>VLOOKUP($A175,'Data shares'!$C:$FB,63)</f>
        <v>14035000</v>
      </c>
      <c r="O175" s="140">
        <f>VLOOKUP($A175,'Data shares'!$C:$FB,65)*100</f>
        <v>-14.680000000000001</v>
      </c>
    </row>
    <row r="176" spans="1:15" x14ac:dyDescent="0.25">
      <c r="A176" s="101" t="str">
        <f>'Data Vlaue (Cr)'!C171</f>
        <v>RELIANCE</v>
      </c>
      <c r="B176" s="50">
        <f>VLOOKUP($A176,'Data shares'!$C:$FB,7)</f>
        <v>1468.7</v>
      </c>
      <c r="C176" s="50">
        <f>VLOOKUP($A176,'Data shares'!$C:$FB,10)*100</f>
        <v>0.70000000000000007</v>
      </c>
      <c r="D176" s="49">
        <f>VLOOKUP($A176,'Data shares'!$C:$FB,66)</f>
        <v>69723000</v>
      </c>
      <c r="E176" s="49">
        <f>VLOOKUP($A176,'Data shares'!$C:$FB,67)</f>
        <v>63296000</v>
      </c>
      <c r="F176" s="50">
        <f>VLOOKUP($A176,'Data shares'!$C:$FB,69)*100</f>
        <v>10.15</v>
      </c>
      <c r="G176" s="49">
        <f>VLOOKUP($A176,'Data shares'!$C:$FB,42)</f>
        <v>7253500</v>
      </c>
      <c r="H176" s="49">
        <f>VLOOKUP($A176,'Data shares'!$C:$FB,43)</f>
        <v>5846500</v>
      </c>
      <c r="I176" s="50">
        <f>VLOOKUP($A176,'Data shares'!$C:$FB,45)*100</f>
        <v>24.07</v>
      </c>
      <c r="J176" s="49">
        <f>VLOOKUP($A176,'Data shares'!$C:$FB,58)</f>
        <v>38612000</v>
      </c>
      <c r="K176" s="49">
        <f>VLOOKUP($A176,'Data shares'!$C:$FB,59)</f>
        <v>33415500</v>
      </c>
      <c r="L176" s="50">
        <f>VLOOKUP($A176,'Data shares'!$C:$FB,61)*100</f>
        <v>15.55</v>
      </c>
      <c r="M176" s="49">
        <f>VLOOKUP($A176,'Data shares'!$C:$FB,62)</f>
        <v>23857500</v>
      </c>
      <c r="N176" s="49">
        <f>VLOOKUP($A176,'Data shares'!$C:$FB,63)</f>
        <v>24034000</v>
      </c>
      <c r="O176" s="140">
        <f>VLOOKUP($A176,'Data shares'!$C:$FB,65)*100</f>
        <v>-0.73</v>
      </c>
    </row>
    <row r="177" spans="1:15" x14ac:dyDescent="0.25">
      <c r="A177" s="101" t="str">
        <f>'Data Vlaue (Cr)'!C172</f>
        <v>RVNL</v>
      </c>
      <c r="B177" s="50">
        <f>VLOOKUP($A177,'Data shares'!$C:$FB,7)</f>
        <v>316.55</v>
      </c>
      <c r="C177" s="50">
        <f>VLOOKUP($A177,'Data shares'!$C:$FB,10)*100</f>
        <v>-0.91</v>
      </c>
      <c r="D177" s="49">
        <f>VLOOKUP($A177,'Data shares'!$C:$FB,66)</f>
        <v>47249075</v>
      </c>
      <c r="E177" s="49">
        <f>VLOOKUP($A177,'Data shares'!$C:$FB,67)</f>
        <v>101540600</v>
      </c>
      <c r="F177" s="50">
        <f>VLOOKUP($A177,'Data shares'!$C:$FB,69)*100</f>
        <v>-53.47</v>
      </c>
      <c r="G177" s="49">
        <f>VLOOKUP($A177,'Data shares'!$C:$FB,42)</f>
        <v>10809200</v>
      </c>
      <c r="H177" s="49">
        <f>VLOOKUP($A177,'Data shares'!$C:$FB,43)</f>
        <v>22182650</v>
      </c>
      <c r="I177" s="50">
        <f>VLOOKUP($A177,'Data shares'!$C:$FB,45)*100</f>
        <v>-51.27</v>
      </c>
      <c r="J177" s="49">
        <f>VLOOKUP($A177,'Data shares'!$C:$FB,58)</f>
        <v>30074525</v>
      </c>
      <c r="K177" s="49">
        <f>VLOOKUP($A177,'Data shares'!$C:$FB,59)</f>
        <v>64132350</v>
      </c>
      <c r="L177" s="50">
        <f>VLOOKUP($A177,'Data shares'!$C:$FB,61)*100</f>
        <v>-53.11</v>
      </c>
      <c r="M177" s="49">
        <f>VLOOKUP($A177,'Data shares'!$C:$FB,62)</f>
        <v>6365350</v>
      </c>
      <c r="N177" s="49">
        <f>VLOOKUP($A177,'Data shares'!$C:$FB,63)</f>
        <v>15225600</v>
      </c>
      <c r="O177" s="140">
        <f>VLOOKUP($A177,'Data shares'!$C:$FB,65)*100</f>
        <v>-58.19</v>
      </c>
    </row>
    <row r="178" spans="1:15" x14ac:dyDescent="0.25">
      <c r="A178" s="101" t="str">
        <f>'Data Vlaue (Cr)'!C173</f>
        <v>SAIL</v>
      </c>
      <c r="B178" s="50">
        <f>VLOOKUP($A178,'Data shares'!$C:$FB,7)</f>
        <v>162.12</v>
      </c>
      <c r="C178" s="50">
        <f>VLOOKUP($A178,'Data shares'!$C:$FB,10)*100</f>
        <v>0.70000000000000007</v>
      </c>
      <c r="D178" s="49">
        <f>VLOOKUP($A178,'Data shares'!$C:$FB,66)</f>
        <v>5851500</v>
      </c>
      <c r="E178" s="49">
        <f>VLOOKUP($A178,'Data shares'!$C:$FB,67)</f>
        <v>15904800</v>
      </c>
      <c r="F178" s="50">
        <f>VLOOKUP($A178,'Data shares'!$C:$FB,69)*100</f>
        <v>-63.21</v>
      </c>
      <c r="G178" s="49">
        <f>VLOOKUP($A178,'Data shares'!$C:$FB,42)</f>
        <v>2622600</v>
      </c>
      <c r="H178" s="49">
        <f>VLOOKUP($A178,'Data shares'!$C:$FB,43)</f>
        <v>9136800</v>
      </c>
      <c r="I178" s="50">
        <f>VLOOKUP($A178,'Data shares'!$C:$FB,45)*100</f>
        <v>-71.3</v>
      </c>
      <c r="J178" s="49">
        <f>VLOOKUP($A178,'Data shares'!$C:$FB,58)</f>
        <v>2378200</v>
      </c>
      <c r="K178" s="49">
        <f>VLOOKUP($A178,'Data shares'!$C:$FB,59)</f>
        <v>5085400</v>
      </c>
      <c r="L178" s="50">
        <f>VLOOKUP($A178,'Data shares'!$C:$FB,61)*100</f>
        <v>-53.23</v>
      </c>
      <c r="M178" s="49">
        <f>VLOOKUP($A178,'Data shares'!$C:$FB,62)</f>
        <v>850700</v>
      </c>
      <c r="N178" s="49">
        <f>VLOOKUP($A178,'Data shares'!$C:$FB,63)</f>
        <v>1682600</v>
      </c>
      <c r="O178" s="140">
        <f>VLOOKUP($A178,'Data shares'!$C:$FB,65)*100</f>
        <v>-49.44</v>
      </c>
    </row>
    <row r="179" spans="1:15" x14ac:dyDescent="0.25">
      <c r="A179" s="101" t="str">
        <f>'Data Vlaue (Cr)'!C174</f>
        <v>SAMMAANCAP</v>
      </c>
      <c r="B179" s="50">
        <f>VLOOKUP($A179,'Data shares'!$C:$FB,7)</f>
        <v>148.35</v>
      </c>
      <c r="C179" s="50">
        <f>VLOOKUP($A179,'Data shares'!$C:$FB,10)*100</f>
        <v>0.76</v>
      </c>
      <c r="D179" s="49">
        <f>VLOOKUP($A179,'Data shares'!$C:$FB,66)</f>
        <v>774000</v>
      </c>
      <c r="E179" s="49">
        <f>VLOOKUP($A179,'Data shares'!$C:$FB,67)</f>
        <v>571900</v>
      </c>
      <c r="F179" s="50">
        <f>VLOOKUP($A179,'Data shares'!$C:$FB,69)*100</f>
        <v>35.339999999999996</v>
      </c>
      <c r="G179" s="49">
        <f>VLOOKUP($A179,'Data shares'!$C:$FB,42)</f>
        <v>387000</v>
      </c>
      <c r="H179" s="49">
        <f>VLOOKUP($A179,'Data shares'!$C:$FB,43)</f>
        <v>215000</v>
      </c>
      <c r="I179" s="50">
        <f>VLOOKUP($A179,'Data shares'!$C:$FB,45)*100</f>
        <v>80</v>
      </c>
      <c r="J179" s="49">
        <f>VLOOKUP($A179,'Data shares'!$C:$FB,58)</f>
        <v>262300</v>
      </c>
      <c r="K179" s="49">
        <f>VLOOKUP($A179,'Data shares'!$C:$FB,59)</f>
        <v>283800</v>
      </c>
      <c r="L179" s="50">
        <f>VLOOKUP($A179,'Data shares'!$C:$FB,61)*100</f>
        <v>-7.580000000000001</v>
      </c>
      <c r="M179" s="49">
        <f>VLOOKUP($A179,'Data shares'!$C:$FB,62)</f>
        <v>124700</v>
      </c>
      <c r="N179" s="49">
        <f>VLOOKUP($A179,'Data shares'!$C:$FB,63)</f>
        <v>73100</v>
      </c>
      <c r="O179" s="140">
        <f>VLOOKUP($A179,'Data shares'!$C:$FB,65)*100</f>
        <v>70.59</v>
      </c>
    </row>
    <row r="180" spans="1:15" x14ac:dyDescent="0.25">
      <c r="A180" s="101" t="str">
        <f>'Data Vlaue (Cr)'!C175</f>
        <v>SBICARD</v>
      </c>
      <c r="B180" s="50">
        <f>VLOOKUP($A180,'Data shares'!$C:$FB,7)</f>
        <v>768.85</v>
      </c>
      <c r="C180" s="50">
        <f>VLOOKUP($A180,'Data shares'!$C:$FB,10)*100</f>
        <v>0.38999999999999996</v>
      </c>
      <c r="D180" s="49">
        <f>VLOOKUP($A180,'Data shares'!$C:$FB,66)</f>
        <v>9143200</v>
      </c>
      <c r="E180" s="49">
        <f>VLOOKUP($A180,'Data shares'!$C:$FB,67)</f>
        <v>8425600</v>
      </c>
      <c r="F180" s="50">
        <f>VLOOKUP($A180,'Data shares'!$C:$FB,69)*100</f>
        <v>8.52</v>
      </c>
      <c r="G180" s="49">
        <f>VLOOKUP($A180,'Data shares'!$C:$FB,42)</f>
        <v>2876000</v>
      </c>
      <c r="H180" s="49">
        <f>VLOOKUP($A180,'Data shares'!$C:$FB,43)</f>
        <v>2544000</v>
      </c>
      <c r="I180" s="50">
        <f>VLOOKUP($A180,'Data shares'!$C:$FB,45)*100</f>
        <v>13.05</v>
      </c>
      <c r="J180" s="49">
        <f>VLOOKUP($A180,'Data shares'!$C:$FB,58)</f>
        <v>4635200</v>
      </c>
      <c r="K180" s="49">
        <f>VLOOKUP($A180,'Data shares'!$C:$FB,59)</f>
        <v>4037600</v>
      </c>
      <c r="L180" s="50">
        <f>VLOOKUP($A180,'Data shares'!$C:$FB,61)*100</f>
        <v>14.799999999999999</v>
      </c>
      <c r="M180" s="49">
        <f>VLOOKUP($A180,'Data shares'!$C:$FB,62)</f>
        <v>1632000</v>
      </c>
      <c r="N180" s="49">
        <f>VLOOKUP($A180,'Data shares'!$C:$FB,63)</f>
        <v>1844000</v>
      </c>
      <c r="O180" s="140">
        <f>VLOOKUP($A180,'Data shares'!$C:$FB,65)*100</f>
        <v>-11.5</v>
      </c>
    </row>
    <row r="181" spans="1:15" x14ac:dyDescent="0.25">
      <c r="A181" s="101" t="str">
        <f>'Data Vlaue (Cr)'!C176</f>
        <v>SBILIFE</v>
      </c>
      <c r="B181" s="50">
        <f>VLOOKUP($A181,'Data shares'!$C:$FB,7)</f>
        <v>2026.3</v>
      </c>
      <c r="C181" s="50">
        <f>VLOOKUP($A181,'Data shares'!$C:$FB,10)*100</f>
        <v>0.4</v>
      </c>
      <c r="D181" s="49">
        <f>VLOOKUP($A181,'Data shares'!$C:$FB,66)</f>
        <v>4836375</v>
      </c>
      <c r="E181" s="49">
        <f>VLOOKUP($A181,'Data shares'!$C:$FB,67)</f>
        <v>7099875</v>
      </c>
      <c r="F181" s="50">
        <f>VLOOKUP($A181,'Data shares'!$C:$FB,69)*100</f>
        <v>-31.879999999999995</v>
      </c>
      <c r="G181" s="49">
        <f>VLOOKUP($A181,'Data shares'!$C:$FB,42)</f>
        <v>964875</v>
      </c>
      <c r="H181" s="49">
        <f>VLOOKUP($A181,'Data shares'!$C:$FB,43)</f>
        <v>1161000</v>
      </c>
      <c r="I181" s="50">
        <f>VLOOKUP($A181,'Data shares'!$C:$FB,45)*100</f>
        <v>-16.89</v>
      </c>
      <c r="J181" s="49">
        <f>VLOOKUP($A181,'Data shares'!$C:$FB,58)</f>
        <v>2759625</v>
      </c>
      <c r="K181" s="49">
        <f>VLOOKUP($A181,'Data shares'!$C:$FB,59)</f>
        <v>4049250</v>
      </c>
      <c r="L181" s="50">
        <f>VLOOKUP($A181,'Data shares'!$C:$FB,61)*100</f>
        <v>-31.85</v>
      </c>
      <c r="M181" s="49">
        <f>VLOOKUP($A181,'Data shares'!$C:$FB,62)</f>
        <v>1111875</v>
      </c>
      <c r="N181" s="49">
        <f>VLOOKUP($A181,'Data shares'!$C:$FB,63)</f>
        <v>1889625</v>
      </c>
      <c r="O181" s="140">
        <f>VLOOKUP($A181,'Data shares'!$C:$FB,65)*100</f>
        <v>-41.160000000000004</v>
      </c>
    </row>
    <row r="182" spans="1:15" x14ac:dyDescent="0.25">
      <c r="A182" s="101" t="str">
        <f>'Data Vlaue (Cr)'!C177</f>
        <v>SBIN</v>
      </c>
      <c r="B182" s="50">
        <f>VLOOKUP($A182,'Data shares'!$C:$FB,7)</f>
        <v>1182.9000000000001</v>
      </c>
      <c r="C182" s="50">
        <f>VLOOKUP($A182,'Data shares'!$C:$FB,10)*100</f>
        <v>3.39</v>
      </c>
      <c r="D182" s="49">
        <f>VLOOKUP($A182,'Data shares'!$C:$FB,66)</f>
        <v>638569500</v>
      </c>
      <c r="E182" s="49">
        <f>VLOOKUP($A182,'Data shares'!$C:$FB,67)</f>
        <v>225327750</v>
      </c>
      <c r="F182" s="50">
        <f>VLOOKUP($A182,'Data shares'!$C:$FB,69)*100</f>
        <v>183.4</v>
      </c>
      <c r="G182" s="49">
        <f>VLOOKUP($A182,'Data shares'!$C:$FB,42)</f>
        <v>37575000</v>
      </c>
      <c r="H182" s="49">
        <f>VLOOKUP($A182,'Data shares'!$C:$FB,43)</f>
        <v>16708500</v>
      </c>
      <c r="I182" s="50">
        <f>VLOOKUP($A182,'Data shares'!$C:$FB,45)*100</f>
        <v>124.88999999999999</v>
      </c>
      <c r="J182" s="49">
        <f>VLOOKUP($A182,'Data shares'!$C:$FB,58)</f>
        <v>374428500</v>
      </c>
      <c r="K182" s="49">
        <f>VLOOKUP($A182,'Data shares'!$C:$FB,59)</f>
        <v>123390750</v>
      </c>
      <c r="L182" s="50">
        <f>VLOOKUP($A182,'Data shares'!$C:$FB,61)*100</f>
        <v>203.45</v>
      </c>
      <c r="M182" s="49">
        <f>VLOOKUP($A182,'Data shares'!$C:$FB,62)</f>
        <v>226566000</v>
      </c>
      <c r="N182" s="49">
        <f>VLOOKUP($A182,'Data shares'!$C:$FB,63)</f>
        <v>85228500</v>
      </c>
      <c r="O182" s="140">
        <f>VLOOKUP($A182,'Data shares'!$C:$FB,65)*100</f>
        <v>165.83</v>
      </c>
    </row>
    <row r="183" spans="1:15" x14ac:dyDescent="0.25">
      <c r="A183" s="101" t="str">
        <f>'Data Vlaue (Cr)'!C178</f>
        <v>SHREECEM</v>
      </c>
      <c r="B183" s="50">
        <f>VLOOKUP($A183,'Data shares'!$C:$FB,7)</f>
        <v>26805</v>
      </c>
      <c r="C183" s="50">
        <f>VLOOKUP($A183,'Data shares'!$C:$FB,10)*100</f>
        <v>1.06</v>
      </c>
      <c r="D183" s="49">
        <f>VLOOKUP($A183,'Data shares'!$C:$FB,66)</f>
        <v>370175</v>
      </c>
      <c r="E183" s="49">
        <f>VLOOKUP($A183,'Data shares'!$C:$FB,67)</f>
        <v>614650</v>
      </c>
      <c r="F183" s="50">
        <f>VLOOKUP($A183,'Data shares'!$C:$FB,69)*100</f>
        <v>-39.770000000000003</v>
      </c>
      <c r="G183" s="49">
        <f>VLOOKUP($A183,'Data shares'!$C:$FB,42)</f>
        <v>59650</v>
      </c>
      <c r="H183" s="49">
        <f>VLOOKUP($A183,'Data shares'!$C:$FB,43)</f>
        <v>81500</v>
      </c>
      <c r="I183" s="50">
        <f>VLOOKUP($A183,'Data shares'!$C:$FB,45)*100</f>
        <v>-26.810000000000002</v>
      </c>
      <c r="J183" s="49">
        <f>VLOOKUP($A183,'Data shares'!$C:$FB,58)</f>
        <v>244425</v>
      </c>
      <c r="K183" s="49">
        <f>VLOOKUP($A183,'Data shares'!$C:$FB,59)</f>
        <v>399650</v>
      </c>
      <c r="L183" s="50">
        <f>VLOOKUP($A183,'Data shares'!$C:$FB,61)*100</f>
        <v>-38.840000000000003</v>
      </c>
      <c r="M183" s="49">
        <f>VLOOKUP($A183,'Data shares'!$C:$FB,62)</f>
        <v>66100</v>
      </c>
      <c r="N183" s="49">
        <f>VLOOKUP($A183,'Data shares'!$C:$FB,63)</f>
        <v>133500</v>
      </c>
      <c r="O183" s="140">
        <f>VLOOKUP($A183,'Data shares'!$C:$FB,65)*100</f>
        <v>-50.49</v>
      </c>
    </row>
    <row r="184" spans="1:15" x14ac:dyDescent="0.25">
      <c r="A184" s="101" t="str">
        <f>'Data Vlaue (Cr)'!C179</f>
        <v>SHRIRAMFIN</v>
      </c>
      <c r="B184" s="50">
        <f>VLOOKUP($A184,'Data shares'!$C:$FB,7)</f>
        <v>1056.8</v>
      </c>
      <c r="C184" s="50">
        <f>VLOOKUP($A184,'Data shares'!$C:$FB,10)*100</f>
        <v>0.77999999999999992</v>
      </c>
      <c r="D184" s="49">
        <f>VLOOKUP($A184,'Data shares'!$C:$FB,66)</f>
        <v>33708675</v>
      </c>
      <c r="E184" s="49">
        <f>VLOOKUP($A184,'Data shares'!$C:$FB,67)</f>
        <v>46659525</v>
      </c>
      <c r="F184" s="50">
        <f>VLOOKUP($A184,'Data shares'!$C:$FB,69)*100</f>
        <v>-27.76</v>
      </c>
      <c r="G184" s="49">
        <f>VLOOKUP($A184,'Data shares'!$C:$FB,42)</f>
        <v>4608450</v>
      </c>
      <c r="H184" s="49">
        <f>VLOOKUP($A184,'Data shares'!$C:$FB,43)</f>
        <v>6073650</v>
      </c>
      <c r="I184" s="50">
        <f>VLOOKUP($A184,'Data shares'!$C:$FB,45)*100</f>
        <v>-24.12</v>
      </c>
      <c r="J184" s="49">
        <f>VLOOKUP($A184,'Data shares'!$C:$FB,58)</f>
        <v>21243750</v>
      </c>
      <c r="K184" s="49">
        <f>VLOOKUP($A184,'Data shares'!$C:$FB,59)</f>
        <v>24878700</v>
      </c>
      <c r="L184" s="50">
        <f>VLOOKUP($A184,'Data shares'!$C:$FB,61)*100</f>
        <v>-14.610000000000001</v>
      </c>
      <c r="M184" s="49">
        <f>VLOOKUP($A184,'Data shares'!$C:$FB,62)</f>
        <v>7856475</v>
      </c>
      <c r="N184" s="49">
        <f>VLOOKUP($A184,'Data shares'!$C:$FB,63)</f>
        <v>15707175</v>
      </c>
      <c r="O184" s="140">
        <f>VLOOKUP($A184,'Data shares'!$C:$FB,65)*100</f>
        <v>-49.980000000000004</v>
      </c>
    </row>
    <row r="185" spans="1:15" x14ac:dyDescent="0.25">
      <c r="A185" s="101" t="str">
        <f>'Data Vlaue (Cr)'!C180</f>
        <v>SIEMENS</v>
      </c>
      <c r="B185" s="50">
        <f>VLOOKUP($A185,'Data shares'!$C:$FB,7)</f>
        <v>3151.6</v>
      </c>
      <c r="C185" s="50">
        <f>VLOOKUP($A185,'Data shares'!$C:$FB,10)*100</f>
        <v>1.29</v>
      </c>
      <c r="D185" s="49">
        <f>VLOOKUP($A185,'Data shares'!$C:$FB,66)</f>
        <v>5468575</v>
      </c>
      <c r="E185" s="49">
        <f>VLOOKUP($A185,'Data shares'!$C:$FB,67)</f>
        <v>4827025</v>
      </c>
      <c r="F185" s="50">
        <f>VLOOKUP($A185,'Data shares'!$C:$FB,69)*100</f>
        <v>13.29</v>
      </c>
      <c r="G185" s="49">
        <f>VLOOKUP($A185,'Data shares'!$C:$FB,42)</f>
        <v>584850</v>
      </c>
      <c r="H185" s="49">
        <f>VLOOKUP($A185,'Data shares'!$C:$FB,43)</f>
        <v>638400</v>
      </c>
      <c r="I185" s="50">
        <f>VLOOKUP($A185,'Data shares'!$C:$FB,45)*100</f>
        <v>-8.39</v>
      </c>
      <c r="J185" s="49">
        <f>VLOOKUP($A185,'Data shares'!$C:$FB,58)</f>
        <v>3804150</v>
      </c>
      <c r="K185" s="49">
        <f>VLOOKUP($A185,'Data shares'!$C:$FB,59)</f>
        <v>3106075</v>
      </c>
      <c r="L185" s="50">
        <f>VLOOKUP($A185,'Data shares'!$C:$FB,61)*100</f>
        <v>22.470000000000002</v>
      </c>
      <c r="M185" s="49">
        <f>VLOOKUP($A185,'Data shares'!$C:$FB,62)</f>
        <v>1079575</v>
      </c>
      <c r="N185" s="49">
        <f>VLOOKUP($A185,'Data shares'!$C:$FB,63)</f>
        <v>1082550</v>
      </c>
      <c r="O185" s="140">
        <f>VLOOKUP($A185,'Data shares'!$C:$FB,65)*100</f>
        <v>-0.27</v>
      </c>
    </row>
    <row r="186" spans="1:15" x14ac:dyDescent="0.25">
      <c r="A186" s="101" t="str">
        <f>'Data Vlaue (Cr)'!C181</f>
        <v>SOLARINDS</v>
      </c>
      <c r="B186" s="50">
        <f>VLOOKUP($A186,'Data shares'!$C:$FB,7)</f>
        <v>13445</v>
      </c>
      <c r="C186" s="50">
        <f>VLOOKUP($A186,'Data shares'!$C:$FB,10)*100</f>
        <v>0.16</v>
      </c>
      <c r="D186" s="49">
        <f>VLOOKUP($A186,'Data shares'!$C:$FB,66)</f>
        <v>508450</v>
      </c>
      <c r="E186" s="49">
        <f>VLOOKUP($A186,'Data shares'!$C:$FB,67)</f>
        <v>744150</v>
      </c>
      <c r="F186" s="50">
        <f>VLOOKUP($A186,'Data shares'!$C:$FB,69)*100</f>
        <v>-31.669999999999998</v>
      </c>
      <c r="G186" s="49">
        <f>VLOOKUP($A186,'Data shares'!$C:$FB,42)</f>
        <v>90650</v>
      </c>
      <c r="H186" s="49">
        <f>VLOOKUP($A186,'Data shares'!$C:$FB,43)</f>
        <v>100400</v>
      </c>
      <c r="I186" s="50">
        <f>VLOOKUP($A186,'Data shares'!$C:$FB,45)*100</f>
        <v>-9.7100000000000009</v>
      </c>
      <c r="J186" s="49">
        <f>VLOOKUP($A186,'Data shares'!$C:$FB,58)</f>
        <v>314850</v>
      </c>
      <c r="K186" s="49">
        <f>VLOOKUP($A186,'Data shares'!$C:$FB,59)</f>
        <v>448450</v>
      </c>
      <c r="L186" s="50">
        <f>VLOOKUP($A186,'Data shares'!$C:$FB,61)*100</f>
        <v>-29.79</v>
      </c>
      <c r="M186" s="49">
        <f>VLOOKUP($A186,'Data shares'!$C:$FB,62)</f>
        <v>102950</v>
      </c>
      <c r="N186" s="49">
        <f>VLOOKUP($A186,'Data shares'!$C:$FB,63)</f>
        <v>195300</v>
      </c>
      <c r="O186" s="140">
        <f>VLOOKUP($A186,'Data shares'!$C:$FB,65)*100</f>
        <v>-47.29</v>
      </c>
    </row>
    <row r="187" spans="1:15" x14ac:dyDescent="0.25">
      <c r="A187" s="101" t="str">
        <f>'Data Vlaue (Cr)'!C182</f>
        <v>SONACOMS</v>
      </c>
      <c r="B187" s="50">
        <f>VLOOKUP($A187,'Data shares'!$C:$FB,7)</f>
        <v>538</v>
      </c>
      <c r="C187" s="50">
        <f>VLOOKUP($A187,'Data shares'!$C:$FB,10)*100</f>
        <v>1.3</v>
      </c>
      <c r="D187" s="49">
        <f>VLOOKUP($A187,'Data shares'!$C:$FB,66)</f>
        <v>17945025</v>
      </c>
      <c r="E187" s="49">
        <f>VLOOKUP($A187,'Data shares'!$C:$FB,67)</f>
        <v>8341025</v>
      </c>
      <c r="F187" s="50">
        <f>VLOOKUP($A187,'Data shares'!$C:$FB,69)*100</f>
        <v>115.14</v>
      </c>
      <c r="G187" s="49">
        <f>VLOOKUP($A187,'Data shares'!$C:$FB,42)</f>
        <v>4479825</v>
      </c>
      <c r="H187" s="49">
        <f>VLOOKUP($A187,'Data shares'!$C:$FB,43)</f>
        <v>2298100</v>
      </c>
      <c r="I187" s="50">
        <f>VLOOKUP($A187,'Data shares'!$C:$FB,45)*100</f>
        <v>94.94</v>
      </c>
      <c r="J187" s="49">
        <f>VLOOKUP($A187,'Data shares'!$C:$FB,58)</f>
        <v>10994375</v>
      </c>
      <c r="K187" s="49">
        <f>VLOOKUP($A187,'Data shares'!$C:$FB,59)</f>
        <v>4041275</v>
      </c>
      <c r="L187" s="50">
        <f>VLOOKUP($A187,'Data shares'!$C:$FB,61)*100</f>
        <v>172.04999999999998</v>
      </c>
      <c r="M187" s="49">
        <f>VLOOKUP($A187,'Data shares'!$C:$FB,62)</f>
        <v>2470825</v>
      </c>
      <c r="N187" s="49">
        <f>VLOOKUP($A187,'Data shares'!$C:$FB,63)</f>
        <v>2001650</v>
      </c>
      <c r="O187" s="140">
        <f>VLOOKUP($A187,'Data shares'!$C:$FB,65)*100</f>
        <v>23.44</v>
      </c>
    </row>
    <row r="188" spans="1:15" x14ac:dyDescent="0.25">
      <c r="A188" s="101" t="str">
        <f>'Data Vlaue (Cr)'!C183</f>
        <v>SRF</v>
      </c>
      <c r="B188" s="50">
        <f>VLOOKUP($A188,'Data shares'!$C:$FB,7)</f>
        <v>2949.1</v>
      </c>
      <c r="C188" s="50">
        <f>VLOOKUP($A188,'Data shares'!$C:$FB,10)*100</f>
        <v>-0.43</v>
      </c>
      <c r="D188" s="49">
        <f>VLOOKUP($A188,'Data shares'!$C:$FB,66)</f>
        <v>1488200</v>
      </c>
      <c r="E188" s="49">
        <f>VLOOKUP($A188,'Data shares'!$C:$FB,67)</f>
        <v>1844800</v>
      </c>
      <c r="F188" s="50">
        <f>VLOOKUP($A188,'Data shares'!$C:$FB,69)*100</f>
        <v>-19.329999999999998</v>
      </c>
      <c r="G188" s="49">
        <f>VLOOKUP($A188,'Data shares'!$C:$FB,42)</f>
        <v>257000</v>
      </c>
      <c r="H188" s="49">
        <f>VLOOKUP($A188,'Data shares'!$C:$FB,43)</f>
        <v>459600</v>
      </c>
      <c r="I188" s="50">
        <f>VLOOKUP($A188,'Data shares'!$C:$FB,45)*100</f>
        <v>-44.080000000000005</v>
      </c>
      <c r="J188" s="49">
        <f>VLOOKUP($A188,'Data shares'!$C:$FB,58)</f>
        <v>820000</v>
      </c>
      <c r="K188" s="49">
        <f>VLOOKUP($A188,'Data shares'!$C:$FB,59)</f>
        <v>1052800</v>
      </c>
      <c r="L188" s="50">
        <f>VLOOKUP($A188,'Data shares'!$C:$FB,61)*100</f>
        <v>-22.11</v>
      </c>
      <c r="M188" s="49">
        <f>VLOOKUP($A188,'Data shares'!$C:$FB,62)</f>
        <v>411200</v>
      </c>
      <c r="N188" s="49">
        <f>VLOOKUP($A188,'Data shares'!$C:$FB,63)</f>
        <v>332400</v>
      </c>
      <c r="O188" s="140">
        <f>VLOOKUP($A188,'Data shares'!$C:$FB,65)*100</f>
        <v>23.71</v>
      </c>
    </row>
    <row r="189" spans="1:15" x14ac:dyDescent="0.25">
      <c r="A189" s="101" t="str">
        <f>'Data Vlaue (Cr)'!C184</f>
        <v>SUNPHARMA</v>
      </c>
      <c r="B189" s="50">
        <f>VLOOKUP($A189,'Data shares'!$C:$FB,7)</f>
        <v>1711.1</v>
      </c>
      <c r="C189" s="50">
        <f>VLOOKUP($A189,'Data shares'!$C:$FB,10)*100</f>
        <v>0.19</v>
      </c>
      <c r="D189" s="49">
        <f>VLOOKUP($A189,'Data shares'!$C:$FB,66)</f>
        <v>11512900</v>
      </c>
      <c r="E189" s="49">
        <f>VLOOKUP($A189,'Data shares'!$C:$FB,67)</f>
        <v>17643500</v>
      </c>
      <c r="F189" s="50">
        <f>VLOOKUP($A189,'Data shares'!$C:$FB,69)*100</f>
        <v>-34.75</v>
      </c>
      <c r="G189" s="49">
        <f>VLOOKUP($A189,'Data shares'!$C:$FB,42)</f>
        <v>955850</v>
      </c>
      <c r="H189" s="49">
        <f>VLOOKUP($A189,'Data shares'!$C:$FB,43)</f>
        <v>1712550</v>
      </c>
      <c r="I189" s="50">
        <f>VLOOKUP($A189,'Data shares'!$C:$FB,45)*100</f>
        <v>-44.190000000000005</v>
      </c>
      <c r="J189" s="49">
        <f>VLOOKUP($A189,'Data shares'!$C:$FB,58)</f>
        <v>6452250</v>
      </c>
      <c r="K189" s="49">
        <f>VLOOKUP($A189,'Data shares'!$C:$FB,59)</f>
        <v>10530800</v>
      </c>
      <c r="L189" s="50">
        <f>VLOOKUP($A189,'Data shares'!$C:$FB,61)*100</f>
        <v>-38.729999999999997</v>
      </c>
      <c r="M189" s="49">
        <f>VLOOKUP($A189,'Data shares'!$C:$FB,62)</f>
        <v>4104800</v>
      </c>
      <c r="N189" s="49">
        <f>VLOOKUP($A189,'Data shares'!$C:$FB,63)</f>
        <v>5400150</v>
      </c>
      <c r="O189" s="140">
        <f>VLOOKUP($A189,'Data shares'!$C:$FB,65)*100</f>
        <v>-23.990000000000002</v>
      </c>
    </row>
    <row r="190" spans="1:15" x14ac:dyDescent="0.25">
      <c r="A190" s="101" t="str">
        <f>'Data Vlaue (Cr)'!C185</f>
        <v>SUPREMEIND</v>
      </c>
      <c r="B190" s="50">
        <f>VLOOKUP($A190,'Data shares'!$C:$FB,7)</f>
        <v>3849.4</v>
      </c>
      <c r="C190" s="50">
        <f>VLOOKUP($A190,'Data shares'!$C:$FB,10)*100</f>
        <v>4.3</v>
      </c>
      <c r="D190" s="49">
        <f>VLOOKUP($A190,'Data shares'!$C:$FB,66)</f>
        <v>6396425</v>
      </c>
      <c r="E190" s="49">
        <f>VLOOKUP($A190,'Data shares'!$C:$FB,67)</f>
        <v>4901575</v>
      </c>
      <c r="F190" s="50">
        <f>VLOOKUP($A190,'Data shares'!$C:$FB,69)*100</f>
        <v>30.5</v>
      </c>
      <c r="G190" s="49">
        <f>VLOOKUP($A190,'Data shares'!$C:$FB,42)</f>
        <v>631050</v>
      </c>
      <c r="H190" s="49">
        <f>VLOOKUP($A190,'Data shares'!$C:$FB,43)</f>
        <v>536550</v>
      </c>
      <c r="I190" s="50">
        <f>VLOOKUP($A190,'Data shares'!$C:$FB,45)*100</f>
        <v>17.61</v>
      </c>
      <c r="J190" s="49">
        <f>VLOOKUP($A190,'Data shares'!$C:$FB,58)</f>
        <v>4778550</v>
      </c>
      <c r="K190" s="49">
        <f>VLOOKUP($A190,'Data shares'!$C:$FB,59)</f>
        <v>3604650</v>
      </c>
      <c r="L190" s="50">
        <f>VLOOKUP($A190,'Data shares'!$C:$FB,61)*100</f>
        <v>32.57</v>
      </c>
      <c r="M190" s="49">
        <f>VLOOKUP($A190,'Data shares'!$C:$FB,62)</f>
        <v>986825</v>
      </c>
      <c r="N190" s="49">
        <f>VLOOKUP($A190,'Data shares'!$C:$FB,63)</f>
        <v>760375</v>
      </c>
      <c r="O190" s="140">
        <f>VLOOKUP($A190,'Data shares'!$C:$FB,65)*100</f>
        <v>29.78</v>
      </c>
    </row>
    <row r="191" spans="1:15" x14ac:dyDescent="0.25">
      <c r="A191" s="101" t="str">
        <f>'Data Vlaue (Cr)'!C186</f>
        <v>SUZLON</v>
      </c>
      <c r="B191" s="50">
        <f>VLOOKUP($A191,'Data shares'!$C:$FB,7)</f>
        <v>47.38</v>
      </c>
      <c r="C191" s="50">
        <f>VLOOKUP($A191,'Data shares'!$C:$FB,10)*100</f>
        <v>-0.65</v>
      </c>
      <c r="D191" s="49">
        <f>VLOOKUP($A191,'Data shares'!$C:$FB,66)</f>
        <v>241427775</v>
      </c>
      <c r="E191" s="49">
        <f>VLOOKUP($A191,'Data shares'!$C:$FB,67)</f>
        <v>194940000</v>
      </c>
      <c r="F191" s="50">
        <f>VLOOKUP($A191,'Data shares'!$C:$FB,69)*100</f>
        <v>23.849999999999998</v>
      </c>
      <c r="G191" s="49">
        <f>VLOOKUP($A191,'Data shares'!$C:$FB,42)</f>
        <v>47336125</v>
      </c>
      <c r="H191" s="49">
        <f>VLOOKUP($A191,'Data shares'!$C:$FB,43)</f>
        <v>32589275</v>
      </c>
      <c r="I191" s="50">
        <f>VLOOKUP($A191,'Data shares'!$C:$FB,45)*100</f>
        <v>45.25</v>
      </c>
      <c r="J191" s="49">
        <f>VLOOKUP($A191,'Data shares'!$C:$FB,58)</f>
        <v>155915900</v>
      </c>
      <c r="K191" s="49">
        <f>VLOOKUP($A191,'Data shares'!$C:$FB,59)</f>
        <v>136800950</v>
      </c>
      <c r="L191" s="50">
        <f>VLOOKUP($A191,'Data shares'!$C:$FB,61)*100</f>
        <v>13.969999999999999</v>
      </c>
      <c r="M191" s="49">
        <f>VLOOKUP($A191,'Data shares'!$C:$FB,62)</f>
        <v>38175750</v>
      </c>
      <c r="N191" s="49">
        <f>VLOOKUP($A191,'Data shares'!$C:$FB,63)</f>
        <v>25549775</v>
      </c>
      <c r="O191" s="140">
        <f>VLOOKUP($A191,'Data shares'!$C:$FB,65)*100</f>
        <v>49.419999999999995</v>
      </c>
    </row>
    <row r="192" spans="1:15" x14ac:dyDescent="0.25">
      <c r="A192" s="101" t="str">
        <f>'Data Vlaue (Cr)'!C187</f>
        <v>SWIGGY</v>
      </c>
      <c r="B192" s="50">
        <f>VLOOKUP($A192,'Data shares'!$C:$FB,7)</f>
        <v>342.3</v>
      </c>
      <c r="C192" s="50">
        <f>VLOOKUP($A192,'Data shares'!$C:$FB,10)*100</f>
        <v>-3.7800000000000002</v>
      </c>
      <c r="D192" s="49">
        <f>VLOOKUP($A192,'Data shares'!$C:$FB,66)</f>
        <v>41645500</v>
      </c>
      <c r="E192" s="49">
        <f>VLOOKUP($A192,'Data shares'!$C:$FB,67)</f>
        <v>102092900</v>
      </c>
      <c r="F192" s="50">
        <f>VLOOKUP($A192,'Data shares'!$C:$FB,69)*100</f>
        <v>-59.209999999999994</v>
      </c>
      <c r="G192" s="49">
        <f>VLOOKUP($A192,'Data shares'!$C:$FB,42)</f>
        <v>11276200</v>
      </c>
      <c r="H192" s="49">
        <f>VLOOKUP($A192,'Data shares'!$C:$FB,43)</f>
        <v>27062100</v>
      </c>
      <c r="I192" s="50">
        <f>VLOOKUP($A192,'Data shares'!$C:$FB,45)*100</f>
        <v>-58.330000000000005</v>
      </c>
      <c r="J192" s="49">
        <f>VLOOKUP($A192,'Data shares'!$C:$FB,58)</f>
        <v>18461300</v>
      </c>
      <c r="K192" s="49">
        <f>VLOOKUP($A192,'Data shares'!$C:$FB,59)</f>
        <v>55491800</v>
      </c>
      <c r="L192" s="50">
        <f>VLOOKUP($A192,'Data shares'!$C:$FB,61)*100</f>
        <v>-66.73</v>
      </c>
      <c r="M192" s="49">
        <f>VLOOKUP($A192,'Data shares'!$C:$FB,62)</f>
        <v>11908000</v>
      </c>
      <c r="N192" s="49">
        <f>VLOOKUP($A192,'Data shares'!$C:$FB,63)</f>
        <v>19539000</v>
      </c>
      <c r="O192" s="140">
        <f>VLOOKUP($A192,'Data shares'!$C:$FB,65)*100</f>
        <v>-39.06</v>
      </c>
    </row>
    <row r="193" spans="1:15" x14ac:dyDescent="0.25">
      <c r="A193" s="101" t="str">
        <f>'Data Vlaue (Cr)'!C188</f>
        <v>SYNGENE</v>
      </c>
      <c r="B193" s="50">
        <f>VLOOKUP($A193,'Data shares'!$C:$FB,7)</f>
        <v>455.1</v>
      </c>
      <c r="C193" s="50">
        <f>VLOOKUP($A193,'Data shares'!$C:$FB,10)*100</f>
        <v>0.51</v>
      </c>
      <c r="D193" s="49">
        <f>VLOOKUP($A193,'Data shares'!$C:$FB,66)</f>
        <v>12456000</v>
      </c>
      <c r="E193" s="49">
        <f>VLOOKUP($A193,'Data shares'!$C:$FB,67)</f>
        <v>7044000</v>
      </c>
      <c r="F193" s="50">
        <f>VLOOKUP($A193,'Data shares'!$C:$FB,69)*100</f>
        <v>76.83</v>
      </c>
      <c r="G193" s="49">
        <f>VLOOKUP($A193,'Data shares'!$C:$FB,42)</f>
        <v>3090000</v>
      </c>
      <c r="H193" s="49">
        <f>VLOOKUP($A193,'Data shares'!$C:$FB,43)</f>
        <v>1943000</v>
      </c>
      <c r="I193" s="50">
        <f>VLOOKUP($A193,'Data shares'!$C:$FB,45)*100</f>
        <v>59.03</v>
      </c>
      <c r="J193" s="49">
        <f>VLOOKUP($A193,'Data shares'!$C:$FB,58)</f>
        <v>7289000</v>
      </c>
      <c r="K193" s="49">
        <f>VLOOKUP($A193,'Data shares'!$C:$FB,59)</f>
        <v>3902000</v>
      </c>
      <c r="L193" s="50">
        <f>VLOOKUP($A193,'Data shares'!$C:$FB,61)*100</f>
        <v>86.8</v>
      </c>
      <c r="M193" s="49">
        <f>VLOOKUP($A193,'Data shares'!$C:$FB,62)</f>
        <v>2077000</v>
      </c>
      <c r="N193" s="49">
        <f>VLOOKUP($A193,'Data shares'!$C:$FB,63)</f>
        <v>1199000</v>
      </c>
      <c r="O193" s="140">
        <f>VLOOKUP($A193,'Data shares'!$C:$FB,65)*100</f>
        <v>73.22999999999999</v>
      </c>
    </row>
    <row r="194" spans="1:15" x14ac:dyDescent="0.25">
      <c r="A194" s="101" t="str">
        <f>'Data Vlaue (Cr)'!C189</f>
        <v>TATACONSUM</v>
      </c>
      <c r="B194" s="50">
        <f>VLOOKUP($A194,'Data shares'!$C:$FB,7)</f>
        <v>1152.5999999999999</v>
      </c>
      <c r="C194" s="50">
        <f>VLOOKUP($A194,'Data shares'!$C:$FB,10)*100</f>
        <v>0.03</v>
      </c>
      <c r="D194" s="49">
        <f>VLOOKUP($A194,'Data shares'!$C:$FB,66)</f>
        <v>3795000</v>
      </c>
      <c r="E194" s="49">
        <f>VLOOKUP($A194,'Data shares'!$C:$FB,67)</f>
        <v>6111600</v>
      </c>
      <c r="F194" s="50">
        <f>VLOOKUP($A194,'Data shares'!$C:$FB,69)*100</f>
        <v>-37.9</v>
      </c>
      <c r="G194" s="49">
        <f>VLOOKUP($A194,'Data shares'!$C:$FB,42)</f>
        <v>833250</v>
      </c>
      <c r="H194" s="49">
        <f>VLOOKUP($A194,'Data shares'!$C:$FB,43)</f>
        <v>1268300</v>
      </c>
      <c r="I194" s="50">
        <f>VLOOKUP($A194,'Data shares'!$C:$FB,45)*100</f>
        <v>-34.300000000000004</v>
      </c>
      <c r="J194" s="49">
        <f>VLOOKUP($A194,'Data shares'!$C:$FB,58)</f>
        <v>2271500</v>
      </c>
      <c r="K194" s="49">
        <f>VLOOKUP($A194,'Data shares'!$C:$FB,59)</f>
        <v>3092100</v>
      </c>
      <c r="L194" s="50">
        <f>VLOOKUP($A194,'Data shares'!$C:$FB,61)*100</f>
        <v>-26.540000000000003</v>
      </c>
      <c r="M194" s="49">
        <f>VLOOKUP($A194,'Data shares'!$C:$FB,62)</f>
        <v>690250</v>
      </c>
      <c r="N194" s="49">
        <f>VLOOKUP($A194,'Data shares'!$C:$FB,63)</f>
        <v>1751200</v>
      </c>
      <c r="O194" s="140">
        <f>VLOOKUP($A194,'Data shares'!$C:$FB,65)*100</f>
        <v>-60.58</v>
      </c>
    </row>
    <row r="195" spans="1:15" x14ac:dyDescent="0.25">
      <c r="A195" s="101" t="str">
        <f>'Data Vlaue (Cr)'!C190</f>
        <v>TATAELXSI</v>
      </c>
      <c r="B195" s="50">
        <f>VLOOKUP($A195,'Data shares'!$C:$FB,7)</f>
        <v>5250.5</v>
      </c>
      <c r="C195" s="50">
        <f>VLOOKUP($A195,'Data shares'!$C:$FB,10)*100</f>
        <v>-2.4299999999999997</v>
      </c>
      <c r="D195" s="49">
        <f>VLOOKUP($A195,'Data shares'!$C:$FB,66)</f>
        <v>2234900</v>
      </c>
      <c r="E195" s="49">
        <f>VLOOKUP($A195,'Data shares'!$C:$FB,67)</f>
        <v>4082300</v>
      </c>
      <c r="F195" s="50">
        <f>VLOOKUP($A195,'Data shares'!$C:$FB,69)*100</f>
        <v>-45.25</v>
      </c>
      <c r="G195" s="49">
        <f>VLOOKUP($A195,'Data shares'!$C:$FB,42)</f>
        <v>287200</v>
      </c>
      <c r="H195" s="49">
        <f>VLOOKUP($A195,'Data shares'!$C:$FB,43)</f>
        <v>372700</v>
      </c>
      <c r="I195" s="50">
        <f>VLOOKUP($A195,'Data shares'!$C:$FB,45)*100</f>
        <v>-22.939999999999998</v>
      </c>
      <c r="J195" s="49">
        <f>VLOOKUP($A195,'Data shares'!$C:$FB,58)</f>
        <v>1491000</v>
      </c>
      <c r="K195" s="49">
        <f>VLOOKUP($A195,'Data shares'!$C:$FB,59)</f>
        <v>3119900</v>
      </c>
      <c r="L195" s="50">
        <f>VLOOKUP($A195,'Data shares'!$C:$FB,61)*100</f>
        <v>-52.21</v>
      </c>
      <c r="M195" s="49">
        <f>VLOOKUP($A195,'Data shares'!$C:$FB,62)</f>
        <v>456700</v>
      </c>
      <c r="N195" s="49">
        <f>VLOOKUP($A195,'Data shares'!$C:$FB,63)</f>
        <v>589700</v>
      </c>
      <c r="O195" s="140">
        <f>VLOOKUP($A195,'Data shares'!$C:$FB,65)*100</f>
        <v>-22.55</v>
      </c>
    </row>
    <row r="196" spans="1:15" x14ac:dyDescent="0.25">
      <c r="A196" s="101" t="str">
        <f>'Data Vlaue (Cr)'!C191</f>
        <v>TATAPOWER</v>
      </c>
      <c r="B196" s="50">
        <f>VLOOKUP($A196,'Data shares'!$C:$FB,7)</f>
        <v>375.65</v>
      </c>
      <c r="C196" s="50">
        <f>VLOOKUP($A196,'Data shares'!$C:$FB,10)*100</f>
        <v>1.54</v>
      </c>
      <c r="D196" s="49">
        <f>VLOOKUP($A196,'Data shares'!$C:$FB,66)</f>
        <v>69054800</v>
      </c>
      <c r="E196" s="49">
        <f>VLOOKUP($A196,'Data shares'!$C:$FB,67)</f>
        <v>30117950</v>
      </c>
      <c r="F196" s="50">
        <f>VLOOKUP($A196,'Data shares'!$C:$FB,69)*100</f>
        <v>129.28</v>
      </c>
      <c r="G196" s="49">
        <f>VLOOKUP($A196,'Data shares'!$C:$FB,42)</f>
        <v>6936800</v>
      </c>
      <c r="H196" s="49">
        <f>VLOOKUP($A196,'Data shares'!$C:$FB,43)</f>
        <v>2947850</v>
      </c>
      <c r="I196" s="50">
        <f>VLOOKUP($A196,'Data shares'!$C:$FB,45)*100</f>
        <v>135.32</v>
      </c>
      <c r="J196" s="49">
        <f>VLOOKUP($A196,'Data shares'!$C:$FB,58)</f>
        <v>44768750</v>
      </c>
      <c r="K196" s="49">
        <f>VLOOKUP($A196,'Data shares'!$C:$FB,59)</f>
        <v>16798250</v>
      </c>
      <c r="L196" s="50">
        <f>VLOOKUP($A196,'Data shares'!$C:$FB,61)*100</f>
        <v>166.51</v>
      </c>
      <c r="M196" s="49">
        <f>VLOOKUP($A196,'Data shares'!$C:$FB,62)</f>
        <v>17349250</v>
      </c>
      <c r="N196" s="49">
        <f>VLOOKUP($A196,'Data shares'!$C:$FB,63)</f>
        <v>10371850</v>
      </c>
      <c r="O196" s="140">
        <f>VLOOKUP($A196,'Data shares'!$C:$FB,65)*100</f>
        <v>67.27</v>
      </c>
    </row>
    <row r="197" spans="1:15" x14ac:dyDescent="0.25">
      <c r="A197" s="101" t="str">
        <f>'Data Vlaue (Cr)'!C192</f>
        <v>TATASTEEL</v>
      </c>
      <c r="B197" s="50">
        <f>VLOOKUP($A197,'Data shares'!$C:$FB,7)</f>
        <v>207.59</v>
      </c>
      <c r="C197" s="50">
        <f>VLOOKUP($A197,'Data shares'!$C:$FB,10)*100</f>
        <v>-0.2</v>
      </c>
      <c r="D197" s="49">
        <f>VLOOKUP($A197,'Data shares'!$C:$FB,66)</f>
        <v>438185000</v>
      </c>
      <c r="E197" s="49">
        <f>VLOOKUP($A197,'Data shares'!$C:$FB,67)</f>
        <v>1105401000</v>
      </c>
      <c r="F197" s="50">
        <f>VLOOKUP($A197,'Data shares'!$C:$FB,69)*100</f>
        <v>-60.36</v>
      </c>
      <c r="G197" s="49">
        <f>VLOOKUP($A197,'Data shares'!$C:$FB,42)</f>
        <v>51700000</v>
      </c>
      <c r="H197" s="49">
        <f>VLOOKUP($A197,'Data shares'!$C:$FB,43)</f>
        <v>106210500</v>
      </c>
      <c r="I197" s="50">
        <f>VLOOKUP($A197,'Data shares'!$C:$FB,45)*100</f>
        <v>-51.32</v>
      </c>
      <c r="J197" s="49">
        <f>VLOOKUP($A197,'Data shares'!$C:$FB,58)</f>
        <v>248479000</v>
      </c>
      <c r="K197" s="49">
        <f>VLOOKUP($A197,'Data shares'!$C:$FB,59)</f>
        <v>687643000</v>
      </c>
      <c r="L197" s="50">
        <f>VLOOKUP($A197,'Data shares'!$C:$FB,61)*100</f>
        <v>-63.870000000000005</v>
      </c>
      <c r="M197" s="49">
        <f>VLOOKUP($A197,'Data shares'!$C:$FB,62)</f>
        <v>138006000</v>
      </c>
      <c r="N197" s="49">
        <f>VLOOKUP($A197,'Data shares'!$C:$FB,63)</f>
        <v>311547500</v>
      </c>
      <c r="O197" s="140">
        <f>VLOOKUP($A197,'Data shares'!$C:$FB,65)*100</f>
        <v>-55.7</v>
      </c>
    </row>
    <row r="198" spans="1:15" x14ac:dyDescent="0.25">
      <c r="A198" s="101" t="str">
        <f>'Data Vlaue (Cr)'!C193</f>
        <v>TATATECH</v>
      </c>
      <c r="B198" s="50">
        <f>VLOOKUP($A198,'Data shares'!$C:$FB,7)</f>
        <v>627.95000000000005</v>
      </c>
      <c r="C198" s="50">
        <f>VLOOKUP($A198,'Data shares'!$C:$FB,10)*100</f>
        <v>-0.44</v>
      </c>
      <c r="D198" s="49">
        <f>VLOOKUP($A198,'Data shares'!$C:$FB,66)</f>
        <v>4602400</v>
      </c>
      <c r="E198" s="49">
        <f>VLOOKUP($A198,'Data shares'!$C:$FB,67)</f>
        <v>11473600</v>
      </c>
      <c r="F198" s="50">
        <f>VLOOKUP($A198,'Data shares'!$C:$FB,69)*100</f>
        <v>-59.89</v>
      </c>
      <c r="G198" s="49">
        <f>VLOOKUP($A198,'Data shares'!$C:$FB,42)</f>
        <v>1196000</v>
      </c>
      <c r="H198" s="49">
        <f>VLOOKUP($A198,'Data shares'!$C:$FB,43)</f>
        <v>2595200</v>
      </c>
      <c r="I198" s="50">
        <f>VLOOKUP($A198,'Data shares'!$C:$FB,45)*100</f>
        <v>-53.910000000000004</v>
      </c>
      <c r="J198" s="49">
        <f>VLOOKUP($A198,'Data shares'!$C:$FB,58)</f>
        <v>2103200</v>
      </c>
      <c r="K198" s="49">
        <f>VLOOKUP($A198,'Data shares'!$C:$FB,59)</f>
        <v>6694400</v>
      </c>
      <c r="L198" s="50">
        <f>VLOOKUP($A198,'Data shares'!$C:$FB,61)*100</f>
        <v>-68.58</v>
      </c>
      <c r="M198" s="49">
        <f>VLOOKUP($A198,'Data shares'!$C:$FB,62)</f>
        <v>1303200</v>
      </c>
      <c r="N198" s="49">
        <f>VLOOKUP($A198,'Data shares'!$C:$FB,63)</f>
        <v>2184000</v>
      </c>
      <c r="O198" s="140">
        <f>VLOOKUP($A198,'Data shares'!$C:$FB,65)*100</f>
        <v>-40.33</v>
      </c>
    </row>
    <row r="199" spans="1:15" x14ac:dyDescent="0.25">
      <c r="A199" s="101" t="str">
        <f>'Data Vlaue (Cr)'!C194</f>
        <v>TCS</v>
      </c>
      <c r="B199" s="50">
        <f>VLOOKUP($A199,'Data shares'!$C:$FB,7)</f>
        <v>2909.8</v>
      </c>
      <c r="C199" s="50">
        <f>VLOOKUP($A199,'Data shares'!$C:$FB,10)*100</f>
        <v>-2.5100000000000002</v>
      </c>
      <c r="D199" s="49">
        <f>VLOOKUP($A199,'Data shares'!$C:$FB,66)</f>
        <v>43380750</v>
      </c>
      <c r="E199" s="49">
        <f>VLOOKUP($A199,'Data shares'!$C:$FB,67)</f>
        <v>41552000</v>
      </c>
      <c r="F199" s="50">
        <f>VLOOKUP($A199,'Data shares'!$C:$FB,69)*100</f>
        <v>4.3999999999999995</v>
      </c>
      <c r="G199" s="49">
        <f>VLOOKUP($A199,'Data shares'!$C:$FB,42)</f>
        <v>4037600</v>
      </c>
      <c r="H199" s="49">
        <f>VLOOKUP($A199,'Data shares'!$C:$FB,43)</f>
        <v>4846625</v>
      </c>
      <c r="I199" s="50">
        <f>VLOOKUP($A199,'Data shares'!$C:$FB,45)*100</f>
        <v>-16.689999999999998</v>
      </c>
      <c r="J199" s="49">
        <f>VLOOKUP($A199,'Data shares'!$C:$FB,58)</f>
        <v>24082975</v>
      </c>
      <c r="K199" s="49">
        <f>VLOOKUP($A199,'Data shares'!$C:$FB,59)</f>
        <v>25289950</v>
      </c>
      <c r="L199" s="50">
        <f>VLOOKUP($A199,'Data shares'!$C:$FB,61)*100</f>
        <v>-4.7699999999999996</v>
      </c>
      <c r="M199" s="49">
        <f>VLOOKUP($A199,'Data shares'!$C:$FB,62)</f>
        <v>15260175</v>
      </c>
      <c r="N199" s="49">
        <f>VLOOKUP($A199,'Data shares'!$C:$FB,63)</f>
        <v>11415425</v>
      </c>
      <c r="O199" s="140">
        <f>VLOOKUP($A199,'Data shares'!$C:$FB,65)*100</f>
        <v>33.68</v>
      </c>
    </row>
    <row r="200" spans="1:15" x14ac:dyDescent="0.25">
      <c r="A200" s="101" t="str">
        <f>'Data Vlaue (Cr)'!C195</f>
        <v>TECHM</v>
      </c>
      <c r="B200" s="50">
        <f>VLOOKUP($A200,'Data shares'!$C:$FB,7)</f>
        <v>1634.4</v>
      </c>
      <c r="C200" s="50">
        <f>VLOOKUP($A200,'Data shares'!$C:$FB,10)*100</f>
        <v>-0.62</v>
      </c>
      <c r="D200" s="49">
        <f>VLOOKUP($A200,'Data shares'!$C:$FB,66)</f>
        <v>12909600</v>
      </c>
      <c r="E200" s="49">
        <f>VLOOKUP($A200,'Data shares'!$C:$FB,67)</f>
        <v>24935400</v>
      </c>
      <c r="F200" s="50">
        <f>VLOOKUP($A200,'Data shares'!$C:$FB,69)*100</f>
        <v>-48.230000000000004</v>
      </c>
      <c r="G200" s="49">
        <f>VLOOKUP($A200,'Data shares'!$C:$FB,42)</f>
        <v>2134200</v>
      </c>
      <c r="H200" s="49">
        <f>VLOOKUP($A200,'Data shares'!$C:$FB,43)</f>
        <v>3445800</v>
      </c>
      <c r="I200" s="50">
        <f>VLOOKUP($A200,'Data shares'!$C:$FB,45)*100</f>
        <v>-38.06</v>
      </c>
      <c r="J200" s="49">
        <f>VLOOKUP($A200,'Data shares'!$C:$FB,58)</f>
        <v>6001200</v>
      </c>
      <c r="K200" s="49">
        <f>VLOOKUP($A200,'Data shares'!$C:$FB,59)</f>
        <v>14967600</v>
      </c>
      <c r="L200" s="50">
        <f>VLOOKUP($A200,'Data shares'!$C:$FB,61)*100</f>
        <v>-59.91</v>
      </c>
      <c r="M200" s="49">
        <f>VLOOKUP($A200,'Data shares'!$C:$FB,62)</f>
        <v>4774200</v>
      </c>
      <c r="N200" s="49">
        <f>VLOOKUP($A200,'Data shares'!$C:$FB,63)</f>
        <v>6522000</v>
      </c>
      <c r="O200" s="140">
        <f>VLOOKUP($A200,'Data shares'!$C:$FB,65)*100</f>
        <v>-26.8</v>
      </c>
    </row>
    <row r="201" spans="1:15" x14ac:dyDescent="0.25">
      <c r="A201" s="101" t="str">
        <f>'Data Vlaue (Cr)'!C196</f>
        <v>TIINDIA</v>
      </c>
      <c r="B201" s="50">
        <f>VLOOKUP($A201,'Data shares'!$C:$FB,7)</f>
        <v>2450.1999999999998</v>
      </c>
      <c r="C201" s="50">
        <f>VLOOKUP($A201,'Data shares'!$C:$FB,10)*100</f>
        <v>0.48</v>
      </c>
      <c r="D201" s="49">
        <f>VLOOKUP($A201,'Data shares'!$C:$FB,66)</f>
        <v>3146800</v>
      </c>
      <c r="E201" s="49">
        <f>VLOOKUP($A201,'Data shares'!$C:$FB,67)</f>
        <v>7024400</v>
      </c>
      <c r="F201" s="50">
        <f>VLOOKUP($A201,'Data shares'!$C:$FB,69)*100</f>
        <v>-55.2</v>
      </c>
      <c r="G201" s="49">
        <f>VLOOKUP($A201,'Data shares'!$C:$FB,42)</f>
        <v>514800</v>
      </c>
      <c r="H201" s="49">
        <f>VLOOKUP($A201,'Data shares'!$C:$FB,43)</f>
        <v>996200</v>
      </c>
      <c r="I201" s="50">
        <f>VLOOKUP($A201,'Data shares'!$C:$FB,45)*100</f>
        <v>-48.32</v>
      </c>
      <c r="J201" s="49">
        <f>VLOOKUP($A201,'Data shares'!$C:$FB,58)</f>
        <v>2070600</v>
      </c>
      <c r="K201" s="49">
        <f>VLOOKUP($A201,'Data shares'!$C:$FB,59)</f>
        <v>4381400</v>
      </c>
      <c r="L201" s="50">
        <f>VLOOKUP($A201,'Data shares'!$C:$FB,61)*100</f>
        <v>-52.739999999999995</v>
      </c>
      <c r="M201" s="49">
        <f>VLOOKUP($A201,'Data shares'!$C:$FB,62)</f>
        <v>561400</v>
      </c>
      <c r="N201" s="49">
        <f>VLOOKUP($A201,'Data shares'!$C:$FB,63)</f>
        <v>1646800</v>
      </c>
      <c r="O201" s="140">
        <f>VLOOKUP($A201,'Data shares'!$C:$FB,65)*100</f>
        <v>-65.91</v>
      </c>
    </row>
    <row r="202" spans="1:15" x14ac:dyDescent="0.25">
      <c r="A202" s="101" t="str">
        <f>'Data Vlaue (Cr)'!C197</f>
        <v>TITAN</v>
      </c>
      <c r="B202" s="50">
        <f>VLOOKUP($A202,'Data shares'!$C:$FB,7)</f>
        <v>4249.1000000000004</v>
      </c>
      <c r="C202" s="50">
        <f>VLOOKUP($A202,'Data shares'!$C:$FB,10)*100</f>
        <v>-0.47000000000000003</v>
      </c>
      <c r="D202" s="49">
        <f>VLOOKUP($A202,'Data shares'!$C:$FB,66)</f>
        <v>73587850</v>
      </c>
      <c r="E202" s="49">
        <f>VLOOKUP($A202,'Data shares'!$C:$FB,67)</f>
        <v>35051625</v>
      </c>
      <c r="F202" s="50">
        <f>VLOOKUP($A202,'Data shares'!$C:$FB,69)*100</f>
        <v>109.94</v>
      </c>
      <c r="G202" s="49">
        <f>VLOOKUP($A202,'Data shares'!$C:$FB,42)</f>
        <v>5075525</v>
      </c>
      <c r="H202" s="49">
        <f>VLOOKUP($A202,'Data shares'!$C:$FB,43)</f>
        <v>2717925</v>
      </c>
      <c r="I202" s="50">
        <f>VLOOKUP($A202,'Data shares'!$C:$FB,45)*100</f>
        <v>86.74</v>
      </c>
      <c r="J202" s="49">
        <f>VLOOKUP($A202,'Data shares'!$C:$FB,58)</f>
        <v>46053175</v>
      </c>
      <c r="K202" s="49">
        <f>VLOOKUP($A202,'Data shares'!$C:$FB,59)</f>
        <v>24602900</v>
      </c>
      <c r="L202" s="50">
        <f>VLOOKUP($A202,'Data shares'!$C:$FB,61)*100</f>
        <v>87.19</v>
      </c>
      <c r="M202" s="49">
        <f>VLOOKUP($A202,'Data shares'!$C:$FB,62)</f>
        <v>22459150</v>
      </c>
      <c r="N202" s="49">
        <f>VLOOKUP($A202,'Data shares'!$C:$FB,63)</f>
        <v>7730800</v>
      </c>
      <c r="O202" s="140">
        <f>VLOOKUP($A202,'Data shares'!$C:$FB,65)*100</f>
        <v>190.52</v>
      </c>
    </row>
    <row r="203" spans="1:15" x14ac:dyDescent="0.25">
      <c r="A203" s="101" t="str">
        <f>'Data Vlaue (Cr)'!C198</f>
        <v>TMPV</v>
      </c>
      <c r="B203" s="50">
        <f>VLOOKUP($A203,'Data shares'!$C:$FB,7)</f>
        <v>384.7</v>
      </c>
      <c r="C203" s="50">
        <f>VLOOKUP($A203,'Data shares'!$C:$FB,10)*100</f>
        <v>1.41</v>
      </c>
      <c r="D203" s="49">
        <f>VLOOKUP($A203,'Data shares'!$C:$FB,66)</f>
        <v>130781600</v>
      </c>
      <c r="E203" s="49">
        <f>VLOOKUP($A203,'Data shares'!$C:$FB,67)</f>
        <v>78276000</v>
      </c>
      <c r="F203" s="50">
        <f>VLOOKUP($A203,'Data shares'!$C:$FB,69)*100</f>
        <v>67.08</v>
      </c>
      <c r="G203" s="49">
        <f>VLOOKUP($A203,'Data shares'!$C:$FB,42)</f>
        <v>16409600</v>
      </c>
      <c r="H203" s="49">
        <f>VLOOKUP($A203,'Data shares'!$C:$FB,43)</f>
        <v>11553600</v>
      </c>
      <c r="I203" s="50">
        <f>VLOOKUP($A203,'Data shares'!$C:$FB,45)*100</f>
        <v>42.03</v>
      </c>
      <c r="J203" s="49">
        <f>VLOOKUP($A203,'Data shares'!$C:$FB,58)</f>
        <v>76440000</v>
      </c>
      <c r="K203" s="49">
        <f>VLOOKUP($A203,'Data shares'!$C:$FB,59)</f>
        <v>43594400</v>
      </c>
      <c r="L203" s="50">
        <f>VLOOKUP($A203,'Data shares'!$C:$FB,61)*100</f>
        <v>75.339999999999989</v>
      </c>
      <c r="M203" s="49">
        <f>VLOOKUP($A203,'Data shares'!$C:$FB,62)</f>
        <v>37932000</v>
      </c>
      <c r="N203" s="49">
        <f>VLOOKUP($A203,'Data shares'!$C:$FB,63)</f>
        <v>23128000</v>
      </c>
      <c r="O203" s="140">
        <f>VLOOKUP($A203,'Data shares'!$C:$FB,65)*100</f>
        <v>64.010000000000005</v>
      </c>
    </row>
    <row r="204" spans="1:15" x14ac:dyDescent="0.25">
      <c r="A204" s="101" t="str">
        <f>'Data Vlaue (Cr)'!C199</f>
        <v>TORNTPHARM</v>
      </c>
      <c r="B204" s="50">
        <f>VLOOKUP($A204,'Data shares'!$C:$FB,7)</f>
        <v>4056.7</v>
      </c>
      <c r="C204" s="50">
        <f>VLOOKUP($A204,'Data shares'!$C:$FB,10)*100</f>
        <v>-0.55999999999999994</v>
      </c>
      <c r="D204" s="49">
        <f>VLOOKUP($A204,'Data shares'!$C:$FB,66)</f>
        <v>1466000</v>
      </c>
      <c r="E204" s="49">
        <f>VLOOKUP($A204,'Data shares'!$C:$FB,67)</f>
        <v>1807500</v>
      </c>
      <c r="F204" s="50">
        <f>VLOOKUP($A204,'Data shares'!$C:$FB,69)*100</f>
        <v>-18.89</v>
      </c>
      <c r="G204" s="49">
        <f>VLOOKUP($A204,'Data shares'!$C:$FB,42)</f>
        <v>447250</v>
      </c>
      <c r="H204" s="49">
        <f>VLOOKUP($A204,'Data shares'!$C:$FB,43)</f>
        <v>374000</v>
      </c>
      <c r="I204" s="50">
        <f>VLOOKUP($A204,'Data shares'!$C:$FB,45)*100</f>
        <v>19.59</v>
      </c>
      <c r="J204" s="49">
        <f>VLOOKUP($A204,'Data shares'!$C:$FB,58)</f>
        <v>778250</v>
      </c>
      <c r="K204" s="49">
        <f>VLOOKUP($A204,'Data shares'!$C:$FB,59)</f>
        <v>1224500</v>
      </c>
      <c r="L204" s="50">
        <f>VLOOKUP($A204,'Data shares'!$C:$FB,61)*100</f>
        <v>-36.44</v>
      </c>
      <c r="M204" s="49">
        <f>VLOOKUP($A204,'Data shares'!$C:$FB,62)</f>
        <v>240500</v>
      </c>
      <c r="N204" s="49">
        <f>VLOOKUP($A204,'Data shares'!$C:$FB,63)</f>
        <v>209000</v>
      </c>
      <c r="O204" s="140">
        <f>VLOOKUP($A204,'Data shares'!$C:$FB,65)*100</f>
        <v>15.07</v>
      </c>
    </row>
    <row r="205" spans="1:15" x14ac:dyDescent="0.25">
      <c r="A205" s="101" t="str">
        <f>'Data Vlaue (Cr)'!C200</f>
        <v>TORNTPOWER</v>
      </c>
      <c r="B205" s="50">
        <f>VLOOKUP($A205,'Data shares'!$C:$FB,7)</f>
        <v>1428.6</v>
      </c>
      <c r="C205" s="50">
        <f>VLOOKUP($A205,'Data shares'!$C:$FB,10)*100</f>
        <v>-3.6700000000000004</v>
      </c>
      <c r="D205" s="49">
        <f>VLOOKUP($A205,'Data shares'!$C:$FB,66)</f>
        <v>31136775</v>
      </c>
      <c r="E205" s="49">
        <f>VLOOKUP($A205,'Data shares'!$C:$FB,67)</f>
        <v>20794825</v>
      </c>
      <c r="F205" s="50">
        <f>VLOOKUP($A205,'Data shares'!$C:$FB,69)*100</f>
        <v>49.730000000000004</v>
      </c>
      <c r="G205" s="49">
        <f>VLOOKUP($A205,'Data shares'!$C:$FB,42)</f>
        <v>4118250</v>
      </c>
      <c r="H205" s="49">
        <f>VLOOKUP($A205,'Data shares'!$C:$FB,43)</f>
        <v>2284800</v>
      </c>
      <c r="I205" s="50">
        <f>VLOOKUP($A205,'Data shares'!$C:$FB,45)*100</f>
        <v>80.25</v>
      </c>
      <c r="J205" s="49">
        <f>VLOOKUP($A205,'Data shares'!$C:$FB,58)</f>
        <v>17733125</v>
      </c>
      <c r="K205" s="49">
        <f>VLOOKUP($A205,'Data shares'!$C:$FB,59)</f>
        <v>13731325</v>
      </c>
      <c r="L205" s="50">
        <f>VLOOKUP($A205,'Data shares'!$C:$FB,61)*100</f>
        <v>29.14</v>
      </c>
      <c r="M205" s="49">
        <f>VLOOKUP($A205,'Data shares'!$C:$FB,62)</f>
        <v>9285400</v>
      </c>
      <c r="N205" s="49">
        <f>VLOOKUP($A205,'Data shares'!$C:$FB,63)</f>
        <v>4778700</v>
      </c>
      <c r="O205" s="140">
        <f>VLOOKUP($A205,'Data shares'!$C:$FB,65)*100</f>
        <v>94.31</v>
      </c>
    </row>
    <row r="206" spans="1:15" x14ac:dyDescent="0.25">
      <c r="A206" s="101" t="str">
        <f>'Data Vlaue (Cr)'!C201</f>
        <v>TRENT</v>
      </c>
      <c r="B206" s="50">
        <f>VLOOKUP($A206,'Data shares'!$C:$FB,7)</f>
        <v>4218.8999999999996</v>
      </c>
      <c r="C206" s="50">
        <f>VLOOKUP($A206,'Data shares'!$C:$FB,10)*100</f>
        <v>0.82000000000000006</v>
      </c>
      <c r="D206" s="49">
        <f>VLOOKUP($A206,'Data shares'!$C:$FB,66)</f>
        <v>8125900</v>
      </c>
      <c r="E206" s="49">
        <f>VLOOKUP($A206,'Data shares'!$C:$FB,67)</f>
        <v>5248900</v>
      </c>
      <c r="F206" s="50">
        <f>VLOOKUP($A206,'Data shares'!$C:$FB,69)*100</f>
        <v>54.81</v>
      </c>
      <c r="G206" s="49">
        <f>VLOOKUP($A206,'Data shares'!$C:$FB,42)</f>
        <v>761900</v>
      </c>
      <c r="H206" s="49">
        <f>VLOOKUP($A206,'Data shares'!$C:$FB,43)</f>
        <v>559000</v>
      </c>
      <c r="I206" s="50">
        <f>VLOOKUP($A206,'Data shares'!$C:$FB,45)*100</f>
        <v>36.299999999999997</v>
      </c>
      <c r="J206" s="49">
        <f>VLOOKUP($A206,'Data shares'!$C:$FB,58)</f>
        <v>4915000</v>
      </c>
      <c r="K206" s="49">
        <f>VLOOKUP($A206,'Data shares'!$C:$FB,59)</f>
        <v>2949900</v>
      </c>
      <c r="L206" s="50">
        <f>VLOOKUP($A206,'Data shares'!$C:$FB,61)*100</f>
        <v>66.62</v>
      </c>
      <c r="M206" s="49">
        <f>VLOOKUP($A206,'Data shares'!$C:$FB,62)</f>
        <v>2449000</v>
      </c>
      <c r="N206" s="49">
        <f>VLOOKUP($A206,'Data shares'!$C:$FB,63)</f>
        <v>1740000</v>
      </c>
      <c r="O206" s="140">
        <f>VLOOKUP($A206,'Data shares'!$C:$FB,65)*100</f>
        <v>40.75</v>
      </c>
    </row>
    <row r="207" spans="1:15" x14ac:dyDescent="0.25">
      <c r="A207" s="101" t="str">
        <f>'Data Vlaue (Cr)'!C202</f>
        <v>TVSMOTOR</v>
      </c>
      <c r="B207" s="50">
        <f>VLOOKUP($A207,'Data shares'!$C:$FB,7)</f>
        <v>3865.1</v>
      </c>
      <c r="C207" s="50">
        <f>VLOOKUP($A207,'Data shares'!$C:$FB,10)*100</f>
        <v>2.73</v>
      </c>
      <c r="D207" s="49">
        <f>VLOOKUP($A207,'Data shares'!$C:$FB,66)</f>
        <v>17166800</v>
      </c>
      <c r="E207" s="49">
        <f>VLOOKUP($A207,'Data shares'!$C:$FB,67)</f>
        <v>2835875</v>
      </c>
      <c r="F207" s="50">
        <f>VLOOKUP($A207,'Data shares'!$C:$FB,69)*100</f>
        <v>505.34</v>
      </c>
      <c r="G207" s="49">
        <f>VLOOKUP($A207,'Data shares'!$C:$FB,42)</f>
        <v>1267525</v>
      </c>
      <c r="H207" s="49">
        <f>VLOOKUP($A207,'Data shares'!$C:$FB,43)</f>
        <v>837900</v>
      </c>
      <c r="I207" s="50">
        <f>VLOOKUP($A207,'Data shares'!$C:$FB,45)*100</f>
        <v>51.27</v>
      </c>
      <c r="J207" s="49">
        <f>VLOOKUP($A207,'Data shares'!$C:$FB,58)</f>
        <v>12622050</v>
      </c>
      <c r="K207" s="49">
        <f>VLOOKUP($A207,'Data shares'!$C:$FB,59)</f>
        <v>1398075</v>
      </c>
      <c r="L207" s="50">
        <f>VLOOKUP($A207,'Data shares'!$C:$FB,61)*100</f>
        <v>802.82</v>
      </c>
      <c r="M207" s="49">
        <f>VLOOKUP($A207,'Data shares'!$C:$FB,62)</f>
        <v>3277225</v>
      </c>
      <c r="N207" s="49">
        <f>VLOOKUP($A207,'Data shares'!$C:$FB,63)</f>
        <v>599900</v>
      </c>
      <c r="O207" s="140">
        <f>VLOOKUP($A207,'Data shares'!$C:$FB,65)*100</f>
        <v>446.3</v>
      </c>
    </row>
    <row r="208" spans="1:15" x14ac:dyDescent="0.25">
      <c r="A208" s="101" t="str">
        <f>'Data Vlaue (Cr)'!C203</f>
        <v>ULTRACEMCO</v>
      </c>
      <c r="B208" s="50">
        <f>VLOOKUP($A208,'Data shares'!$C:$FB,7)</f>
        <v>12969</v>
      </c>
      <c r="C208" s="50">
        <f>VLOOKUP($A208,'Data shares'!$C:$FB,10)*100</f>
        <v>-0.41000000000000003</v>
      </c>
      <c r="D208" s="49">
        <f>VLOOKUP($A208,'Data shares'!$C:$FB,66)</f>
        <v>1416150</v>
      </c>
      <c r="E208" s="49">
        <f>VLOOKUP($A208,'Data shares'!$C:$FB,67)</f>
        <v>2213950</v>
      </c>
      <c r="F208" s="50">
        <f>VLOOKUP($A208,'Data shares'!$C:$FB,69)*100</f>
        <v>-36.04</v>
      </c>
      <c r="G208" s="49">
        <f>VLOOKUP($A208,'Data shares'!$C:$FB,42)</f>
        <v>158450</v>
      </c>
      <c r="H208" s="49">
        <f>VLOOKUP($A208,'Data shares'!$C:$FB,43)</f>
        <v>187300</v>
      </c>
      <c r="I208" s="50">
        <f>VLOOKUP($A208,'Data shares'!$C:$FB,45)*100</f>
        <v>-15.4</v>
      </c>
      <c r="J208" s="49">
        <f>VLOOKUP($A208,'Data shares'!$C:$FB,58)</f>
        <v>785200</v>
      </c>
      <c r="K208" s="49">
        <f>VLOOKUP($A208,'Data shares'!$C:$FB,59)</f>
        <v>1290150</v>
      </c>
      <c r="L208" s="50">
        <f>VLOOKUP($A208,'Data shares'!$C:$FB,61)*100</f>
        <v>-39.14</v>
      </c>
      <c r="M208" s="49">
        <f>VLOOKUP($A208,'Data shares'!$C:$FB,62)</f>
        <v>472500</v>
      </c>
      <c r="N208" s="49">
        <f>VLOOKUP($A208,'Data shares'!$C:$FB,63)</f>
        <v>736500</v>
      </c>
      <c r="O208" s="140">
        <f>VLOOKUP($A208,'Data shares'!$C:$FB,65)*100</f>
        <v>-35.85</v>
      </c>
    </row>
    <row r="209" spans="1:15" x14ac:dyDescent="0.25">
      <c r="A209" s="101" t="str">
        <f>'Data Vlaue (Cr)'!C204</f>
        <v>UNIONBANK</v>
      </c>
      <c r="B209" s="50">
        <f>VLOOKUP($A209,'Data shares'!$C:$FB,7)</f>
        <v>180.33</v>
      </c>
      <c r="C209" s="50">
        <f>VLOOKUP($A209,'Data shares'!$C:$FB,10)*100</f>
        <v>0.6</v>
      </c>
      <c r="D209" s="49">
        <f>VLOOKUP($A209,'Data shares'!$C:$FB,66)</f>
        <v>98004900</v>
      </c>
      <c r="E209" s="49">
        <f>VLOOKUP($A209,'Data shares'!$C:$FB,67)</f>
        <v>52015875</v>
      </c>
      <c r="F209" s="50">
        <f>VLOOKUP($A209,'Data shares'!$C:$FB,69)*100</f>
        <v>88.41</v>
      </c>
      <c r="G209" s="49">
        <f>VLOOKUP($A209,'Data shares'!$C:$FB,42)</f>
        <v>15775125</v>
      </c>
      <c r="H209" s="49">
        <f>VLOOKUP($A209,'Data shares'!$C:$FB,43)</f>
        <v>10974000</v>
      </c>
      <c r="I209" s="50">
        <f>VLOOKUP($A209,'Data shares'!$C:$FB,45)*100</f>
        <v>43.75</v>
      </c>
      <c r="J209" s="49">
        <f>VLOOKUP($A209,'Data shares'!$C:$FB,58)</f>
        <v>64330650</v>
      </c>
      <c r="K209" s="49">
        <f>VLOOKUP($A209,'Data shares'!$C:$FB,59)</f>
        <v>30479400</v>
      </c>
      <c r="L209" s="50">
        <f>VLOOKUP($A209,'Data shares'!$C:$FB,61)*100</f>
        <v>111.06</v>
      </c>
      <c r="M209" s="49">
        <f>VLOOKUP($A209,'Data shares'!$C:$FB,62)</f>
        <v>17899125</v>
      </c>
      <c r="N209" s="49">
        <f>VLOOKUP($A209,'Data shares'!$C:$FB,63)</f>
        <v>10562475</v>
      </c>
      <c r="O209" s="140">
        <f>VLOOKUP($A209,'Data shares'!$C:$FB,65)*100</f>
        <v>69.459999999999994</v>
      </c>
    </row>
    <row r="210" spans="1:15" x14ac:dyDescent="0.25">
      <c r="A210" s="101" t="str">
        <f>'Data Vlaue (Cr)'!C205</f>
        <v>UNITDSPR</v>
      </c>
      <c r="B210" s="50">
        <f>VLOOKUP($A210,'Data shares'!$C:$FB,7)</f>
        <v>1412.9</v>
      </c>
      <c r="C210" s="50">
        <f>VLOOKUP($A210,'Data shares'!$C:$FB,10)*100</f>
        <v>0.21</v>
      </c>
      <c r="D210" s="49">
        <f>VLOOKUP($A210,'Data shares'!$C:$FB,66)</f>
        <v>2604800</v>
      </c>
      <c r="E210" s="49">
        <f>VLOOKUP($A210,'Data shares'!$C:$FB,67)</f>
        <v>2760800</v>
      </c>
      <c r="F210" s="50">
        <f>VLOOKUP($A210,'Data shares'!$C:$FB,69)*100</f>
        <v>-5.65</v>
      </c>
      <c r="G210" s="49">
        <f>VLOOKUP($A210,'Data shares'!$C:$FB,42)</f>
        <v>550800</v>
      </c>
      <c r="H210" s="49">
        <f>VLOOKUP($A210,'Data shares'!$C:$FB,43)</f>
        <v>511600</v>
      </c>
      <c r="I210" s="50">
        <f>VLOOKUP($A210,'Data shares'!$C:$FB,45)*100</f>
        <v>7.66</v>
      </c>
      <c r="J210" s="49">
        <f>VLOOKUP($A210,'Data shares'!$C:$FB,58)</f>
        <v>1298800</v>
      </c>
      <c r="K210" s="49">
        <f>VLOOKUP($A210,'Data shares'!$C:$FB,59)</f>
        <v>1586400</v>
      </c>
      <c r="L210" s="50">
        <f>VLOOKUP($A210,'Data shares'!$C:$FB,61)*100</f>
        <v>-18.13</v>
      </c>
      <c r="M210" s="49">
        <f>VLOOKUP($A210,'Data shares'!$C:$FB,62)</f>
        <v>755200</v>
      </c>
      <c r="N210" s="49">
        <f>VLOOKUP($A210,'Data shares'!$C:$FB,63)</f>
        <v>662800</v>
      </c>
      <c r="O210" s="140">
        <f>VLOOKUP($A210,'Data shares'!$C:$FB,65)*100</f>
        <v>13.94</v>
      </c>
    </row>
    <row r="211" spans="1:15" x14ac:dyDescent="0.25">
      <c r="A211" s="101" t="str">
        <f>'Data Vlaue (Cr)'!C206</f>
        <v>UNOMINDA</v>
      </c>
      <c r="B211" s="50">
        <f>VLOOKUP($A211,'Data shares'!$C:$FB,7)</f>
        <v>1245.8</v>
      </c>
      <c r="C211" s="50">
        <f>VLOOKUP($A211,'Data shares'!$C:$FB,10)*100</f>
        <v>1.1900000000000002</v>
      </c>
      <c r="D211" s="49">
        <f>VLOOKUP($A211,'Data shares'!$C:$FB,66)</f>
        <v>6647850</v>
      </c>
      <c r="E211" s="49">
        <f>VLOOKUP($A211,'Data shares'!$C:$FB,67)</f>
        <v>5303650</v>
      </c>
      <c r="F211" s="50">
        <f>VLOOKUP($A211,'Data shares'!$C:$FB,69)*100</f>
        <v>25.34</v>
      </c>
      <c r="G211" s="49">
        <f>VLOOKUP($A211,'Data shares'!$C:$FB,42)</f>
        <v>964150</v>
      </c>
      <c r="H211" s="49">
        <f>VLOOKUP($A211,'Data shares'!$C:$FB,43)</f>
        <v>781000</v>
      </c>
      <c r="I211" s="50">
        <f>VLOOKUP($A211,'Data shares'!$C:$FB,45)*100</f>
        <v>23.45</v>
      </c>
      <c r="J211" s="49">
        <f>VLOOKUP($A211,'Data shares'!$C:$FB,58)</f>
        <v>4026000</v>
      </c>
      <c r="K211" s="49">
        <f>VLOOKUP($A211,'Data shares'!$C:$FB,59)</f>
        <v>3139950</v>
      </c>
      <c r="L211" s="50">
        <f>VLOOKUP($A211,'Data shares'!$C:$FB,61)*100</f>
        <v>28.22</v>
      </c>
      <c r="M211" s="49">
        <f>VLOOKUP($A211,'Data shares'!$C:$FB,62)</f>
        <v>1657700</v>
      </c>
      <c r="N211" s="49">
        <f>VLOOKUP($A211,'Data shares'!$C:$FB,63)</f>
        <v>1382700</v>
      </c>
      <c r="O211" s="140">
        <f>VLOOKUP($A211,'Data shares'!$C:$FB,65)*100</f>
        <v>19.89</v>
      </c>
    </row>
    <row r="212" spans="1:15" x14ac:dyDescent="0.25">
      <c r="A212" s="101" t="str">
        <f>'Data Vlaue (Cr)'!C207</f>
        <v>UPL</v>
      </c>
      <c r="B212" s="50">
        <f>VLOOKUP($A212,'Data shares'!$C:$FB,7)</f>
        <v>749</v>
      </c>
      <c r="C212" s="50">
        <f>VLOOKUP($A212,'Data shares'!$C:$FB,10)*100</f>
        <v>0.4</v>
      </c>
      <c r="D212" s="49">
        <f>VLOOKUP($A212,'Data shares'!$C:$FB,66)</f>
        <v>13357590</v>
      </c>
      <c r="E212" s="49">
        <f>VLOOKUP($A212,'Data shares'!$C:$FB,67)</f>
        <v>22287040</v>
      </c>
      <c r="F212" s="50">
        <f>VLOOKUP($A212,'Data shares'!$C:$FB,69)*100</f>
        <v>-40.07</v>
      </c>
      <c r="G212" s="49">
        <f>VLOOKUP($A212,'Data shares'!$C:$FB,42)</f>
        <v>3184250</v>
      </c>
      <c r="H212" s="49">
        <f>VLOOKUP($A212,'Data shares'!$C:$FB,43)</f>
        <v>3800775</v>
      </c>
      <c r="I212" s="50">
        <f>VLOOKUP($A212,'Data shares'!$C:$FB,45)*100</f>
        <v>-16.220000000000002</v>
      </c>
      <c r="J212" s="49">
        <f>VLOOKUP($A212,'Data shares'!$C:$FB,58)</f>
        <v>7787185</v>
      </c>
      <c r="K212" s="49">
        <f>VLOOKUP($A212,'Data shares'!$C:$FB,59)</f>
        <v>13041875</v>
      </c>
      <c r="L212" s="50">
        <f>VLOOKUP($A212,'Data shares'!$C:$FB,61)*100</f>
        <v>-40.29</v>
      </c>
      <c r="M212" s="49">
        <f>VLOOKUP($A212,'Data shares'!$C:$FB,62)</f>
        <v>2386155</v>
      </c>
      <c r="N212" s="49">
        <f>VLOOKUP($A212,'Data shares'!$C:$FB,63)</f>
        <v>5444390</v>
      </c>
      <c r="O212" s="140">
        <f>VLOOKUP($A212,'Data shares'!$C:$FB,65)*100</f>
        <v>-56.169999999999995</v>
      </c>
    </row>
    <row r="213" spans="1:15" x14ac:dyDescent="0.25">
      <c r="A213" s="101" t="str">
        <f>'Data Vlaue (Cr)'!C208</f>
        <v>VBL</v>
      </c>
      <c r="B213" s="50">
        <f>VLOOKUP($A213,'Data shares'!$C:$FB,7)</f>
        <v>456.9</v>
      </c>
      <c r="C213" s="50">
        <f>VLOOKUP($A213,'Data shares'!$C:$FB,10)*100</f>
        <v>0.09</v>
      </c>
      <c r="D213" s="49">
        <f>VLOOKUP($A213,'Data shares'!$C:$FB,66)</f>
        <v>15480000</v>
      </c>
      <c r="E213" s="49">
        <f>VLOOKUP($A213,'Data shares'!$C:$FB,67)</f>
        <v>33321375</v>
      </c>
      <c r="F213" s="50">
        <f>VLOOKUP($A213,'Data shares'!$C:$FB,69)*100</f>
        <v>-53.54</v>
      </c>
      <c r="G213" s="49">
        <f>VLOOKUP($A213,'Data shares'!$C:$FB,42)</f>
        <v>2911500</v>
      </c>
      <c r="H213" s="49">
        <f>VLOOKUP($A213,'Data shares'!$C:$FB,43)</f>
        <v>6781500</v>
      </c>
      <c r="I213" s="50">
        <f>VLOOKUP($A213,'Data shares'!$C:$FB,45)*100</f>
        <v>-57.07</v>
      </c>
      <c r="J213" s="49">
        <f>VLOOKUP($A213,'Data shares'!$C:$FB,58)</f>
        <v>9165375</v>
      </c>
      <c r="K213" s="49">
        <f>VLOOKUP($A213,'Data shares'!$C:$FB,59)</f>
        <v>17619750</v>
      </c>
      <c r="L213" s="50">
        <f>VLOOKUP($A213,'Data shares'!$C:$FB,61)*100</f>
        <v>-47.980000000000004</v>
      </c>
      <c r="M213" s="49">
        <f>VLOOKUP($A213,'Data shares'!$C:$FB,62)</f>
        <v>3403125</v>
      </c>
      <c r="N213" s="49">
        <f>VLOOKUP($A213,'Data shares'!$C:$FB,63)</f>
        <v>8920125</v>
      </c>
      <c r="O213" s="140">
        <f>VLOOKUP($A213,'Data shares'!$C:$FB,65)*100</f>
        <v>-61.850000000000009</v>
      </c>
    </row>
    <row r="214" spans="1:15" x14ac:dyDescent="0.25">
      <c r="A214" s="101" t="str">
        <f>'Data Vlaue (Cr)'!C209</f>
        <v>VEDL</v>
      </c>
      <c r="B214" s="50">
        <f>VLOOKUP($A214,'Data shares'!$C:$FB,7)</f>
        <v>701.15</v>
      </c>
      <c r="C214" s="50">
        <f>VLOOKUP($A214,'Data shares'!$C:$FB,10)*100</f>
        <v>1.59</v>
      </c>
      <c r="D214" s="49">
        <f>VLOOKUP($A214,'Data shares'!$C:$FB,66)</f>
        <v>94452950</v>
      </c>
      <c r="E214" s="49">
        <f>VLOOKUP($A214,'Data shares'!$C:$FB,67)</f>
        <v>82796550</v>
      </c>
      <c r="F214" s="50">
        <f>VLOOKUP($A214,'Data shares'!$C:$FB,69)*100</f>
        <v>14.08</v>
      </c>
      <c r="G214" s="49">
        <f>VLOOKUP($A214,'Data shares'!$C:$FB,42)</f>
        <v>13290550</v>
      </c>
      <c r="H214" s="49">
        <f>VLOOKUP($A214,'Data shares'!$C:$FB,43)</f>
        <v>11832350</v>
      </c>
      <c r="I214" s="50">
        <f>VLOOKUP($A214,'Data shares'!$C:$FB,45)*100</f>
        <v>12.32</v>
      </c>
      <c r="J214" s="49">
        <f>VLOOKUP($A214,'Data shares'!$C:$FB,58)</f>
        <v>55016000</v>
      </c>
      <c r="K214" s="49">
        <f>VLOOKUP($A214,'Data shares'!$C:$FB,59)</f>
        <v>45813700</v>
      </c>
      <c r="L214" s="50">
        <f>VLOOKUP($A214,'Data shares'!$C:$FB,61)*100</f>
        <v>20.09</v>
      </c>
      <c r="M214" s="49">
        <f>VLOOKUP($A214,'Data shares'!$C:$FB,62)</f>
        <v>26146400</v>
      </c>
      <c r="N214" s="49">
        <f>VLOOKUP($A214,'Data shares'!$C:$FB,63)</f>
        <v>25150500</v>
      </c>
      <c r="O214" s="140">
        <f>VLOOKUP($A214,'Data shares'!$C:$FB,65)*100</f>
        <v>3.9600000000000004</v>
      </c>
    </row>
    <row r="215" spans="1:15" x14ac:dyDescent="0.25">
      <c r="A215" s="101" t="str">
        <f>'Data Vlaue (Cr)'!C210</f>
        <v>VOLTAS</v>
      </c>
      <c r="B215" s="50">
        <f>VLOOKUP($A215,'Data shares'!$C:$FB,7)</f>
        <v>1506.5</v>
      </c>
      <c r="C215" s="50">
        <f>VLOOKUP($A215,'Data shares'!$C:$FB,10)*100</f>
        <v>2.09</v>
      </c>
      <c r="D215" s="49">
        <f>VLOOKUP($A215,'Data shares'!$C:$FB,66)</f>
        <v>10484625</v>
      </c>
      <c r="E215" s="49">
        <f>VLOOKUP($A215,'Data shares'!$C:$FB,67)</f>
        <v>18562125</v>
      </c>
      <c r="F215" s="50">
        <f>VLOOKUP($A215,'Data shares'!$C:$FB,69)*100</f>
        <v>-43.519999999999996</v>
      </c>
      <c r="G215" s="49">
        <f>VLOOKUP($A215,'Data shares'!$C:$FB,42)</f>
        <v>1750500</v>
      </c>
      <c r="H215" s="49">
        <f>VLOOKUP($A215,'Data shares'!$C:$FB,43)</f>
        <v>3106500</v>
      </c>
      <c r="I215" s="50">
        <f>VLOOKUP($A215,'Data shares'!$C:$FB,45)*100</f>
        <v>-43.65</v>
      </c>
      <c r="J215" s="49">
        <f>VLOOKUP($A215,'Data shares'!$C:$FB,58)</f>
        <v>5631375</v>
      </c>
      <c r="K215" s="49">
        <f>VLOOKUP($A215,'Data shares'!$C:$FB,59)</f>
        <v>9430125</v>
      </c>
      <c r="L215" s="50">
        <f>VLOOKUP($A215,'Data shares'!$C:$FB,61)*100</f>
        <v>-40.28</v>
      </c>
      <c r="M215" s="49">
        <f>VLOOKUP($A215,'Data shares'!$C:$FB,62)</f>
        <v>3102750</v>
      </c>
      <c r="N215" s="49">
        <f>VLOOKUP($A215,'Data shares'!$C:$FB,63)</f>
        <v>6025500</v>
      </c>
      <c r="O215" s="140">
        <f>VLOOKUP($A215,'Data shares'!$C:$FB,65)*100</f>
        <v>-48.51</v>
      </c>
    </row>
    <row r="216" spans="1:15" x14ac:dyDescent="0.25">
      <c r="A216" s="101" t="str">
        <f>'Data Vlaue (Cr)'!C211</f>
        <v>WAAREEENER</v>
      </c>
      <c r="B216" s="50">
        <f>VLOOKUP($A216,'Data shares'!$C:$FB,7)</f>
        <v>3177.6</v>
      </c>
      <c r="C216" s="50">
        <f>VLOOKUP($A216,'Data shares'!$C:$FB,10)*100</f>
        <v>0.44</v>
      </c>
      <c r="D216" s="49">
        <f>VLOOKUP($A216,'Data shares'!$C:$FB,66)</f>
        <v>3788750</v>
      </c>
      <c r="E216" s="49">
        <f>VLOOKUP($A216,'Data shares'!$C:$FB,67)</f>
        <v>3984750</v>
      </c>
      <c r="F216" s="50">
        <f>VLOOKUP($A216,'Data shares'!$C:$FB,69)*100</f>
        <v>-4.92</v>
      </c>
      <c r="G216" s="49">
        <f>VLOOKUP($A216,'Data shares'!$C:$FB,42)</f>
        <v>1238650</v>
      </c>
      <c r="H216" s="49">
        <f>VLOOKUP($A216,'Data shares'!$C:$FB,43)</f>
        <v>1113350</v>
      </c>
      <c r="I216" s="50">
        <f>VLOOKUP($A216,'Data shares'!$C:$FB,45)*100</f>
        <v>11.25</v>
      </c>
      <c r="J216" s="49">
        <f>VLOOKUP($A216,'Data shares'!$C:$FB,58)</f>
        <v>1896125</v>
      </c>
      <c r="K216" s="49">
        <f>VLOOKUP($A216,'Data shares'!$C:$FB,59)</f>
        <v>2186100</v>
      </c>
      <c r="L216" s="50">
        <f>VLOOKUP($A216,'Data shares'!$C:$FB,61)*100</f>
        <v>-13.26</v>
      </c>
      <c r="M216" s="49">
        <f>VLOOKUP($A216,'Data shares'!$C:$FB,62)</f>
        <v>653975</v>
      </c>
      <c r="N216" s="49">
        <f>VLOOKUP($A216,'Data shares'!$C:$FB,63)</f>
        <v>685300</v>
      </c>
      <c r="O216" s="140">
        <f>VLOOKUP($A216,'Data shares'!$C:$FB,65)*100</f>
        <v>-4.5699999999999994</v>
      </c>
    </row>
    <row r="217" spans="1:15" x14ac:dyDescent="0.25">
      <c r="A217" s="101" t="str">
        <f>'Data Vlaue (Cr)'!C212</f>
        <v>WIPRO</v>
      </c>
      <c r="B217" s="50">
        <f>VLOOKUP($A217,'Data shares'!$C:$FB,7)</f>
        <v>229.81</v>
      </c>
      <c r="C217" s="50">
        <f>VLOOKUP($A217,'Data shares'!$C:$FB,10)*100</f>
        <v>-0.72</v>
      </c>
      <c r="D217" s="49">
        <f>VLOOKUP($A217,'Data shares'!$C:$FB,66)</f>
        <v>96012000</v>
      </c>
      <c r="E217" s="49">
        <f>VLOOKUP($A217,'Data shares'!$C:$FB,67)</f>
        <v>142398000</v>
      </c>
      <c r="F217" s="50">
        <f>VLOOKUP($A217,'Data shares'!$C:$FB,69)*100</f>
        <v>-32.57</v>
      </c>
      <c r="G217" s="49">
        <f>VLOOKUP($A217,'Data shares'!$C:$FB,42)</f>
        <v>19248000</v>
      </c>
      <c r="H217" s="49">
        <f>VLOOKUP($A217,'Data shares'!$C:$FB,43)</f>
        <v>32928000</v>
      </c>
      <c r="I217" s="50">
        <f>VLOOKUP($A217,'Data shares'!$C:$FB,45)*100</f>
        <v>-41.55</v>
      </c>
      <c r="J217" s="49">
        <f>VLOOKUP($A217,'Data shares'!$C:$FB,58)</f>
        <v>47862000</v>
      </c>
      <c r="K217" s="49">
        <f>VLOOKUP($A217,'Data shares'!$C:$FB,59)</f>
        <v>74427000</v>
      </c>
      <c r="L217" s="50">
        <f>VLOOKUP($A217,'Data shares'!$C:$FB,61)*100</f>
        <v>-35.69</v>
      </c>
      <c r="M217" s="49">
        <f>VLOOKUP($A217,'Data shares'!$C:$FB,62)</f>
        <v>28902000</v>
      </c>
      <c r="N217" s="49">
        <f>VLOOKUP($A217,'Data shares'!$C:$FB,63)</f>
        <v>35043000</v>
      </c>
      <c r="O217" s="140">
        <f>VLOOKUP($A217,'Data shares'!$C:$FB,65)*100</f>
        <v>-17.52</v>
      </c>
    </row>
    <row r="218" spans="1:15" x14ac:dyDescent="0.25">
      <c r="A218" s="101" t="str">
        <f>'Data Vlaue (Cr)'!C213</f>
        <v>YESBANK</v>
      </c>
      <c r="B218" s="50">
        <f>VLOOKUP($A218,'Data shares'!$C:$FB,7)</f>
        <v>21.32</v>
      </c>
      <c r="C218" s="50">
        <f>VLOOKUP($A218,'Data shares'!$C:$FB,10)*100</f>
        <v>-0.37</v>
      </c>
      <c r="D218" s="49">
        <f>VLOOKUP($A218,'Data shares'!$C:$FB,66)</f>
        <v>290536200</v>
      </c>
      <c r="E218" s="49">
        <f>VLOOKUP($A218,'Data shares'!$C:$FB,67)</f>
        <v>416802200</v>
      </c>
      <c r="F218" s="50">
        <f>VLOOKUP($A218,'Data shares'!$C:$FB,69)*100</f>
        <v>-30.29</v>
      </c>
      <c r="G218" s="49">
        <f>VLOOKUP($A218,'Data shares'!$C:$FB,42)</f>
        <v>84934100</v>
      </c>
      <c r="H218" s="49">
        <f>VLOOKUP($A218,'Data shares'!$C:$FB,43)</f>
        <v>113794900</v>
      </c>
      <c r="I218" s="50">
        <f>VLOOKUP($A218,'Data shares'!$C:$FB,45)*100</f>
        <v>-25.36</v>
      </c>
      <c r="J218" s="49">
        <f>VLOOKUP($A218,'Data shares'!$C:$FB,58)</f>
        <v>150679500</v>
      </c>
      <c r="K218" s="49">
        <f>VLOOKUP($A218,'Data shares'!$C:$FB,59)</f>
        <v>225879300</v>
      </c>
      <c r="L218" s="50">
        <f>VLOOKUP($A218,'Data shares'!$C:$FB,61)*100</f>
        <v>-33.29</v>
      </c>
      <c r="M218" s="49">
        <f>VLOOKUP($A218,'Data shares'!$C:$FB,62)</f>
        <v>54922600</v>
      </c>
      <c r="N218" s="49">
        <f>VLOOKUP($A218,'Data shares'!$C:$FB,63)</f>
        <v>77128000</v>
      </c>
      <c r="O218" s="140">
        <f>VLOOKUP($A218,'Data shares'!$C:$FB,65)*100</f>
        <v>-28.79</v>
      </c>
    </row>
    <row r="219" spans="1:15" x14ac:dyDescent="0.25">
      <c r="A219" s="101"/>
      <c r="B219" s="50"/>
      <c r="C219" s="50"/>
      <c r="D219" s="49"/>
      <c r="E219" s="49"/>
      <c r="F219" s="50"/>
      <c r="G219" s="49"/>
      <c r="H219" s="49"/>
      <c r="I219" s="50"/>
      <c r="J219" s="49"/>
      <c r="K219" s="49"/>
      <c r="L219" s="50"/>
      <c r="M219" s="49"/>
      <c r="N219" s="49"/>
      <c r="O219" s="140"/>
    </row>
    <row r="220" spans="1:15" x14ac:dyDescent="0.25">
      <c r="A220" s="101" t="str">
        <f>'Data Vlaue (Cr)'!C214</f>
        <v>ZYDUSLIFE</v>
      </c>
      <c r="B220" s="50">
        <f>VLOOKUP($A220,'Data shares'!$C:$FB,7)</f>
        <v>898.3</v>
      </c>
      <c r="C220" s="50">
        <f>VLOOKUP($A220,'Data shares'!$C:$FB,10)*100</f>
        <v>1.24</v>
      </c>
      <c r="D220" s="49">
        <f>VLOOKUP($A220,'Data shares'!$C:$FB,66)</f>
        <v>23956200</v>
      </c>
      <c r="E220" s="49">
        <f>VLOOKUP($A220,'Data shares'!$C:$FB,67)</f>
        <v>62219700</v>
      </c>
      <c r="F220" s="50">
        <f>VLOOKUP($A220,'Data shares'!$C:$FB,69)*100</f>
        <v>-61.5</v>
      </c>
      <c r="G220" s="49">
        <f>VLOOKUP($A220,'Data shares'!$C:$FB,42)</f>
        <v>3485700</v>
      </c>
      <c r="H220" s="49">
        <f>VLOOKUP($A220,'Data shares'!$C:$FB,43)</f>
        <v>5578200</v>
      </c>
      <c r="I220" s="50">
        <f>VLOOKUP($A220,'Data shares'!$C:$FB,45)*100</f>
        <v>-37.51</v>
      </c>
      <c r="J220" s="49">
        <f>VLOOKUP($A220,'Data shares'!$C:$FB,58)</f>
        <v>15481800</v>
      </c>
      <c r="K220" s="49">
        <f>VLOOKUP($A220,'Data shares'!$C:$FB,59)</f>
        <v>39307500</v>
      </c>
      <c r="L220" s="50">
        <f>VLOOKUP($A220,'Data shares'!$C:$FB,61)*100</f>
        <v>-60.61</v>
      </c>
      <c r="M220" s="49">
        <f>VLOOKUP($A220,'Data shares'!$C:$FB,62)</f>
        <v>4988700</v>
      </c>
      <c r="N220" s="49">
        <f>VLOOKUP($A220,'Data shares'!$C:$FB,63)</f>
        <v>17334000</v>
      </c>
      <c r="O220" s="140">
        <f>VLOOKUP($A220,'Data shares'!$C:$FB,65)*100</f>
        <v>-71.22</v>
      </c>
    </row>
    <row r="221" spans="1:15" x14ac:dyDescent="0.25">
      <c r="A221" s="101"/>
      <c r="B221" s="50"/>
      <c r="C221" s="50"/>
      <c r="D221" s="49"/>
      <c r="E221" s="49"/>
      <c r="F221" s="50"/>
      <c r="G221" s="49"/>
      <c r="H221" s="49"/>
      <c r="I221" s="50"/>
      <c r="J221" s="49"/>
      <c r="K221" s="49"/>
      <c r="L221" s="50"/>
      <c r="M221" s="49"/>
      <c r="N221" s="49"/>
      <c r="O221" s="140"/>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17"/>
      <c r="C225" s="17"/>
      <c r="D225" s="17"/>
      <c r="E225" s="17"/>
      <c r="F225" s="17"/>
      <c r="G225" s="17"/>
      <c r="H225" s="17"/>
      <c r="I225" s="17"/>
      <c r="J225" s="17"/>
      <c r="K225" s="17"/>
      <c r="L225" s="17"/>
      <c r="M225" s="17"/>
      <c r="N225" s="17"/>
      <c r="O225" s="17"/>
    </row>
    <row r="226" spans="1:15" x14ac:dyDescent="0.25">
      <c r="A226" s="102"/>
      <c r="B226" s="17"/>
      <c r="C226" s="17"/>
      <c r="D226" s="17"/>
      <c r="E226" s="17"/>
      <c r="F226" s="17"/>
      <c r="G226" s="17"/>
      <c r="H226" s="17"/>
      <c r="I226" s="17"/>
      <c r="J226" s="17"/>
      <c r="K226" s="17"/>
      <c r="L226" s="17"/>
      <c r="M226" s="17"/>
      <c r="N226" s="17"/>
      <c r="O226" s="17"/>
    </row>
    <row r="227" spans="1:15" x14ac:dyDescent="0.25">
      <c r="A227" s="133" t="s">
        <v>391</v>
      </c>
      <c r="B227" s="133"/>
      <c r="C227" s="133"/>
      <c r="D227" s="133">
        <f>SUM(D7:D221)</f>
        <v>18131603551</v>
      </c>
      <c r="E227" s="133">
        <f>SUM(E7:E221)</f>
        <v>34396555134</v>
      </c>
      <c r="F227" s="134">
        <f>(D227-E227)/E227</f>
        <v>-0.47286571343077799</v>
      </c>
      <c r="G227" s="133">
        <f>SUM(G7:G221)</f>
        <v>2750881295</v>
      </c>
      <c r="H227" s="133">
        <f>SUM(H7:H221)</f>
        <v>2055401262</v>
      </c>
      <c r="I227" s="134">
        <f>(G227-H227)/H227</f>
        <v>0.33836703609068819</v>
      </c>
      <c r="J227" s="133">
        <f>SUM(J7:J221)</f>
        <v>9799195973</v>
      </c>
      <c r="K227" s="133">
        <f>SUM(K7:K221)</f>
        <v>17767808512</v>
      </c>
      <c r="L227" s="134">
        <f>(J227-K227)/K227</f>
        <v>-0.4484859533249792</v>
      </c>
      <c r="M227" s="133">
        <f>SUM(M7:M221)</f>
        <v>5581526283</v>
      </c>
      <c r="N227" s="133">
        <f>SUM(N7:N221)</f>
        <v>14573345360</v>
      </c>
      <c r="O227" s="134">
        <f>(M227-N227)/N227</f>
        <v>-0.61700445950318161</v>
      </c>
    </row>
    <row r="228" spans="1:15" x14ac:dyDescent="0.25">
      <c r="A228" s="133" t="s">
        <v>398</v>
      </c>
      <c r="B228" s="133"/>
      <c r="C228" s="133"/>
      <c r="D228" s="133">
        <f>D227/10000000</f>
        <v>1813.1603551000001</v>
      </c>
      <c r="E228" s="133">
        <f>E227/10000000</f>
        <v>3439.6555134</v>
      </c>
      <c r="F228" s="134">
        <f>(D228-E228)/E228</f>
        <v>-0.47286571343077799</v>
      </c>
      <c r="G228" s="133">
        <f>G227/10000000</f>
        <v>275.08812949999998</v>
      </c>
      <c r="H228" s="133">
        <f>H227/10000000</f>
        <v>205.5401262</v>
      </c>
      <c r="I228" s="134">
        <f>(G228-H228)/H228</f>
        <v>0.33836703609068802</v>
      </c>
      <c r="J228" s="133">
        <f>J227/10000000</f>
        <v>979.91959729999996</v>
      </c>
      <c r="K228" s="133">
        <f>K227/10000000</f>
        <v>1776.7808511999999</v>
      </c>
      <c r="L228" s="134">
        <f>(J228-K228)/K228</f>
        <v>-0.4484859533249792</v>
      </c>
      <c r="M228" s="133">
        <f>M227/10000000</f>
        <v>558.15262829999995</v>
      </c>
      <c r="N228" s="133">
        <f>N227/10000000</f>
        <v>1457.3345360000001</v>
      </c>
      <c r="O228" s="134">
        <f>(M228-N228)/N228</f>
        <v>-0.61700445950318172</v>
      </c>
    </row>
    <row r="229" spans="1:15" x14ac:dyDescent="0.25">
      <c r="A229" s="17"/>
      <c r="B229" s="17"/>
      <c r="C229" s="17"/>
      <c r="D229" s="17"/>
      <c r="E229" s="17"/>
      <c r="F229" s="17"/>
      <c r="G229" s="17"/>
      <c r="H229" s="17"/>
      <c r="I229" s="17"/>
      <c r="J229" s="17"/>
      <c r="K229" s="17"/>
      <c r="L229" s="17"/>
      <c r="M229" s="17"/>
      <c r="N229" s="17"/>
      <c r="O229"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213" activePane="bottomLeft" state="frozen"/>
      <selection pane="bottomLeft" activeCell="M221" sqref="M221"/>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8" t="s">
        <v>311</v>
      </c>
      <c r="B3" s="309"/>
      <c r="C3" s="309"/>
      <c r="D3" s="309"/>
      <c r="E3" s="309"/>
      <c r="F3" s="309"/>
      <c r="G3" s="309"/>
      <c r="H3" s="309"/>
      <c r="I3" s="309"/>
      <c r="J3" s="309"/>
      <c r="K3" s="309"/>
      <c r="L3" s="268"/>
      <c r="M3" s="268"/>
      <c r="N3" s="268"/>
      <c r="O3" s="310"/>
    </row>
    <row r="4" spans="1:19" s="104" customFormat="1" x14ac:dyDescent="0.25">
      <c r="A4" s="287" t="s">
        <v>330</v>
      </c>
      <c r="B4" s="287" t="s">
        <v>311</v>
      </c>
      <c r="C4" s="287"/>
      <c r="D4" s="287"/>
      <c r="E4" s="287"/>
      <c r="F4" s="287"/>
      <c r="G4" s="287"/>
      <c r="H4" s="287" t="s">
        <v>365</v>
      </c>
      <c r="I4" s="287"/>
      <c r="J4" s="287"/>
      <c r="K4" s="287"/>
      <c r="L4" s="287" t="s">
        <v>309</v>
      </c>
      <c r="M4" s="287"/>
      <c r="N4" s="287"/>
      <c r="O4" s="287"/>
    </row>
    <row r="5" spans="1:19" s="104" customFormat="1" x14ac:dyDescent="0.25">
      <c r="A5" s="306"/>
      <c r="B5" s="306" t="s">
        <v>316</v>
      </c>
      <c r="C5" s="306"/>
      <c r="D5" s="306"/>
      <c r="E5" s="306" t="s">
        <v>317</v>
      </c>
      <c r="F5" s="306"/>
      <c r="G5" s="306"/>
      <c r="H5" s="306" t="s">
        <v>336</v>
      </c>
      <c r="I5" s="306"/>
      <c r="J5" s="306" t="s">
        <v>342</v>
      </c>
      <c r="K5" s="306"/>
      <c r="L5" s="306" t="s">
        <v>336</v>
      </c>
      <c r="M5" s="306"/>
      <c r="N5" s="306" t="s">
        <v>342</v>
      </c>
      <c r="O5" s="307"/>
    </row>
    <row r="6" spans="1:19" s="104" customFormat="1" x14ac:dyDescent="0.25">
      <c r="A6" s="76" t="s">
        <v>318</v>
      </c>
      <c r="B6" s="3">
        <f>'Total Valume'!B6</f>
        <v>46064</v>
      </c>
      <c r="C6" s="76" t="s">
        <v>322</v>
      </c>
      <c r="D6" s="76" t="s">
        <v>328</v>
      </c>
      <c r="E6" s="3">
        <f>B6</f>
        <v>46064</v>
      </c>
      <c r="F6" s="76" t="s">
        <v>322</v>
      </c>
      <c r="G6" s="76" t="s">
        <v>328</v>
      </c>
      <c r="H6" s="3">
        <f>E6</f>
        <v>46064</v>
      </c>
      <c r="I6" s="76" t="s">
        <v>333</v>
      </c>
      <c r="J6" s="3">
        <f>E6</f>
        <v>46064</v>
      </c>
      <c r="K6" s="76" t="s">
        <v>333</v>
      </c>
      <c r="L6" s="3">
        <f>E6</f>
        <v>46064</v>
      </c>
      <c r="M6" s="76" t="s">
        <v>333</v>
      </c>
      <c r="N6" s="3">
        <f>E6</f>
        <v>46064</v>
      </c>
      <c r="O6" s="76" t="s">
        <v>333</v>
      </c>
    </row>
    <row r="7" spans="1:19" x14ac:dyDescent="0.25">
      <c r="A7" s="105" t="str">
        <f>'Data Vlaue (Cr)'!C2</f>
        <v>360ONE</v>
      </c>
      <c r="B7" s="143">
        <f>VLOOKUP($A7,'Data shares'!$C:$FA,118)</f>
        <v>0.76</v>
      </c>
      <c r="C7" s="143">
        <f>VLOOKUP($A7,'Data shares'!$C:$FA,119)</f>
        <v>0.73</v>
      </c>
      <c r="D7" s="143">
        <f>VLOOKUP($A7,'Data shares'!$C:$FA,121)*100</f>
        <v>4.1099999999999994</v>
      </c>
      <c r="E7" s="143">
        <f>VLOOKUP($A7,'Data shares'!$C:$FA,124)</f>
        <v>0.48</v>
      </c>
      <c r="F7" s="143">
        <f>VLOOKUP($A7,'Data shares'!$C:$FA,125)</f>
        <v>0.34</v>
      </c>
      <c r="G7" s="143">
        <f>VLOOKUP($A7,'Data shares'!$C:$FA,127)*100</f>
        <v>41.18</v>
      </c>
      <c r="H7" s="103">
        <f>VLOOKUP($A7,'OI(Volume)'!$A$7:$O$440,8)</f>
        <v>1690500</v>
      </c>
      <c r="I7" s="103">
        <f>VLOOKUP($A7,'OI(Volume)'!$A$7:$O$440,9)</f>
        <v>106000</v>
      </c>
      <c r="J7" s="103">
        <f>VLOOKUP($A7,'OI(Volume)'!$A$7:$O$440,11)</f>
        <v>1276500</v>
      </c>
      <c r="K7" s="103">
        <f>VLOOKUP($A7,'OI(Volume)'!$A$7:$O$440,12)</f>
        <v>121000</v>
      </c>
      <c r="L7" s="103">
        <f>VLOOKUP($A7,'OI(Value)'!$A$7:$O$323,8,0)</f>
        <v>193</v>
      </c>
      <c r="M7" s="103">
        <f>VLOOKUP($A7,'OI(Value)'!$A$7:$O$323,9,0)</f>
        <v>12</v>
      </c>
      <c r="N7" s="103">
        <f>VLOOKUP($A7,'OI(Value)'!$A$7:$O$323,11,0)</f>
        <v>146</v>
      </c>
      <c r="O7" s="103">
        <f>VLOOKUP($A7,'OI(Value)'!$A$7:$O$323,12,0)</f>
        <v>14</v>
      </c>
      <c r="P7" s="179">
        <f>VLOOKUP(A7,'OI(Value)'!A7:O182,8,0)</f>
        <v>193</v>
      </c>
      <c r="Q7" s="179">
        <f>VLOOKUP(A7,'OI(Value)'!A7:O182,9,0)</f>
        <v>12</v>
      </c>
      <c r="R7" s="179">
        <f>VLOOKUP(A7,'OI(Value)'!A7:O182,11,0)</f>
        <v>146</v>
      </c>
      <c r="S7" s="179">
        <f>VLOOKUP(A7,'OI(Value)'!A7:O182,12,0)</f>
        <v>14</v>
      </c>
    </row>
    <row r="8" spans="1:19" x14ac:dyDescent="0.25">
      <c r="A8" s="105" t="str">
        <f>'Data Vlaue (Cr)'!C3</f>
        <v>ABB</v>
      </c>
      <c r="B8" s="143">
        <f>VLOOKUP($A8,'Data shares'!$C:$FA,118)</f>
        <v>0.74</v>
      </c>
      <c r="C8" s="143">
        <f>VLOOKUP($A8,'Data shares'!$C:$FA,119)</f>
        <v>0.74</v>
      </c>
      <c r="D8" s="143">
        <f>VLOOKUP($A8,'Data shares'!$C:$FA,121)*100</f>
        <v>0</v>
      </c>
      <c r="E8" s="143">
        <f>VLOOKUP($A8,'Data shares'!$C:$FA,124)</f>
        <v>1.02</v>
      </c>
      <c r="F8" s="143">
        <f>VLOOKUP($A8,'Data shares'!$C:$FA,125)</f>
        <v>0.43</v>
      </c>
      <c r="G8" s="143">
        <f>VLOOKUP($A8,'Data shares'!$C:$FA,127)*100</f>
        <v>137.21</v>
      </c>
      <c r="H8" s="103">
        <f>VLOOKUP($A8,'OI(Volume)'!$A$7:$O$440,8)</f>
        <v>1306250</v>
      </c>
      <c r="I8" s="103">
        <f>VLOOKUP($A8,'OI(Volume)'!$A$7:$O$440,9)</f>
        <v>22625</v>
      </c>
      <c r="J8" s="103">
        <f>VLOOKUP($A8,'OI(Volume)'!$A$7:$O$440,11)</f>
        <v>962375</v>
      </c>
      <c r="K8" s="103">
        <f>VLOOKUP($A8,'OI(Volume)'!$A$7:$O$440,12)</f>
        <v>8125</v>
      </c>
      <c r="L8" s="103">
        <f>VLOOKUP($A8,'OI(Value)'!$A$7:$O$323,8,0)</f>
        <v>761</v>
      </c>
      <c r="M8" s="103">
        <f>VLOOKUP($A8,'OI(Value)'!$A$7:$O$323,9,0)</f>
        <v>13</v>
      </c>
      <c r="N8" s="103">
        <f>VLOOKUP($A8,'OI(Value)'!$A$7:$O$323,11,0)</f>
        <v>561</v>
      </c>
      <c r="O8" s="103">
        <f>VLOOKUP($A8,'OI(Value)'!$A$7:$O$323,12,0)</f>
        <v>5</v>
      </c>
      <c r="P8" s="179">
        <f>VLOOKUP(A8,'OI(Value)'!A8:O226,8,0)</f>
        <v>761</v>
      </c>
      <c r="Q8" s="179">
        <f>VLOOKUP(A8,'OI(Value)'!A8:O226,9,0)</f>
        <v>13</v>
      </c>
      <c r="R8" s="179">
        <f>VLOOKUP(A8,'OI(Value)'!A8:O226,11,0)</f>
        <v>561</v>
      </c>
      <c r="S8" s="179">
        <f>VLOOKUP(A8,'OI(Value)'!A8:O226,11,0)</f>
        <v>561</v>
      </c>
    </row>
    <row r="9" spans="1:19" x14ac:dyDescent="0.25">
      <c r="A9" s="105" t="str">
        <f>'Data Vlaue (Cr)'!C4</f>
        <v>ABCAPITAL</v>
      </c>
      <c r="B9" s="143">
        <f>VLOOKUP($A9,'Data shares'!$C:$FA,118)</f>
        <v>0.6</v>
      </c>
      <c r="C9" s="143">
        <f>VLOOKUP($A9,'Data shares'!$C:$FA,119)</f>
        <v>0.76</v>
      </c>
      <c r="D9" s="143">
        <f>VLOOKUP($A9,'Data shares'!$C:$FA,121)*100</f>
        <v>-21.05</v>
      </c>
      <c r="E9" s="143">
        <f>VLOOKUP($A9,'Data shares'!$C:$FA,124)</f>
        <v>0.49</v>
      </c>
      <c r="F9" s="143">
        <f>VLOOKUP($A9,'Data shares'!$C:$FA,125)</f>
        <v>0.48</v>
      </c>
      <c r="G9" s="143">
        <f>VLOOKUP($A9,'Data shares'!$C:$FA,127)*100</f>
        <v>2.08</v>
      </c>
      <c r="H9" s="103">
        <f>VLOOKUP($A9,'OI(Volume)'!$A$7:$O$440,8)</f>
        <v>22186700</v>
      </c>
      <c r="I9" s="103">
        <f>VLOOKUP($A9,'OI(Volume)'!$A$7:$O$440,9)</f>
        <v>5006500</v>
      </c>
      <c r="J9" s="103">
        <f>VLOOKUP($A9,'OI(Volume)'!$A$7:$O$440,11)</f>
        <v>13206000</v>
      </c>
      <c r="K9" s="103">
        <f>VLOOKUP($A9,'OI(Volume)'!$A$7:$O$440,12)</f>
        <v>111600</v>
      </c>
      <c r="L9" s="103">
        <f>VLOOKUP($A9,'OI(Value)'!$A$7:$O$323,8,0)</f>
        <v>764</v>
      </c>
      <c r="M9" s="103">
        <f>VLOOKUP($A9,'OI(Value)'!$A$7:$O$323,9,0)</f>
        <v>172</v>
      </c>
      <c r="N9" s="103">
        <f>VLOOKUP($A9,'OI(Value)'!$A$7:$O$323,11,0)</f>
        <v>455</v>
      </c>
      <c r="O9" s="103">
        <f>VLOOKUP($A9,'OI(Value)'!$A$7:$O$323,12,0)</f>
        <v>4</v>
      </c>
      <c r="P9" s="179">
        <f>VLOOKUP(A9,'OI(Value)'!A9:O227,8,0)</f>
        <v>764</v>
      </c>
      <c r="Q9" s="179">
        <f>VLOOKUP(A9,'OI(Value)'!A9:O227,9,0)</f>
        <v>172</v>
      </c>
      <c r="R9" s="179">
        <f>VLOOKUP(A9,'OI(Value)'!A9:O227,11,0)</f>
        <v>455</v>
      </c>
      <c r="S9" s="179">
        <f>VLOOKUP(A9,'OI(Value)'!A9:O227,11,0)</f>
        <v>455</v>
      </c>
    </row>
    <row r="10" spans="1:19" x14ac:dyDescent="0.25">
      <c r="A10" s="105" t="str">
        <f>'Data Vlaue (Cr)'!C5</f>
        <v>ADANIENSOL</v>
      </c>
      <c r="B10" s="143">
        <f>VLOOKUP($A10,'Data shares'!$C:$FA,118)</f>
        <v>0.85</v>
      </c>
      <c r="C10" s="143">
        <f>VLOOKUP($A10,'Data shares'!$C:$FA,119)</f>
        <v>0.85</v>
      </c>
      <c r="D10" s="143">
        <f>VLOOKUP($A10,'Data shares'!$C:$FA,121)*100</f>
        <v>0</v>
      </c>
      <c r="E10" s="143">
        <f>VLOOKUP($A10,'Data shares'!$C:$FA,124)</f>
        <v>0.72</v>
      </c>
      <c r="F10" s="143">
        <f>VLOOKUP($A10,'Data shares'!$C:$FA,125)</f>
        <v>1.17</v>
      </c>
      <c r="G10" s="143">
        <f>VLOOKUP($A10,'Data shares'!$C:$FA,127)*100</f>
        <v>-38.46</v>
      </c>
      <c r="H10" s="103">
        <f>VLOOKUP($A10,'OI(Volume)'!$A$7:$O$440,8)</f>
        <v>4009500</v>
      </c>
      <c r="I10" s="103">
        <f>VLOOKUP($A10,'OI(Volume)'!$A$7:$O$440,9)</f>
        <v>-138375</v>
      </c>
      <c r="J10" s="103">
        <f>VLOOKUP($A10,'OI(Volume)'!$A$7:$O$440,11)</f>
        <v>3392550</v>
      </c>
      <c r="K10" s="103">
        <f>VLOOKUP($A10,'OI(Volume)'!$A$7:$O$440,12)</f>
        <v>-117450</v>
      </c>
      <c r="L10" s="103">
        <f>VLOOKUP($A10,'OI(Value)'!$A$7:$O$323,8,0)</f>
        <v>416</v>
      </c>
      <c r="M10" s="103">
        <f>VLOOKUP($A10,'OI(Value)'!$A$7:$O$323,9,0)</f>
        <v>-14</v>
      </c>
      <c r="N10" s="103">
        <f>VLOOKUP($A10,'OI(Value)'!$A$7:$O$323,11,0)</f>
        <v>352</v>
      </c>
      <c r="O10" s="103">
        <f>VLOOKUP($A10,'OI(Value)'!$A$7:$O$323,12,0)</f>
        <v>-12</v>
      </c>
      <c r="P10" s="179">
        <f>VLOOKUP(A10,'OI(Value)'!A10:O228,8,0)</f>
        <v>416</v>
      </c>
      <c r="Q10" s="179">
        <f>VLOOKUP(A10,'OI(Value)'!A10:O228,9,0)</f>
        <v>-14</v>
      </c>
      <c r="R10" s="179">
        <f>VLOOKUP(A10,'OI(Value)'!A10:O228,11,0)</f>
        <v>352</v>
      </c>
      <c r="S10" s="179">
        <f>VLOOKUP(A10,'OI(Value)'!A10:O228,11,0)</f>
        <v>352</v>
      </c>
    </row>
    <row r="11" spans="1:19" x14ac:dyDescent="0.25">
      <c r="A11" s="105" t="str">
        <f>'Data Vlaue (Cr)'!C6</f>
        <v>ADANIENT</v>
      </c>
      <c r="B11" s="143">
        <f>VLOOKUP($A11,'Data shares'!$C:$FA,118)</f>
        <v>0.91</v>
      </c>
      <c r="C11" s="143">
        <f>VLOOKUP($A11,'Data shares'!$C:$FA,119)</f>
        <v>0.94</v>
      </c>
      <c r="D11" s="143">
        <f>VLOOKUP($A11,'Data shares'!$C:$FA,121)*100</f>
        <v>-3.19</v>
      </c>
      <c r="E11" s="143">
        <f>VLOOKUP($A11,'Data shares'!$C:$FA,124)</f>
        <v>0.75</v>
      </c>
      <c r="F11" s="143">
        <f>VLOOKUP($A11,'Data shares'!$C:$FA,125)</f>
        <v>1.1100000000000001</v>
      </c>
      <c r="G11" s="143">
        <f>VLOOKUP($A11,'Data shares'!$C:$FA,127)*100</f>
        <v>-32.43</v>
      </c>
      <c r="H11" s="103">
        <f>VLOOKUP($A11,'OI(Volume)'!$A$7:$O$440,8)</f>
        <v>8355669</v>
      </c>
      <c r="I11" s="103">
        <f>VLOOKUP($A11,'OI(Volume)'!$A$7:$O$440,9)</f>
        <v>197142</v>
      </c>
      <c r="J11" s="103">
        <f>VLOOKUP($A11,'OI(Volume)'!$A$7:$O$440,11)</f>
        <v>7634154</v>
      </c>
      <c r="K11" s="103">
        <f>VLOOKUP($A11,'OI(Volume)'!$A$7:$O$440,12)</f>
        <v>-36153</v>
      </c>
      <c r="L11" s="103">
        <f>VLOOKUP($A11,'OI(Value)'!$A$7:$O$323,8,0)</f>
        <v>1869</v>
      </c>
      <c r="M11" s="103">
        <f>VLOOKUP($A11,'OI(Value)'!$A$7:$O$323,9,0)</f>
        <v>44</v>
      </c>
      <c r="N11" s="103">
        <f>VLOOKUP($A11,'OI(Value)'!$A$7:$O$323,11,0)</f>
        <v>1708</v>
      </c>
      <c r="O11" s="103">
        <f>VLOOKUP($A11,'OI(Value)'!$A$7:$O$323,12,0)</f>
        <v>-8</v>
      </c>
      <c r="P11" s="179">
        <f>VLOOKUP(A11,'OI(Value)'!A11:O229,8,0)</f>
        <v>1869</v>
      </c>
      <c r="Q11" s="179">
        <f>VLOOKUP(A11,'OI(Value)'!A11:O229,9,0)</f>
        <v>44</v>
      </c>
      <c r="R11" s="179">
        <f>VLOOKUP(A11,'OI(Value)'!A11:O229,11,0)</f>
        <v>1708</v>
      </c>
      <c r="S11" s="179">
        <f>VLOOKUP(A11,'OI(Value)'!A11:O229,11,0)</f>
        <v>1708</v>
      </c>
    </row>
    <row r="12" spans="1:19" x14ac:dyDescent="0.25">
      <c r="A12" s="105" t="str">
        <f>'Data Vlaue (Cr)'!C7</f>
        <v>ADANIGREEN</v>
      </c>
      <c r="B12" s="143">
        <f>VLOOKUP($A12,'Data shares'!$C:$FA,118)</f>
        <v>0.86</v>
      </c>
      <c r="C12" s="143">
        <f>VLOOKUP($A12,'Data shares'!$C:$FA,119)</f>
        <v>0.87</v>
      </c>
      <c r="D12" s="143">
        <f>VLOOKUP($A12,'Data shares'!$C:$FA,121)*100</f>
        <v>-1.1499999999999999</v>
      </c>
      <c r="E12" s="143">
        <f>VLOOKUP($A12,'Data shares'!$C:$FA,124)</f>
        <v>0.48</v>
      </c>
      <c r="F12" s="143">
        <f>VLOOKUP($A12,'Data shares'!$C:$FA,125)</f>
        <v>0.79</v>
      </c>
      <c r="G12" s="143">
        <f>VLOOKUP($A12,'Data shares'!$C:$FA,127)*100</f>
        <v>-39.24</v>
      </c>
      <c r="H12" s="103">
        <f>VLOOKUP($A12,'OI(Volume)'!$A$7:$O$440,8)</f>
        <v>9574800</v>
      </c>
      <c r="I12" s="103">
        <f>VLOOKUP($A12,'OI(Volume)'!$A$7:$O$440,9)</f>
        <v>40800</v>
      </c>
      <c r="J12" s="103">
        <f>VLOOKUP($A12,'OI(Volume)'!$A$7:$O$440,11)</f>
        <v>8216400</v>
      </c>
      <c r="K12" s="103">
        <f>VLOOKUP($A12,'OI(Volume)'!$A$7:$O$440,12)</f>
        <v>-80400</v>
      </c>
      <c r="L12" s="103">
        <f>VLOOKUP($A12,'OI(Value)'!$A$7:$O$323,8,0)</f>
        <v>955</v>
      </c>
      <c r="M12" s="103">
        <f>VLOOKUP($A12,'OI(Value)'!$A$7:$O$323,9,0)</f>
        <v>4</v>
      </c>
      <c r="N12" s="103">
        <f>VLOOKUP($A12,'OI(Value)'!$A$7:$O$323,11,0)</f>
        <v>820</v>
      </c>
      <c r="O12" s="103">
        <f>VLOOKUP($A12,'OI(Value)'!$A$7:$O$323,12,0)</f>
        <v>-8</v>
      </c>
      <c r="P12" s="179">
        <f>VLOOKUP(A12,'OI(Value)'!A12:O230,8,0)</f>
        <v>955</v>
      </c>
      <c r="Q12" s="179">
        <f>VLOOKUP(A12,'OI(Value)'!A12:O230,9,0)</f>
        <v>4</v>
      </c>
      <c r="R12" s="179">
        <f>VLOOKUP(A12,'OI(Value)'!A12:O230,11,0)</f>
        <v>820</v>
      </c>
      <c r="S12" s="179">
        <f>VLOOKUP(A12,'OI(Value)'!A12:O230,11,0)</f>
        <v>820</v>
      </c>
    </row>
    <row r="13" spans="1:19" x14ac:dyDescent="0.25">
      <c r="A13" s="105" t="str">
        <f>'Data Vlaue (Cr)'!C8</f>
        <v>ADANIPORTS</v>
      </c>
      <c r="B13" s="143">
        <f>VLOOKUP($A13,'Data shares'!$C:$FA,118)</f>
        <v>0.87</v>
      </c>
      <c r="C13" s="143">
        <f>VLOOKUP($A13,'Data shares'!$C:$FA,119)</f>
        <v>0.87</v>
      </c>
      <c r="D13" s="143">
        <f>VLOOKUP($A13,'Data shares'!$C:$FA,121)*100</f>
        <v>0</v>
      </c>
      <c r="E13" s="143">
        <f>VLOOKUP($A13,'Data shares'!$C:$FA,124)</f>
        <v>0.91</v>
      </c>
      <c r="F13" s="143">
        <f>VLOOKUP($A13,'Data shares'!$C:$FA,125)</f>
        <v>0.99</v>
      </c>
      <c r="G13" s="143">
        <f>VLOOKUP($A13,'Data shares'!$C:$FA,127)*100</f>
        <v>-8.08</v>
      </c>
      <c r="H13" s="103">
        <f>VLOOKUP($A13,'OI(Volume)'!$A$7:$O$440,8)</f>
        <v>9748900</v>
      </c>
      <c r="I13" s="103">
        <f>VLOOKUP($A13,'OI(Volume)'!$A$7:$O$440,9)</f>
        <v>112100</v>
      </c>
      <c r="J13" s="103">
        <f>VLOOKUP($A13,'OI(Volume)'!$A$7:$O$440,11)</f>
        <v>8502500</v>
      </c>
      <c r="K13" s="103">
        <f>VLOOKUP($A13,'OI(Volume)'!$A$7:$O$440,12)</f>
        <v>133000</v>
      </c>
      <c r="L13" s="103">
        <f>VLOOKUP($A13,'OI(Value)'!$A$7:$O$323,8,0)</f>
        <v>1517</v>
      </c>
      <c r="M13" s="103">
        <f>VLOOKUP($A13,'OI(Value)'!$A$7:$O$323,9,0)</f>
        <v>17</v>
      </c>
      <c r="N13" s="103">
        <f>VLOOKUP($A13,'OI(Value)'!$A$7:$O$323,11,0)</f>
        <v>1323</v>
      </c>
      <c r="O13" s="103">
        <f>VLOOKUP($A13,'OI(Value)'!$A$7:$O$323,12,0)</f>
        <v>21</v>
      </c>
      <c r="P13" s="179">
        <f>VLOOKUP(A13,'OI(Value)'!A13:O231,8,0)</f>
        <v>1517</v>
      </c>
      <c r="Q13" s="179">
        <f>VLOOKUP(A13,'OI(Value)'!A13:O231,9,0)</f>
        <v>17</v>
      </c>
      <c r="R13" s="179">
        <f>VLOOKUP(A13,'OI(Value)'!A13:O231,11,0)</f>
        <v>1323</v>
      </c>
      <c r="S13" s="179">
        <f>VLOOKUP(A13,'OI(Value)'!A13:O231,11,0)</f>
        <v>1323</v>
      </c>
    </row>
    <row r="14" spans="1:19" x14ac:dyDescent="0.25">
      <c r="A14" s="105" t="str">
        <f>'Data Vlaue (Cr)'!C9</f>
        <v>ALKEM</v>
      </c>
      <c r="B14" s="143">
        <f>VLOOKUP($A14,'Data shares'!$C:$FA,118)</f>
        <v>0.76</v>
      </c>
      <c r="C14" s="143">
        <f>VLOOKUP($A14,'Data shares'!$C:$FA,119)</f>
        <v>0.98</v>
      </c>
      <c r="D14" s="143">
        <f>VLOOKUP($A14,'Data shares'!$C:$FA,121)*100</f>
        <v>-22.45</v>
      </c>
      <c r="E14" s="143">
        <f>VLOOKUP($A14,'Data shares'!$C:$FA,124)</f>
        <v>0.46</v>
      </c>
      <c r="F14" s="143">
        <f>VLOOKUP($A14,'Data shares'!$C:$FA,125)</f>
        <v>0.75</v>
      </c>
      <c r="G14" s="143">
        <f>VLOOKUP($A14,'Data shares'!$C:$FA,127)*100</f>
        <v>-38.67</v>
      </c>
      <c r="H14" s="103">
        <f>VLOOKUP($A14,'OI(Volume)'!$A$7:$O$440,8)</f>
        <v>242250</v>
      </c>
      <c r="I14" s="103">
        <f>VLOOKUP($A14,'OI(Volume)'!$A$7:$O$440,9)</f>
        <v>68000</v>
      </c>
      <c r="J14" s="103">
        <f>VLOOKUP($A14,'OI(Volume)'!$A$7:$O$440,11)</f>
        <v>183375</v>
      </c>
      <c r="K14" s="103">
        <f>VLOOKUP($A14,'OI(Volume)'!$A$7:$O$440,12)</f>
        <v>13375</v>
      </c>
      <c r="L14" s="103">
        <f>VLOOKUP($A14,'OI(Value)'!$A$7:$O$323,8,0)</f>
        <v>142</v>
      </c>
      <c r="M14" s="103">
        <f>VLOOKUP($A14,'OI(Value)'!$A$7:$O$323,9,0)</f>
        <v>40</v>
      </c>
      <c r="N14" s="103">
        <f>VLOOKUP($A14,'OI(Value)'!$A$7:$O$323,11,0)</f>
        <v>107</v>
      </c>
      <c r="O14" s="103">
        <f>VLOOKUP($A14,'OI(Value)'!$A$7:$O$323,12,0)</f>
        <v>8</v>
      </c>
      <c r="P14" s="179">
        <f>VLOOKUP(A14,'OI(Value)'!A14:O232,8,0)</f>
        <v>142</v>
      </c>
      <c r="Q14" s="179">
        <f>VLOOKUP(A14,'OI(Value)'!A14:O232,9,0)</f>
        <v>40</v>
      </c>
      <c r="R14" s="179">
        <f>VLOOKUP(A14,'OI(Value)'!A14:O232,11,0)</f>
        <v>107</v>
      </c>
      <c r="S14" s="179">
        <f>VLOOKUP(A14,'OI(Value)'!A14:O232,11,0)</f>
        <v>107</v>
      </c>
    </row>
    <row r="15" spans="1:19" x14ac:dyDescent="0.25">
      <c r="A15" s="105" t="str">
        <f>'Data Vlaue (Cr)'!C10</f>
        <v>AMBER</v>
      </c>
      <c r="B15" s="143">
        <f>VLOOKUP($A15,'Data shares'!$C:$FA,118)</f>
        <v>1.1100000000000001</v>
      </c>
      <c r="C15" s="143">
        <f>VLOOKUP($A15,'Data shares'!$C:$FA,119)</f>
        <v>0.81</v>
      </c>
      <c r="D15" s="143">
        <f>VLOOKUP($A15,'Data shares'!$C:$FA,121)*100</f>
        <v>37.04</v>
      </c>
      <c r="E15" s="143">
        <f>VLOOKUP($A15,'Data shares'!$C:$FA,124)</f>
        <v>0.67</v>
      </c>
      <c r="F15" s="143">
        <f>VLOOKUP($A15,'Data shares'!$C:$FA,125)</f>
        <v>0.47</v>
      </c>
      <c r="G15" s="143">
        <f>VLOOKUP($A15,'Data shares'!$C:$FA,127)*100</f>
        <v>42.55</v>
      </c>
      <c r="H15" s="103">
        <f>VLOOKUP($A15,'OI(Volume)'!$A$7:$O$440,8)</f>
        <v>931000</v>
      </c>
      <c r="I15" s="103">
        <f>VLOOKUP($A15,'OI(Volume)'!$A$7:$O$440,9)</f>
        <v>-77800</v>
      </c>
      <c r="J15" s="103">
        <f>VLOOKUP($A15,'OI(Volume)'!$A$7:$O$440,11)</f>
        <v>1035300</v>
      </c>
      <c r="K15" s="103">
        <f>VLOOKUP($A15,'OI(Volume)'!$A$7:$O$440,12)</f>
        <v>216200</v>
      </c>
      <c r="L15" s="103">
        <f>VLOOKUP($A15,'OI(Value)'!$A$7:$O$323,8,0)</f>
        <v>712</v>
      </c>
      <c r="M15" s="103">
        <f>VLOOKUP($A15,'OI(Value)'!$A$7:$O$323,9,0)</f>
        <v>-59</v>
      </c>
      <c r="N15" s="103">
        <f>VLOOKUP($A15,'OI(Value)'!$A$7:$O$323,11,0)</f>
        <v>791</v>
      </c>
      <c r="O15" s="103">
        <f>VLOOKUP($A15,'OI(Value)'!$A$7:$O$323,12,0)</f>
        <v>165</v>
      </c>
      <c r="P15" s="179">
        <f>VLOOKUP(A15,'OI(Value)'!A15:O233,8,0)</f>
        <v>712</v>
      </c>
      <c r="Q15" s="179">
        <f>VLOOKUP(A15,'OI(Value)'!A15:O233,9,0)</f>
        <v>-59</v>
      </c>
      <c r="R15" s="179">
        <f>VLOOKUP(A15,'OI(Value)'!A15:O233,11,0)</f>
        <v>791</v>
      </c>
      <c r="S15" s="179">
        <f>VLOOKUP(A15,'OI(Value)'!A15:O233,11,0)</f>
        <v>791</v>
      </c>
    </row>
    <row r="16" spans="1:19" x14ac:dyDescent="0.25">
      <c r="A16" s="105" t="str">
        <f>'Data Vlaue (Cr)'!C11</f>
        <v>AMBUJACEM</v>
      </c>
      <c r="B16" s="143">
        <f>VLOOKUP($A16,'Data shares'!$C:$FA,118)</f>
        <v>0.75</v>
      </c>
      <c r="C16" s="143">
        <f>VLOOKUP($A16,'Data shares'!$C:$FA,119)</f>
        <v>0.75</v>
      </c>
      <c r="D16" s="143">
        <f>VLOOKUP($A16,'Data shares'!$C:$FA,121)*100</f>
        <v>0</v>
      </c>
      <c r="E16" s="143">
        <f>VLOOKUP($A16,'Data shares'!$C:$FA,124)</f>
        <v>0.39</v>
      </c>
      <c r="F16" s="143">
        <f>VLOOKUP($A16,'Data shares'!$C:$FA,125)</f>
        <v>0.65</v>
      </c>
      <c r="G16" s="143">
        <f>VLOOKUP($A16,'Data shares'!$C:$FA,127)*100</f>
        <v>-40</v>
      </c>
      <c r="H16" s="103">
        <f>VLOOKUP($A16,'OI(Volume)'!$A$7:$O$440,8)</f>
        <v>13794900</v>
      </c>
      <c r="I16" s="103">
        <f>VLOOKUP($A16,'OI(Volume)'!$A$7:$O$440,9)</f>
        <v>-1050</v>
      </c>
      <c r="J16" s="103">
        <f>VLOOKUP($A16,'OI(Volume)'!$A$7:$O$440,11)</f>
        <v>10411800</v>
      </c>
      <c r="K16" s="103">
        <f>VLOOKUP($A16,'OI(Volume)'!$A$7:$O$440,12)</f>
        <v>57750</v>
      </c>
      <c r="L16" s="103">
        <f>VLOOKUP($A16,'OI(Value)'!$A$7:$O$323,8,0)</f>
        <v>747</v>
      </c>
      <c r="M16" s="103">
        <f>VLOOKUP($A16,'OI(Value)'!$A$7:$O$323,9,0)</f>
        <v>0</v>
      </c>
      <c r="N16" s="103">
        <f>VLOOKUP($A16,'OI(Value)'!$A$7:$O$323,11,0)</f>
        <v>564</v>
      </c>
      <c r="O16" s="103">
        <f>VLOOKUP($A16,'OI(Value)'!$A$7:$O$323,12,0)</f>
        <v>3</v>
      </c>
      <c r="P16" s="179">
        <f>VLOOKUP(A16,'OI(Value)'!A16:O234,8,0)</f>
        <v>747</v>
      </c>
      <c r="Q16" s="179">
        <f>VLOOKUP(A16,'OI(Value)'!A16:O234,9,0)</f>
        <v>0</v>
      </c>
      <c r="R16" s="179">
        <f>VLOOKUP(A16,'OI(Value)'!A16:O234,11,0)</f>
        <v>564</v>
      </c>
      <c r="S16" s="179">
        <f>VLOOKUP(A16,'OI(Value)'!A16:O234,11,0)</f>
        <v>564</v>
      </c>
    </row>
    <row r="17" spans="1:19" x14ac:dyDescent="0.25">
      <c r="A17" s="105" t="str">
        <f>'Data Vlaue (Cr)'!C12</f>
        <v>ANGELONE</v>
      </c>
      <c r="B17" s="143">
        <f>VLOOKUP($A17,'Data shares'!$C:$FA,118)</f>
        <v>0.9</v>
      </c>
      <c r="C17" s="143">
        <f>VLOOKUP($A17,'Data shares'!$C:$FA,119)</f>
        <v>0.88</v>
      </c>
      <c r="D17" s="143">
        <f>VLOOKUP($A17,'Data shares'!$C:$FA,121)*100</f>
        <v>2.27</v>
      </c>
      <c r="E17" s="143">
        <f>VLOOKUP($A17,'Data shares'!$C:$FA,124)</f>
        <v>0.57999999999999996</v>
      </c>
      <c r="F17" s="143">
        <f>VLOOKUP($A17,'Data shares'!$C:$FA,125)</f>
        <v>0.39</v>
      </c>
      <c r="G17" s="143">
        <f>VLOOKUP($A17,'Data shares'!$C:$FA,127)*100</f>
        <v>48.72</v>
      </c>
      <c r="H17" s="103">
        <f>VLOOKUP($A17,'OI(Volume)'!$A$7:$O$440,8)</f>
        <v>2413500</v>
      </c>
      <c r="I17" s="103">
        <f>VLOOKUP($A17,'OI(Volume)'!$A$7:$O$440,9)</f>
        <v>-108000</v>
      </c>
      <c r="J17" s="103">
        <f>VLOOKUP($A17,'OI(Volume)'!$A$7:$O$440,11)</f>
        <v>2180000</v>
      </c>
      <c r="K17" s="103">
        <f>VLOOKUP($A17,'OI(Volume)'!$A$7:$O$440,12)</f>
        <v>-33500</v>
      </c>
      <c r="L17" s="103">
        <f>VLOOKUP($A17,'OI(Value)'!$A$7:$O$323,8,0)</f>
        <v>674</v>
      </c>
      <c r="M17" s="103">
        <f>VLOOKUP($A17,'OI(Value)'!$A$7:$O$323,9,0)</f>
        <v>-30</v>
      </c>
      <c r="N17" s="103">
        <f>VLOOKUP($A17,'OI(Value)'!$A$7:$O$323,11,0)</f>
        <v>608</v>
      </c>
      <c r="O17" s="103">
        <f>VLOOKUP($A17,'OI(Value)'!$A$7:$O$323,12,0)</f>
        <v>-9</v>
      </c>
      <c r="P17" s="179">
        <f>VLOOKUP(A17,'OI(Value)'!A17:O235,8,0)</f>
        <v>674</v>
      </c>
      <c r="Q17" s="179">
        <f>VLOOKUP(A17,'OI(Value)'!A17:O235,9,0)</f>
        <v>-30</v>
      </c>
      <c r="R17" s="179">
        <f>VLOOKUP(A17,'OI(Value)'!A17:O235,11,0)</f>
        <v>608</v>
      </c>
      <c r="S17" s="179">
        <f>VLOOKUP(A17,'OI(Value)'!A17:O235,11,0)</f>
        <v>608</v>
      </c>
    </row>
    <row r="18" spans="1:19" x14ac:dyDescent="0.25">
      <c r="A18" s="105" t="str">
        <f>'Data Vlaue (Cr)'!C13</f>
        <v>APLAPOLLO</v>
      </c>
      <c r="B18" s="143">
        <f>VLOOKUP($A18,'Data shares'!$C:$FA,118)</f>
        <v>1.56</v>
      </c>
      <c r="C18" s="143">
        <f>VLOOKUP($A18,'Data shares'!$C:$FA,119)</f>
        <v>1.47</v>
      </c>
      <c r="D18" s="143">
        <f>VLOOKUP($A18,'Data shares'!$C:$FA,121)*100</f>
        <v>6.12</v>
      </c>
      <c r="E18" s="143">
        <f>VLOOKUP($A18,'Data shares'!$C:$FA,124)</f>
        <v>0.71</v>
      </c>
      <c r="F18" s="143">
        <f>VLOOKUP($A18,'Data shares'!$C:$FA,125)</f>
        <v>0.7</v>
      </c>
      <c r="G18" s="143">
        <f>VLOOKUP($A18,'Data shares'!$C:$FA,127)*100</f>
        <v>1.43</v>
      </c>
      <c r="H18" s="103">
        <f>VLOOKUP($A18,'OI(Volume)'!$A$7:$O$440,8)</f>
        <v>1720600</v>
      </c>
      <c r="I18" s="103">
        <f>VLOOKUP($A18,'OI(Volume)'!$A$7:$O$440,9)</f>
        <v>42000</v>
      </c>
      <c r="J18" s="103">
        <f>VLOOKUP($A18,'OI(Volume)'!$A$7:$O$440,11)</f>
        <v>2685550</v>
      </c>
      <c r="K18" s="103">
        <f>VLOOKUP($A18,'OI(Volume)'!$A$7:$O$440,12)</f>
        <v>212450</v>
      </c>
      <c r="L18" s="103">
        <f>VLOOKUP($A18,'OI(Value)'!$A$7:$O$323,8,0)</f>
        <v>393</v>
      </c>
      <c r="M18" s="103">
        <f>VLOOKUP($A18,'OI(Value)'!$A$7:$O$323,9,0)</f>
        <v>10</v>
      </c>
      <c r="N18" s="103">
        <f>VLOOKUP($A18,'OI(Value)'!$A$7:$O$323,11,0)</f>
        <v>613</v>
      </c>
      <c r="O18" s="103">
        <f>VLOOKUP($A18,'OI(Value)'!$A$7:$O$323,12,0)</f>
        <v>48</v>
      </c>
      <c r="P18" s="179">
        <f>VLOOKUP(A18,'OI(Value)'!A18:O236,8,0)</f>
        <v>393</v>
      </c>
      <c r="Q18" s="179">
        <f>VLOOKUP(A18,'OI(Value)'!A18:O236,9,0)</f>
        <v>10</v>
      </c>
      <c r="R18" s="179">
        <f>VLOOKUP(A18,'OI(Value)'!A18:O236,11,0)</f>
        <v>613</v>
      </c>
      <c r="S18" s="179">
        <f>VLOOKUP(A18,'OI(Value)'!A18:O236,11,0)</f>
        <v>613</v>
      </c>
    </row>
    <row r="19" spans="1:19" x14ac:dyDescent="0.25">
      <c r="A19" s="105" t="str">
        <f>'Data Vlaue (Cr)'!C14</f>
        <v>APOLLOHOSP</v>
      </c>
      <c r="B19" s="143">
        <f>VLOOKUP($A19,'Data shares'!$C:$FA,118)</f>
        <v>0.75</v>
      </c>
      <c r="C19" s="143">
        <f>VLOOKUP($A19,'Data shares'!$C:$FA,119)</f>
        <v>0.69</v>
      </c>
      <c r="D19" s="143">
        <f>VLOOKUP($A19,'Data shares'!$C:$FA,121)*100</f>
        <v>8.6999999999999993</v>
      </c>
      <c r="E19" s="143">
        <f>VLOOKUP($A19,'Data shares'!$C:$FA,124)</f>
        <v>0.42</v>
      </c>
      <c r="F19" s="143">
        <f>VLOOKUP($A19,'Data shares'!$C:$FA,125)</f>
        <v>0.38</v>
      </c>
      <c r="G19" s="143">
        <f>VLOOKUP($A19,'Data shares'!$C:$FA,127)*100</f>
        <v>10.530000000000001</v>
      </c>
      <c r="H19" s="103">
        <f>VLOOKUP($A19,'OI(Volume)'!$A$7:$O$440,8)</f>
        <v>2346375</v>
      </c>
      <c r="I19" s="103">
        <f>VLOOKUP($A19,'OI(Volume)'!$A$7:$O$440,9)</f>
        <v>409750</v>
      </c>
      <c r="J19" s="103">
        <f>VLOOKUP($A19,'OI(Volume)'!$A$7:$O$440,11)</f>
        <v>1756500</v>
      </c>
      <c r="K19" s="103">
        <f>VLOOKUP($A19,'OI(Volume)'!$A$7:$O$440,12)</f>
        <v>417250</v>
      </c>
      <c r="L19" s="103">
        <f>VLOOKUP($A19,'OI(Value)'!$A$7:$O$323,8,0)</f>
        <v>1765</v>
      </c>
      <c r="M19" s="103">
        <f>VLOOKUP($A19,'OI(Value)'!$A$7:$O$323,9,0)</f>
        <v>308</v>
      </c>
      <c r="N19" s="103">
        <f>VLOOKUP($A19,'OI(Value)'!$A$7:$O$323,11,0)</f>
        <v>1321</v>
      </c>
      <c r="O19" s="103">
        <f>VLOOKUP($A19,'OI(Value)'!$A$7:$O$323,12,0)</f>
        <v>314</v>
      </c>
      <c r="P19" s="179">
        <f>VLOOKUP(A19,'OI(Value)'!A19:O237,8,0)</f>
        <v>1765</v>
      </c>
      <c r="Q19" s="179">
        <f>VLOOKUP(A19,'OI(Value)'!A19:O237,9,0)</f>
        <v>308</v>
      </c>
      <c r="R19" s="179">
        <f>VLOOKUP(A19,'OI(Value)'!A19:O237,11,0)</f>
        <v>1321</v>
      </c>
      <c r="S19" s="179">
        <f>VLOOKUP(A19,'OI(Value)'!A19:O237,11,0)</f>
        <v>1321</v>
      </c>
    </row>
    <row r="20" spans="1:19" x14ac:dyDescent="0.25">
      <c r="A20" s="105" t="str">
        <f>'Data Vlaue (Cr)'!C15</f>
        <v>ASHOKLEY</v>
      </c>
      <c r="B20" s="143">
        <f>VLOOKUP($A20,'Data shares'!$C:$FA,118)</f>
        <v>0.63</v>
      </c>
      <c r="C20" s="143">
        <f>VLOOKUP($A20,'Data shares'!$C:$FA,119)</f>
        <v>0.71</v>
      </c>
      <c r="D20" s="143">
        <f>VLOOKUP($A20,'Data shares'!$C:$FA,121)*100</f>
        <v>-11.27</v>
      </c>
      <c r="E20" s="143">
        <f>VLOOKUP($A20,'Data shares'!$C:$FA,124)</f>
        <v>0.5</v>
      </c>
      <c r="F20" s="143">
        <f>VLOOKUP($A20,'Data shares'!$C:$FA,125)</f>
        <v>0.32</v>
      </c>
      <c r="G20" s="143">
        <f>VLOOKUP($A20,'Data shares'!$C:$FA,127)*100</f>
        <v>56.25</v>
      </c>
      <c r="H20" s="103">
        <f>VLOOKUP($A20,'OI(Volume)'!$A$7:$O$440,8)</f>
        <v>93105000</v>
      </c>
      <c r="I20" s="103">
        <f>VLOOKUP($A20,'OI(Volume)'!$A$7:$O$440,9)</f>
        <v>37120000</v>
      </c>
      <c r="J20" s="103">
        <f>VLOOKUP($A20,'OI(Volume)'!$A$7:$O$440,11)</f>
        <v>58680000</v>
      </c>
      <c r="K20" s="103">
        <f>VLOOKUP($A20,'OI(Volume)'!$A$7:$O$440,12)</f>
        <v>19035000</v>
      </c>
      <c r="L20" s="103">
        <f>VLOOKUP($A20,'OI(Value)'!$A$7:$O$323,8,0)</f>
        <v>1920</v>
      </c>
      <c r="M20" s="103">
        <f>VLOOKUP($A20,'OI(Value)'!$A$7:$O$323,9,0)</f>
        <v>766</v>
      </c>
      <c r="N20" s="103">
        <f>VLOOKUP($A20,'OI(Value)'!$A$7:$O$323,11,0)</f>
        <v>1210</v>
      </c>
      <c r="O20" s="103">
        <f>VLOOKUP($A20,'OI(Value)'!$A$7:$O$323,12,0)</f>
        <v>393</v>
      </c>
      <c r="P20" s="179">
        <f>VLOOKUP(A20,'OI(Value)'!A20:O238,8,0)</f>
        <v>1920</v>
      </c>
      <c r="Q20" s="179">
        <f>VLOOKUP(A20,'OI(Value)'!A20:O238,9,0)</f>
        <v>766</v>
      </c>
      <c r="R20" s="179">
        <f>VLOOKUP(A20,'OI(Value)'!A20:O238,11,0)</f>
        <v>1210</v>
      </c>
      <c r="S20" s="179">
        <f>VLOOKUP(A20,'OI(Value)'!A20:O238,11,0)</f>
        <v>1210</v>
      </c>
    </row>
    <row r="21" spans="1:19" x14ac:dyDescent="0.25">
      <c r="A21" s="105" t="str">
        <f>'Data Vlaue (Cr)'!C16</f>
        <v>ASIANPAINT</v>
      </c>
      <c r="B21" s="143">
        <f>VLOOKUP($A21,'Data shares'!$C:$FA,118)</f>
        <v>0.49</v>
      </c>
      <c r="C21" s="143">
        <f>VLOOKUP($A21,'Data shares'!$C:$FA,119)</f>
        <v>0.49</v>
      </c>
      <c r="D21" s="143">
        <f>VLOOKUP($A21,'Data shares'!$C:$FA,121)*100</f>
        <v>0</v>
      </c>
      <c r="E21" s="143">
        <f>VLOOKUP($A21,'Data shares'!$C:$FA,124)</f>
        <v>0.41</v>
      </c>
      <c r="F21" s="143">
        <f>VLOOKUP($A21,'Data shares'!$C:$FA,125)</f>
        <v>0.42</v>
      </c>
      <c r="G21" s="143">
        <f>VLOOKUP($A21,'Data shares'!$C:$FA,127)*100</f>
        <v>-2.3800000000000003</v>
      </c>
      <c r="H21" s="103">
        <f>VLOOKUP($A21,'OI(Volume)'!$A$7:$O$440,8)</f>
        <v>9862500</v>
      </c>
      <c r="I21" s="103">
        <f>VLOOKUP($A21,'OI(Volume)'!$A$7:$O$440,9)</f>
        <v>268000</v>
      </c>
      <c r="J21" s="103">
        <f>VLOOKUP($A21,'OI(Volume)'!$A$7:$O$440,11)</f>
        <v>4793750</v>
      </c>
      <c r="K21" s="103">
        <f>VLOOKUP($A21,'OI(Volume)'!$A$7:$O$440,12)</f>
        <v>98750</v>
      </c>
      <c r="L21" s="103">
        <f>VLOOKUP($A21,'OI(Value)'!$A$7:$O$323,8,0)</f>
        <v>2368</v>
      </c>
      <c r="M21" s="103">
        <f>VLOOKUP($A21,'OI(Value)'!$A$7:$O$323,9,0)</f>
        <v>64</v>
      </c>
      <c r="N21" s="103">
        <f>VLOOKUP($A21,'OI(Value)'!$A$7:$O$323,11,0)</f>
        <v>1151</v>
      </c>
      <c r="O21" s="103">
        <f>VLOOKUP($A21,'OI(Value)'!$A$7:$O$323,12,0)</f>
        <v>24</v>
      </c>
      <c r="P21" s="179">
        <f>VLOOKUP(A21,'OI(Value)'!A21:O239,8,0)</f>
        <v>2368</v>
      </c>
      <c r="Q21" s="179">
        <f>VLOOKUP(A21,'OI(Value)'!A21:O239,9,0)</f>
        <v>64</v>
      </c>
      <c r="R21" s="179">
        <f>VLOOKUP(A21,'OI(Value)'!A21:O239,11,0)</f>
        <v>1151</v>
      </c>
      <c r="S21" s="179">
        <f>VLOOKUP(A21,'OI(Value)'!A21:O239,11,0)</f>
        <v>1151</v>
      </c>
    </row>
    <row r="22" spans="1:19" x14ac:dyDescent="0.25">
      <c r="A22" s="105" t="str">
        <f>'Data Vlaue (Cr)'!C17</f>
        <v>ASTRAL</v>
      </c>
      <c r="B22" s="143">
        <f>VLOOKUP($A22,'Data shares'!$C:$FA,118)</f>
        <v>0.56999999999999995</v>
      </c>
      <c r="C22" s="143">
        <f>VLOOKUP($A22,'Data shares'!$C:$FA,119)</f>
        <v>0.52</v>
      </c>
      <c r="D22" s="143">
        <f>VLOOKUP($A22,'Data shares'!$C:$FA,121)*100</f>
        <v>9.6199999999999992</v>
      </c>
      <c r="E22" s="143">
        <f>VLOOKUP($A22,'Data shares'!$C:$FA,124)</f>
        <v>0.28000000000000003</v>
      </c>
      <c r="F22" s="143">
        <f>VLOOKUP($A22,'Data shares'!$C:$FA,125)</f>
        <v>0.28000000000000003</v>
      </c>
      <c r="G22" s="143">
        <f>VLOOKUP($A22,'Data shares'!$C:$FA,127)*100</f>
        <v>0</v>
      </c>
      <c r="H22" s="103">
        <f>VLOOKUP($A22,'OI(Volume)'!$A$7:$O$440,8)</f>
        <v>3579350</v>
      </c>
      <c r="I22" s="103">
        <f>VLOOKUP($A22,'OI(Volume)'!$A$7:$O$440,9)</f>
        <v>143225</v>
      </c>
      <c r="J22" s="103">
        <f>VLOOKUP($A22,'OI(Volume)'!$A$7:$O$440,11)</f>
        <v>2033200</v>
      </c>
      <c r="K22" s="103">
        <f>VLOOKUP($A22,'OI(Volume)'!$A$7:$O$440,12)</f>
        <v>258400</v>
      </c>
      <c r="L22" s="103">
        <f>VLOOKUP($A22,'OI(Value)'!$A$7:$O$323,8,0)</f>
        <v>570</v>
      </c>
      <c r="M22" s="103">
        <f>VLOOKUP($A22,'OI(Value)'!$A$7:$O$323,9,0)</f>
        <v>23</v>
      </c>
      <c r="N22" s="103">
        <f>VLOOKUP($A22,'OI(Value)'!$A$7:$O$323,11,0)</f>
        <v>324</v>
      </c>
      <c r="O22" s="103">
        <f>VLOOKUP($A22,'OI(Value)'!$A$7:$O$323,12,0)</f>
        <v>41</v>
      </c>
      <c r="P22" s="179">
        <f>VLOOKUP(A22,'OI(Value)'!A22:O240,8,0)</f>
        <v>570</v>
      </c>
      <c r="Q22" s="179">
        <f>VLOOKUP(A22,'OI(Value)'!A22:O240,9,0)</f>
        <v>23</v>
      </c>
      <c r="R22" s="179">
        <f>VLOOKUP(A22,'OI(Value)'!A22:O240,11,0)</f>
        <v>324</v>
      </c>
      <c r="S22" s="179">
        <f>VLOOKUP(A22,'OI(Value)'!A22:O240,11,0)</f>
        <v>324</v>
      </c>
    </row>
    <row r="23" spans="1:19" x14ac:dyDescent="0.25">
      <c r="A23" s="105" t="str">
        <f>'Data Vlaue (Cr)'!C18</f>
        <v>AUBANK</v>
      </c>
      <c r="B23" s="143">
        <f>VLOOKUP($A23,'Data shares'!$C:$FA,118)</f>
        <v>0.75</v>
      </c>
      <c r="C23" s="143">
        <f>VLOOKUP($A23,'Data shares'!$C:$FA,119)</f>
        <v>0.8</v>
      </c>
      <c r="D23" s="143">
        <f>VLOOKUP($A23,'Data shares'!$C:$FA,121)*100</f>
        <v>-6.25</v>
      </c>
      <c r="E23" s="143">
        <f>VLOOKUP($A23,'Data shares'!$C:$FA,124)</f>
        <v>0.51</v>
      </c>
      <c r="F23" s="143">
        <f>VLOOKUP($A23,'Data shares'!$C:$FA,125)</f>
        <v>0.56999999999999995</v>
      </c>
      <c r="G23" s="143">
        <f>VLOOKUP($A23,'Data shares'!$C:$FA,127)*100</f>
        <v>-10.530000000000001</v>
      </c>
      <c r="H23" s="103">
        <f>VLOOKUP($A23,'OI(Volume)'!$A$7:$O$440,8)</f>
        <v>6618000</v>
      </c>
      <c r="I23" s="103">
        <f>VLOOKUP($A23,'OI(Volume)'!$A$7:$O$440,9)</f>
        <v>452000</v>
      </c>
      <c r="J23" s="103">
        <f>VLOOKUP($A23,'OI(Volume)'!$A$7:$O$440,11)</f>
        <v>4934000</v>
      </c>
      <c r="K23" s="103">
        <f>VLOOKUP($A23,'OI(Volume)'!$A$7:$O$440,12)</f>
        <v>8000</v>
      </c>
      <c r="L23" s="103">
        <f>VLOOKUP($A23,'OI(Value)'!$A$7:$O$323,8,0)</f>
        <v>656</v>
      </c>
      <c r="M23" s="103">
        <f>VLOOKUP($A23,'OI(Value)'!$A$7:$O$323,9,0)</f>
        <v>45</v>
      </c>
      <c r="N23" s="103">
        <f>VLOOKUP($A23,'OI(Value)'!$A$7:$O$323,11,0)</f>
        <v>489</v>
      </c>
      <c r="O23" s="103">
        <f>VLOOKUP($A23,'OI(Value)'!$A$7:$O$323,12,0)</f>
        <v>1</v>
      </c>
      <c r="P23" s="179">
        <f>VLOOKUP(A23,'OI(Value)'!A23:O241,8,0)</f>
        <v>656</v>
      </c>
      <c r="Q23" s="179">
        <f>VLOOKUP(A23,'OI(Value)'!A23:O241,9,0)</f>
        <v>45</v>
      </c>
      <c r="R23" s="179">
        <f>VLOOKUP(A23,'OI(Value)'!A23:O241,11,0)</f>
        <v>489</v>
      </c>
      <c r="S23" s="179">
        <f>VLOOKUP(A23,'OI(Value)'!A23:O241,11,0)</f>
        <v>489</v>
      </c>
    </row>
    <row r="24" spans="1:19" x14ac:dyDescent="0.25">
      <c r="A24" s="105" t="str">
        <f>'Data Vlaue (Cr)'!C19</f>
        <v>AUROPHARMA</v>
      </c>
      <c r="B24" s="143">
        <f>VLOOKUP($A24,'Data shares'!$C:$FA,118)</f>
        <v>0.64</v>
      </c>
      <c r="C24" s="143">
        <f>VLOOKUP($A24,'Data shares'!$C:$FA,119)</f>
        <v>0.55000000000000004</v>
      </c>
      <c r="D24" s="143">
        <f>VLOOKUP($A24,'Data shares'!$C:$FA,121)*100</f>
        <v>16.36</v>
      </c>
      <c r="E24" s="143">
        <f>VLOOKUP($A24,'Data shares'!$C:$FA,124)</f>
        <v>0.49</v>
      </c>
      <c r="F24" s="143">
        <f>VLOOKUP($A24,'Data shares'!$C:$FA,125)</f>
        <v>0.75</v>
      </c>
      <c r="G24" s="143">
        <f>VLOOKUP($A24,'Data shares'!$C:$FA,127)*100</f>
        <v>-34.67</v>
      </c>
      <c r="H24" s="103">
        <f>VLOOKUP($A24,'OI(Volume)'!$A$7:$O$440,8)</f>
        <v>10623250</v>
      </c>
      <c r="I24" s="103">
        <f>VLOOKUP($A24,'OI(Volume)'!$A$7:$O$440,9)</f>
        <v>-924550</v>
      </c>
      <c r="J24" s="103">
        <f>VLOOKUP($A24,'OI(Volume)'!$A$7:$O$440,11)</f>
        <v>6754000</v>
      </c>
      <c r="K24" s="103">
        <f>VLOOKUP($A24,'OI(Volume)'!$A$7:$O$440,12)</f>
        <v>414700</v>
      </c>
      <c r="L24" s="103">
        <f>VLOOKUP($A24,'OI(Value)'!$A$7:$O$323,8,0)</f>
        <v>1221</v>
      </c>
      <c r="M24" s="103">
        <f>VLOOKUP($A24,'OI(Value)'!$A$7:$O$323,9,0)</f>
        <v>-106</v>
      </c>
      <c r="N24" s="103">
        <f>VLOOKUP($A24,'OI(Value)'!$A$7:$O$323,11,0)</f>
        <v>777</v>
      </c>
      <c r="O24" s="103">
        <f>VLOOKUP($A24,'OI(Value)'!$A$7:$O$323,12,0)</f>
        <v>48</v>
      </c>
      <c r="P24" s="179">
        <f>VLOOKUP(A24,'OI(Value)'!A24:O242,8,0)</f>
        <v>1221</v>
      </c>
      <c r="Q24" s="179">
        <f>VLOOKUP(A24,'OI(Value)'!A24:O242,9,0)</f>
        <v>-106</v>
      </c>
      <c r="R24" s="179">
        <f>VLOOKUP(A24,'OI(Value)'!A24:O242,11,0)</f>
        <v>777</v>
      </c>
      <c r="S24" s="179">
        <f>VLOOKUP(A24,'OI(Value)'!A24:O242,11,0)</f>
        <v>777</v>
      </c>
    </row>
    <row r="25" spans="1:19" x14ac:dyDescent="0.25">
      <c r="A25" s="105" t="str">
        <f>'Data Vlaue (Cr)'!C20</f>
        <v>AXISBANK</v>
      </c>
      <c r="B25" s="143">
        <f>VLOOKUP($A25,'Data shares'!$C:$FA,118)</f>
        <v>0.5</v>
      </c>
      <c r="C25" s="143">
        <f>VLOOKUP($A25,'Data shares'!$C:$FA,119)</f>
        <v>0.53</v>
      </c>
      <c r="D25" s="143">
        <f>VLOOKUP($A25,'Data shares'!$C:$FA,121)*100</f>
        <v>-5.66</v>
      </c>
      <c r="E25" s="143">
        <f>VLOOKUP($A25,'Data shares'!$C:$FA,124)</f>
        <v>0.73</v>
      </c>
      <c r="F25" s="143">
        <f>VLOOKUP($A25,'Data shares'!$C:$FA,125)</f>
        <v>0.53</v>
      </c>
      <c r="G25" s="143">
        <f>VLOOKUP($A25,'Data shares'!$C:$FA,127)*100</f>
        <v>37.74</v>
      </c>
      <c r="H25" s="103">
        <f>VLOOKUP($A25,'OI(Volume)'!$A$7:$O$440,8)</f>
        <v>28076875</v>
      </c>
      <c r="I25" s="103">
        <f>VLOOKUP($A25,'OI(Volume)'!$A$7:$O$440,9)</f>
        <v>850625</v>
      </c>
      <c r="J25" s="103">
        <f>VLOOKUP($A25,'OI(Volume)'!$A$7:$O$440,11)</f>
        <v>14171250</v>
      </c>
      <c r="K25" s="103">
        <f>VLOOKUP($A25,'OI(Volume)'!$A$7:$O$440,12)</f>
        <v>-310000</v>
      </c>
      <c r="L25" s="103">
        <f>VLOOKUP($A25,'OI(Value)'!$A$7:$O$323,8,0)</f>
        <v>3785</v>
      </c>
      <c r="M25" s="103">
        <f>VLOOKUP($A25,'OI(Value)'!$A$7:$O$323,9,0)</f>
        <v>115</v>
      </c>
      <c r="N25" s="103">
        <f>VLOOKUP($A25,'OI(Value)'!$A$7:$O$323,11,0)</f>
        <v>1910</v>
      </c>
      <c r="O25" s="103">
        <f>VLOOKUP($A25,'OI(Value)'!$A$7:$O$323,12,0)</f>
        <v>-42</v>
      </c>
      <c r="P25" s="179">
        <f>VLOOKUP(A25,'OI(Value)'!A25:O243,8,0)</f>
        <v>3785</v>
      </c>
      <c r="Q25" s="179">
        <f>VLOOKUP(A25,'OI(Value)'!A25:O243,9,0)</f>
        <v>115</v>
      </c>
      <c r="R25" s="179">
        <f>VLOOKUP(A25,'OI(Value)'!A25:O243,11,0)</f>
        <v>1910</v>
      </c>
      <c r="S25" s="179">
        <f>VLOOKUP(A25,'OI(Value)'!A25:O243,11,0)</f>
        <v>1910</v>
      </c>
    </row>
    <row r="26" spans="1:19" x14ac:dyDescent="0.25">
      <c r="A26" s="105" t="str">
        <f>'Data Vlaue (Cr)'!C21</f>
        <v>BAJAJ-AUTO</v>
      </c>
      <c r="B26" s="143">
        <f>VLOOKUP($A26,'Data shares'!$C:$FA,118)</f>
        <v>0.7</v>
      </c>
      <c r="C26" s="143">
        <f>VLOOKUP($A26,'Data shares'!$C:$FA,119)</f>
        <v>0.68</v>
      </c>
      <c r="D26" s="143">
        <f>VLOOKUP($A26,'Data shares'!$C:$FA,121)*100</f>
        <v>2.94</v>
      </c>
      <c r="E26" s="143">
        <f>VLOOKUP($A26,'Data shares'!$C:$FA,124)</f>
        <v>0.4</v>
      </c>
      <c r="F26" s="143">
        <f>VLOOKUP($A26,'Data shares'!$C:$FA,125)</f>
        <v>0.35</v>
      </c>
      <c r="G26" s="143">
        <f>VLOOKUP($A26,'Data shares'!$C:$FA,127)*100</f>
        <v>14.29</v>
      </c>
      <c r="H26" s="103">
        <f>VLOOKUP($A26,'OI(Volume)'!$A$7:$O$440,8)</f>
        <v>1435650</v>
      </c>
      <c r="I26" s="103">
        <f>VLOOKUP($A26,'OI(Volume)'!$A$7:$O$440,9)</f>
        <v>65925</v>
      </c>
      <c r="J26" s="103">
        <f>VLOOKUP($A26,'OI(Volume)'!$A$7:$O$440,11)</f>
        <v>1001850</v>
      </c>
      <c r="K26" s="103">
        <f>VLOOKUP($A26,'OI(Volume)'!$A$7:$O$440,12)</f>
        <v>67575</v>
      </c>
      <c r="L26" s="103">
        <f>VLOOKUP($A26,'OI(Value)'!$A$7:$O$323,8,0)</f>
        <v>1417</v>
      </c>
      <c r="M26" s="103">
        <f>VLOOKUP($A26,'OI(Value)'!$A$7:$O$323,9,0)</f>
        <v>65</v>
      </c>
      <c r="N26" s="103">
        <f>VLOOKUP($A26,'OI(Value)'!$A$7:$O$323,11,0)</f>
        <v>989</v>
      </c>
      <c r="O26" s="103">
        <f>VLOOKUP($A26,'OI(Value)'!$A$7:$O$323,12,0)</f>
        <v>67</v>
      </c>
      <c r="P26" s="179">
        <f>VLOOKUP(A26,'OI(Value)'!A26:O244,8,0)</f>
        <v>1417</v>
      </c>
      <c r="Q26" s="179">
        <f>VLOOKUP(A26,'OI(Value)'!A26:O244,9,0)</f>
        <v>65</v>
      </c>
      <c r="R26" s="179">
        <f>VLOOKUP(A26,'OI(Value)'!A26:O244,11,0)</f>
        <v>989</v>
      </c>
      <c r="S26" s="179">
        <f>VLOOKUP(A26,'OI(Value)'!A26:O244,11,0)</f>
        <v>989</v>
      </c>
    </row>
    <row r="27" spans="1:19" x14ac:dyDescent="0.25">
      <c r="A27" s="105" t="str">
        <f>'Data Vlaue (Cr)'!C22</f>
        <v>BAJAJFINSV</v>
      </c>
      <c r="B27" s="143">
        <f>VLOOKUP($A27,'Data shares'!$C:$FA,118)</f>
        <v>0.66</v>
      </c>
      <c r="C27" s="143">
        <f>VLOOKUP($A27,'Data shares'!$C:$FA,119)</f>
        <v>0.67</v>
      </c>
      <c r="D27" s="143">
        <f>VLOOKUP($A27,'Data shares'!$C:$FA,121)*100</f>
        <v>-1.49</v>
      </c>
      <c r="E27" s="143">
        <f>VLOOKUP($A27,'Data shares'!$C:$FA,124)</f>
        <v>0.38</v>
      </c>
      <c r="F27" s="143">
        <f>VLOOKUP($A27,'Data shares'!$C:$FA,125)</f>
        <v>0.6</v>
      </c>
      <c r="G27" s="143">
        <f>VLOOKUP($A27,'Data shares'!$C:$FA,127)*100</f>
        <v>-36.67</v>
      </c>
      <c r="H27" s="103">
        <f>VLOOKUP($A27,'OI(Volume)'!$A$7:$O$440,8)</f>
        <v>5875500</v>
      </c>
      <c r="I27" s="103">
        <f>VLOOKUP($A27,'OI(Volume)'!$A$7:$O$440,9)</f>
        <v>59250</v>
      </c>
      <c r="J27" s="103">
        <f>VLOOKUP($A27,'OI(Volume)'!$A$7:$O$440,11)</f>
        <v>3882250</v>
      </c>
      <c r="K27" s="103">
        <f>VLOOKUP($A27,'OI(Volume)'!$A$7:$O$440,12)</f>
        <v>-26250</v>
      </c>
      <c r="L27" s="103">
        <f>VLOOKUP($A27,'OI(Value)'!$A$7:$O$323,8,0)</f>
        <v>1192</v>
      </c>
      <c r="M27" s="103">
        <f>VLOOKUP($A27,'OI(Value)'!$A$7:$O$323,9,0)</f>
        <v>12</v>
      </c>
      <c r="N27" s="103">
        <f>VLOOKUP($A27,'OI(Value)'!$A$7:$O$323,11,0)</f>
        <v>788</v>
      </c>
      <c r="O27" s="103">
        <f>VLOOKUP($A27,'OI(Value)'!$A$7:$O$323,12,0)</f>
        <v>-5</v>
      </c>
      <c r="P27" s="179">
        <f>VLOOKUP(A27,'OI(Value)'!A27:O245,8,0)</f>
        <v>1192</v>
      </c>
      <c r="Q27" s="179">
        <f>VLOOKUP(A27,'OI(Value)'!A27:O245,9,0)</f>
        <v>12</v>
      </c>
      <c r="R27" s="179">
        <f>VLOOKUP(A27,'OI(Value)'!A27:O245,11,0)</f>
        <v>788</v>
      </c>
      <c r="S27" s="179">
        <f>VLOOKUP(A27,'OI(Value)'!A27:O245,11,0)</f>
        <v>788</v>
      </c>
    </row>
    <row r="28" spans="1:19" x14ac:dyDescent="0.25">
      <c r="A28" s="105" t="str">
        <f>'Data Vlaue (Cr)'!C23</f>
        <v>BAJAJHLDNG</v>
      </c>
      <c r="B28" s="143">
        <f>VLOOKUP($A28,'Data shares'!$C:$FA,118)</f>
        <v>0.39</v>
      </c>
      <c r="C28" s="143">
        <f>VLOOKUP($A28,'Data shares'!$C:$FA,119)</f>
        <v>0.39</v>
      </c>
      <c r="D28" s="143">
        <f>VLOOKUP($A28,'Data shares'!$C:$FA,121)*100</f>
        <v>0</v>
      </c>
      <c r="E28" s="143">
        <f>VLOOKUP($A28,'Data shares'!$C:$FA,124)</f>
        <v>7.0000000000000007E-2</v>
      </c>
      <c r="F28" s="143">
        <f>VLOOKUP($A28,'Data shares'!$C:$FA,125)</f>
        <v>0.09</v>
      </c>
      <c r="G28" s="143">
        <f>VLOOKUP($A28,'Data shares'!$C:$FA,127)*100</f>
        <v>-22.220000000000002</v>
      </c>
      <c r="H28" s="103">
        <f>VLOOKUP($A28,'OI(Volume)'!$A$7:$O$440,8)</f>
        <v>161800</v>
      </c>
      <c r="I28" s="103">
        <f>VLOOKUP($A28,'OI(Volume)'!$A$7:$O$440,9)</f>
        <v>200</v>
      </c>
      <c r="J28" s="103">
        <f>VLOOKUP($A28,'OI(Volume)'!$A$7:$O$440,11)</f>
        <v>63500</v>
      </c>
      <c r="K28" s="103">
        <f>VLOOKUP($A28,'OI(Volume)'!$A$7:$O$440,12)</f>
        <v>-150</v>
      </c>
      <c r="L28" s="103">
        <f>VLOOKUP($A28,'OI(Value)'!$A$7:$O$323,8,0)</f>
        <v>180</v>
      </c>
      <c r="M28" s="103">
        <f>VLOOKUP($A28,'OI(Value)'!$A$7:$O$323,9,0)</f>
        <v>0</v>
      </c>
      <c r="N28" s="103">
        <f>VLOOKUP($A28,'OI(Value)'!$A$7:$O$323,11,0)</f>
        <v>71</v>
      </c>
      <c r="O28" s="103">
        <f>VLOOKUP($A28,'OI(Value)'!$A$7:$O$323,12,0)</f>
        <v>0</v>
      </c>
      <c r="P28" s="179">
        <f>VLOOKUP(A28,'OI(Value)'!A28:O246,8,0)</f>
        <v>180</v>
      </c>
      <c r="Q28" s="179">
        <f>VLOOKUP(A28,'OI(Value)'!A28:O246,9,0)</f>
        <v>0</v>
      </c>
      <c r="R28" s="179">
        <f>VLOOKUP(A28,'OI(Value)'!A28:O246,11,0)</f>
        <v>71</v>
      </c>
      <c r="S28" s="179">
        <f>VLOOKUP(A28,'OI(Value)'!A28:O246,11,0)</f>
        <v>71</v>
      </c>
    </row>
    <row r="29" spans="1:19" x14ac:dyDescent="0.25">
      <c r="A29" s="105" t="str">
        <f>'Data Vlaue (Cr)'!C24</f>
        <v>BAJFINANCE</v>
      </c>
      <c r="B29" s="143">
        <f>VLOOKUP($A29,'Data shares'!$C:$FA,118)</f>
        <v>0.95</v>
      </c>
      <c r="C29" s="143">
        <f>VLOOKUP($A29,'Data shares'!$C:$FA,119)</f>
        <v>0.97</v>
      </c>
      <c r="D29" s="143">
        <f>VLOOKUP($A29,'Data shares'!$C:$FA,121)*100</f>
        <v>-2.06</v>
      </c>
      <c r="E29" s="143">
        <f>VLOOKUP($A29,'Data shares'!$C:$FA,124)</f>
        <v>0.59</v>
      </c>
      <c r="F29" s="143">
        <f>VLOOKUP($A29,'Data shares'!$C:$FA,125)</f>
        <v>0.69</v>
      </c>
      <c r="G29" s="143">
        <f>VLOOKUP($A29,'Data shares'!$C:$FA,127)*100</f>
        <v>-14.49</v>
      </c>
      <c r="H29" s="103">
        <f>VLOOKUP($A29,'OI(Volume)'!$A$7:$O$440,8)</f>
        <v>18806250</v>
      </c>
      <c r="I29" s="103">
        <f>VLOOKUP($A29,'OI(Volume)'!$A$7:$O$440,9)</f>
        <v>-423750</v>
      </c>
      <c r="J29" s="103">
        <f>VLOOKUP($A29,'OI(Volume)'!$A$7:$O$440,11)</f>
        <v>17886750</v>
      </c>
      <c r="K29" s="103">
        <f>VLOOKUP($A29,'OI(Volume)'!$A$7:$O$440,12)</f>
        <v>-712500</v>
      </c>
      <c r="L29" s="103">
        <f>VLOOKUP($A29,'OI(Value)'!$A$7:$O$323,8,0)</f>
        <v>1823</v>
      </c>
      <c r="M29" s="103">
        <f>VLOOKUP($A29,'OI(Value)'!$A$7:$O$323,9,0)</f>
        <v>-41</v>
      </c>
      <c r="N29" s="103">
        <f>VLOOKUP($A29,'OI(Value)'!$A$7:$O$323,11,0)</f>
        <v>1734</v>
      </c>
      <c r="O29" s="103">
        <f>VLOOKUP($A29,'OI(Value)'!$A$7:$O$323,12,0)</f>
        <v>-69</v>
      </c>
      <c r="P29" s="179">
        <f>VLOOKUP(A29,'OI(Value)'!A29:O247,8,0)</f>
        <v>1823</v>
      </c>
      <c r="Q29" s="179">
        <f>VLOOKUP(A29,'OI(Value)'!A29:O247,9,0)</f>
        <v>-41</v>
      </c>
      <c r="R29" s="179">
        <f>VLOOKUP(A29,'OI(Value)'!A29:O247,11,0)</f>
        <v>1734</v>
      </c>
      <c r="S29" s="179">
        <f>VLOOKUP(A29,'OI(Value)'!A29:O247,11,0)</f>
        <v>1734</v>
      </c>
    </row>
    <row r="30" spans="1:19" x14ac:dyDescent="0.25">
      <c r="A30" s="105" t="str">
        <f>'Data Vlaue (Cr)'!C25</f>
        <v>BANDHANBNK</v>
      </c>
      <c r="B30" s="143">
        <f>VLOOKUP($A30,'Data shares'!$C:$FA,118)</f>
        <v>0.9</v>
      </c>
      <c r="C30" s="143">
        <f>VLOOKUP($A30,'Data shares'!$C:$FA,119)</f>
        <v>0.86</v>
      </c>
      <c r="D30" s="143">
        <f>VLOOKUP($A30,'Data shares'!$C:$FA,121)*100</f>
        <v>4.6500000000000004</v>
      </c>
      <c r="E30" s="143">
        <f>VLOOKUP($A30,'Data shares'!$C:$FA,124)</f>
        <v>0.63</v>
      </c>
      <c r="F30" s="143">
        <f>VLOOKUP($A30,'Data shares'!$C:$FA,125)</f>
        <v>0.41</v>
      </c>
      <c r="G30" s="143">
        <f>VLOOKUP($A30,'Data shares'!$C:$FA,127)*100</f>
        <v>53.66</v>
      </c>
      <c r="H30" s="103">
        <f>VLOOKUP($A30,'OI(Volume)'!$A$7:$O$440,8)</f>
        <v>25790400</v>
      </c>
      <c r="I30" s="103">
        <f>VLOOKUP($A30,'OI(Volume)'!$A$7:$O$440,9)</f>
        <v>162000</v>
      </c>
      <c r="J30" s="103">
        <f>VLOOKUP($A30,'OI(Volume)'!$A$7:$O$440,11)</f>
        <v>23090400</v>
      </c>
      <c r="K30" s="103">
        <f>VLOOKUP($A30,'OI(Volume)'!$A$7:$O$440,12)</f>
        <v>1018800</v>
      </c>
      <c r="L30" s="103">
        <f>VLOOKUP($A30,'OI(Value)'!$A$7:$O$323,8,0)</f>
        <v>434</v>
      </c>
      <c r="M30" s="103">
        <f>VLOOKUP($A30,'OI(Value)'!$A$7:$O$323,9,0)</f>
        <v>3</v>
      </c>
      <c r="N30" s="103">
        <f>VLOOKUP($A30,'OI(Value)'!$A$7:$O$323,11,0)</f>
        <v>389</v>
      </c>
      <c r="O30" s="103">
        <f>VLOOKUP($A30,'OI(Value)'!$A$7:$O$323,12,0)</f>
        <v>17</v>
      </c>
      <c r="P30" s="179">
        <f>VLOOKUP(A30,'OI(Value)'!A30:O248,8,0)</f>
        <v>434</v>
      </c>
      <c r="Q30" s="179">
        <f>VLOOKUP(A30,'OI(Value)'!A30:O248,9,0)</f>
        <v>3</v>
      </c>
      <c r="R30" s="179">
        <f>VLOOKUP(A30,'OI(Value)'!A30:O248,11,0)</f>
        <v>389</v>
      </c>
      <c r="S30" s="179">
        <f>VLOOKUP(A30,'OI(Value)'!A30:O248,11,0)</f>
        <v>389</v>
      </c>
    </row>
    <row r="31" spans="1:19" x14ac:dyDescent="0.25">
      <c r="A31" s="105" t="str">
        <f>'Data Vlaue (Cr)'!C26</f>
        <v>BANKBARODA</v>
      </c>
      <c r="B31" s="143">
        <f>VLOOKUP($A31,'Data shares'!$C:$FA,118)</f>
        <v>0.63</v>
      </c>
      <c r="C31" s="143">
        <f>VLOOKUP($A31,'Data shares'!$C:$FA,119)</f>
        <v>0.64</v>
      </c>
      <c r="D31" s="143">
        <f>VLOOKUP($A31,'Data shares'!$C:$FA,121)*100</f>
        <v>-1.5599999999999998</v>
      </c>
      <c r="E31" s="143">
        <f>VLOOKUP($A31,'Data shares'!$C:$FA,124)</f>
        <v>0.37</v>
      </c>
      <c r="F31" s="143">
        <f>VLOOKUP($A31,'Data shares'!$C:$FA,125)</f>
        <v>0.49</v>
      </c>
      <c r="G31" s="143">
        <f>VLOOKUP($A31,'Data shares'!$C:$FA,127)*100</f>
        <v>-24.490000000000002</v>
      </c>
      <c r="H31" s="103">
        <f>VLOOKUP($A31,'OI(Volume)'!$A$7:$O$440,8)</f>
        <v>57230550</v>
      </c>
      <c r="I31" s="103">
        <f>VLOOKUP($A31,'OI(Volume)'!$A$7:$O$440,9)</f>
        <v>1550250</v>
      </c>
      <c r="J31" s="103">
        <f>VLOOKUP($A31,'OI(Volume)'!$A$7:$O$440,11)</f>
        <v>36120825</v>
      </c>
      <c r="K31" s="103">
        <f>VLOOKUP($A31,'OI(Volume)'!$A$7:$O$440,12)</f>
        <v>307125</v>
      </c>
      <c r="L31" s="103">
        <f>VLOOKUP($A31,'OI(Value)'!$A$7:$O$323,8,0)</f>
        <v>1668</v>
      </c>
      <c r="M31" s="103">
        <f>VLOOKUP($A31,'OI(Value)'!$A$7:$O$323,9,0)</f>
        <v>45</v>
      </c>
      <c r="N31" s="103">
        <f>VLOOKUP($A31,'OI(Value)'!$A$7:$O$323,11,0)</f>
        <v>1053</v>
      </c>
      <c r="O31" s="103">
        <f>VLOOKUP($A31,'OI(Value)'!$A$7:$O$323,12,0)</f>
        <v>9</v>
      </c>
      <c r="P31" s="179">
        <f>VLOOKUP(A31,'OI(Value)'!A31:O249,8,0)</f>
        <v>1668</v>
      </c>
      <c r="Q31" s="179">
        <f>VLOOKUP(A31,'OI(Value)'!A31:O249,9,0)</f>
        <v>45</v>
      </c>
      <c r="R31" s="179">
        <f>VLOOKUP(A31,'OI(Value)'!A31:O249,11,0)</f>
        <v>1053</v>
      </c>
      <c r="S31" s="179">
        <f>VLOOKUP(A31,'OI(Value)'!A31:O249,11,0)</f>
        <v>1053</v>
      </c>
    </row>
    <row r="32" spans="1:19" x14ac:dyDescent="0.25">
      <c r="A32" s="105" t="str">
        <f>'Data Vlaue (Cr)'!C27</f>
        <v>BANKINDIA</v>
      </c>
      <c r="B32" s="143">
        <f>VLOOKUP($A32,'Data shares'!$C:$FA,118)</f>
        <v>0.73</v>
      </c>
      <c r="C32" s="143">
        <f>VLOOKUP($A32,'Data shares'!$C:$FA,119)</f>
        <v>0.72</v>
      </c>
      <c r="D32" s="143">
        <f>VLOOKUP($A32,'Data shares'!$C:$FA,121)*100</f>
        <v>1.39</v>
      </c>
      <c r="E32" s="143">
        <f>VLOOKUP($A32,'Data shares'!$C:$FA,124)</f>
        <v>0.54</v>
      </c>
      <c r="F32" s="143">
        <f>VLOOKUP($A32,'Data shares'!$C:$FA,125)</f>
        <v>0.59</v>
      </c>
      <c r="G32" s="143">
        <f>VLOOKUP($A32,'Data shares'!$C:$FA,127)*100</f>
        <v>-8.4699999999999989</v>
      </c>
      <c r="H32" s="103">
        <f>VLOOKUP($A32,'OI(Volume)'!$A$7:$O$440,8)</f>
        <v>24341200</v>
      </c>
      <c r="I32" s="103">
        <f>VLOOKUP($A32,'OI(Volume)'!$A$7:$O$440,9)</f>
        <v>-57200</v>
      </c>
      <c r="J32" s="103">
        <f>VLOOKUP($A32,'OI(Volume)'!$A$7:$O$440,11)</f>
        <v>17877600</v>
      </c>
      <c r="K32" s="103">
        <f>VLOOKUP($A32,'OI(Volume)'!$A$7:$O$440,12)</f>
        <v>343200</v>
      </c>
      <c r="L32" s="103">
        <f>VLOOKUP($A32,'OI(Value)'!$A$7:$O$323,8,0)</f>
        <v>408</v>
      </c>
      <c r="M32" s="103">
        <f>VLOOKUP($A32,'OI(Value)'!$A$7:$O$323,9,0)</f>
        <v>-1</v>
      </c>
      <c r="N32" s="103">
        <f>VLOOKUP($A32,'OI(Value)'!$A$7:$O$323,11,0)</f>
        <v>300</v>
      </c>
      <c r="O32" s="103">
        <f>VLOOKUP($A32,'OI(Value)'!$A$7:$O$323,12,0)</f>
        <v>6</v>
      </c>
      <c r="P32" s="179">
        <f>VLOOKUP(A32,'OI(Value)'!A32:O250,8,0)</f>
        <v>408</v>
      </c>
      <c r="Q32" s="179">
        <f>VLOOKUP(A32,'OI(Value)'!A32:O250,9,0)</f>
        <v>-1</v>
      </c>
      <c r="R32" s="179">
        <f>VLOOKUP(A32,'OI(Value)'!A32:O250,11,0)</f>
        <v>300</v>
      </c>
      <c r="S32" s="179">
        <f>VLOOKUP(A32,'OI(Value)'!A32:O250,11,0)</f>
        <v>300</v>
      </c>
    </row>
    <row r="33" spans="1:19" x14ac:dyDescent="0.25">
      <c r="A33" s="105" t="str">
        <f>'Data Vlaue (Cr)'!C28</f>
        <v>BANKNIFTY</v>
      </c>
      <c r="B33" s="143">
        <f>VLOOKUP($A33,'Data shares'!$C:$FA,118)</f>
        <v>1.17</v>
      </c>
      <c r="C33" s="143">
        <f>VLOOKUP($A33,'Data shares'!$C:$FA,119)</f>
        <v>1.05</v>
      </c>
      <c r="D33" s="143">
        <f>VLOOKUP($A33,'Data shares'!$C:$FA,121)*100</f>
        <v>11.43</v>
      </c>
      <c r="E33" s="143">
        <f>VLOOKUP($A33,'Data shares'!$C:$FA,124)</f>
        <v>1.1000000000000001</v>
      </c>
      <c r="F33" s="143">
        <f>VLOOKUP($A33,'Data shares'!$C:$FA,125)</f>
        <v>0.98</v>
      </c>
      <c r="G33" s="143">
        <f>VLOOKUP($A33,'Data shares'!$C:$FA,127)*100</f>
        <v>12.24</v>
      </c>
      <c r="H33" s="103">
        <f>VLOOKUP($A33,'OI(Volume)'!$A$7:$O$440,8)</f>
        <v>14715200</v>
      </c>
      <c r="I33" s="103">
        <f>VLOOKUP($A33,'OI(Volume)'!$A$7:$O$440,9)</f>
        <v>185305</v>
      </c>
      <c r="J33" s="103">
        <f>VLOOKUP($A33,'OI(Volume)'!$A$7:$O$440,11)</f>
        <v>17207835</v>
      </c>
      <c r="K33" s="103">
        <f>VLOOKUP($A33,'OI(Volume)'!$A$7:$O$440,12)</f>
        <v>1944555</v>
      </c>
      <c r="L33" s="103">
        <f>VLOOKUP($A33,'OI(Value)'!$A$7:$O$323,8,0)</f>
        <v>89482</v>
      </c>
      <c r="M33" s="103">
        <f>VLOOKUP($A33,'OI(Value)'!$A$7:$O$323,9,0)</f>
        <v>1127</v>
      </c>
      <c r="N33" s="103">
        <f>VLOOKUP($A33,'OI(Value)'!$A$7:$O$323,11,0)</f>
        <v>104639</v>
      </c>
      <c r="O33" s="103">
        <f>VLOOKUP($A33,'OI(Value)'!$A$7:$O$323,12,0)</f>
        <v>11825</v>
      </c>
      <c r="P33" s="179">
        <f>VLOOKUP(A33,'OI(Value)'!A33:O251,8,0)</f>
        <v>89482</v>
      </c>
      <c r="Q33" s="179">
        <f>VLOOKUP(A33,'OI(Value)'!A33:O251,9,0)</f>
        <v>1127</v>
      </c>
      <c r="R33" s="179">
        <f>VLOOKUP(A33,'OI(Value)'!A33:O251,11,0)</f>
        <v>104639</v>
      </c>
      <c r="S33" s="179">
        <f>VLOOKUP(A33,'OI(Value)'!A33:O251,11,0)</f>
        <v>104639</v>
      </c>
    </row>
    <row r="34" spans="1:19" x14ac:dyDescent="0.25">
      <c r="A34" s="105" t="str">
        <f>'Data Vlaue (Cr)'!C29</f>
        <v>BDL</v>
      </c>
      <c r="B34" s="143">
        <f>VLOOKUP($A34,'Data shares'!$C:$FA,118)</f>
        <v>0.36</v>
      </c>
      <c r="C34" s="143">
        <f>VLOOKUP($A34,'Data shares'!$C:$FA,119)</f>
        <v>0.36</v>
      </c>
      <c r="D34" s="143">
        <f>VLOOKUP($A34,'Data shares'!$C:$FA,121)*100</f>
        <v>0</v>
      </c>
      <c r="E34" s="143">
        <f>VLOOKUP($A34,'Data shares'!$C:$FA,124)</f>
        <v>0.22</v>
      </c>
      <c r="F34" s="143">
        <f>VLOOKUP($A34,'Data shares'!$C:$FA,125)</f>
        <v>0.26</v>
      </c>
      <c r="G34" s="143">
        <f>VLOOKUP($A34,'Data shares'!$C:$FA,127)*100</f>
        <v>-15.379999999999999</v>
      </c>
      <c r="H34" s="103">
        <f>VLOOKUP($A34,'OI(Volume)'!$A$7:$O$440,8)</f>
        <v>11154500</v>
      </c>
      <c r="I34" s="103">
        <f>VLOOKUP($A34,'OI(Volume)'!$A$7:$O$440,9)</f>
        <v>-113050</v>
      </c>
      <c r="J34" s="103">
        <f>VLOOKUP($A34,'OI(Volume)'!$A$7:$O$440,11)</f>
        <v>4016950</v>
      </c>
      <c r="K34" s="103">
        <f>VLOOKUP($A34,'OI(Volume)'!$A$7:$O$440,12)</f>
        <v>-13650</v>
      </c>
      <c r="L34" s="103">
        <f>VLOOKUP($A34,'OI(Value)'!$A$7:$O$323,8,0)</f>
        <v>1434</v>
      </c>
      <c r="M34" s="103">
        <f>VLOOKUP($A34,'OI(Value)'!$A$7:$O$323,9,0)</f>
        <v>-15</v>
      </c>
      <c r="N34" s="103">
        <f>VLOOKUP($A34,'OI(Value)'!$A$7:$O$323,11,0)</f>
        <v>516</v>
      </c>
      <c r="O34" s="103">
        <f>VLOOKUP($A34,'OI(Value)'!$A$7:$O$323,12,0)</f>
        <v>-2</v>
      </c>
      <c r="P34" s="179">
        <f>VLOOKUP(A34,'OI(Value)'!A34:O252,8,0)</f>
        <v>1434</v>
      </c>
      <c r="Q34" s="179">
        <f>VLOOKUP(A34,'OI(Value)'!A34:O252,9,0)</f>
        <v>-15</v>
      </c>
      <c r="R34" s="179">
        <f>VLOOKUP(A34,'OI(Value)'!A34:O252,11,0)</f>
        <v>516</v>
      </c>
      <c r="S34" s="179">
        <f>VLOOKUP(A34,'OI(Value)'!A34:O252,11,0)</f>
        <v>516</v>
      </c>
    </row>
    <row r="35" spans="1:19" x14ac:dyDescent="0.25">
      <c r="A35" s="105" t="str">
        <f>'Data Vlaue (Cr)'!C30</f>
        <v>BEL</v>
      </c>
      <c r="B35" s="143">
        <f>VLOOKUP($A35,'Data shares'!$C:$FA,118)</f>
        <v>0.42</v>
      </c>
      <c r="C35" s="143">
        <f>VLOOKUP($A35,'Data shares'!$C:$FA,119)</f>
        <v>0.42</v>
      </c>
      <c r="D35" s="143">
        <f>VLOOKUP($A35,'Data shares'!$C:$FA,121)*100</f>
        <v>0</v>
      </c>
      <c r="E35" s="143">
        <f>VLOOKUP($A35,'Data shares'!$C:$FA,124)</f>
        <v>0.33</v>
      </c>
      <c r="F35" s="143">
        <f>VLOOKUP($A35,'Data shares'!$C:$FA,125)</f>
        <v>0.36</v>
      </c>
      <c r="G35" s="143">
        <f>VLOOKUP($A35,'Data shares'!$C:$FA,127)*100</f>
        <v>-8.33</v>
      </c>
      <c r="H35" s="103">
        <f>VLOOKUP($A35,'OI(Volume)'!$A$7:$O$440,8)</f>
        <v>102722550</v>
      </c>
      <c r="I35" s="103">
        <f>VLOOKUP($A35,'OI(Volume)'!$A$7:$O$440,9)</f>
        <v>-2535075</v>
      </c>
      <c r="J35" s="103">
        <f>VLOOKUP($A35,'OI(Volume)'!$A$7:$O$440,11)</f>
        <v>43536600</v>
      </c>
      <c r="K35" s="103">
        <f>VLOOKUP($A35,'OI(Volume)'!$A$7:$O$440,12)</f>
        <v>-567150</v>
      </c>
      <c r="L35" s="103">
        <f>VLOOKUP($A35,'OI(Value)'!$A$7:$O$323,8,0)</f>
        <v>4496</v>
      </c>
      <c r="M35" s="103">
        <f>VLOOKUP($A35,'OI(Value)'!$A$7:$O$323,9,0)</f>
        <v>-111</v>
      </c>
      <c r="N35" s="103">
        <f>VLOOKUP($A35,'OI(Value)'!$A$7:$O$323,11,0)</f>
        <v>1906</v>
      </c>
      <c r="O35" s="103">
        <f>VLOOKUP($A35,'OI(Value)'!$A$7:$O$323,12,0)</f>
        <v>-25</v>
      </c>
      <c r="P35" s="179">
        <f>VLOOKUP(A35,'OI(Value)'!A35:O253,8,0)</f>
        <v>4496</v>
      </c>
      <c r="Q35" s="179">
        <f>VLOOKUP(A35,'OI(Value)'!A35:O253,9,0)</f>
        <v>-111</v>
      </c>
      <c r="R35" s="179">
        <f>VLOOKUP(A35,'OI(Value)'!A35:O253,11,0)</f>
        <v>1906</v>
      </c>
      <c r="S35" s="179">
        <f>VLOOKUP(A35,'OI(Value)'!A35:O253,11,0)</f>
        <v>1906</v>
      </c>
    </row>
    <row r="36" spans="1:19" x14ac:dyDescent="0.25">
      <c r="A36" s="105" t="str">
        <f>'Data Vlaue (Cr)'!C31</f>
        <v>BHARATFORG</v>
      </c>
      <c r="B36" s="143">
        <f>VLOOKUP($A36,'Data shares'!$C:$FA,118)</f>
        <v>0.78</v>
      </c>
      <c r="C36" s="143">
        <f>VLOOKUP($A36,'Data shares'!$C:$FA,119)</f>
        <v>0.75</v>
      </c>
      <c r="D36" s="143">
        <f>VLOOKUP($A36,'Data shares'!$C:$FA,121)*100</f>
        <v>4</v>
      </c>
      <c r="E36" s="143">
        <f>VLOOKUP($A36,'Data shares'!$C:$FA,124)</f>
        <v>0.33</v>
      </c>
      <c r="F36" s="143">
        <f>VLOOKUP($A36,'Data shares'!$C:$FA,125)</f>
        <v>0.38</v>
      </c>
      <c r="G36" s="143">
        <f>VLOOKUP($A36,'Data shares'!$C:$FA,127)*100</f>
        <v>-13.16</v>
      </c>
      <c r="H36" s="103">
        <f>VLOOKUP($A36,'OI(Volume)'!$A$7:$O$440,8)</f>
        <v>3429000</v>
      </c>
      <c r="I36" s="103">
        <f>VLOOKUP($A36,'OI(Volume)'!$A$7:$O$440,9)</f>
        <v>455000</v>
      </c>
      <c r="J36" s="103">
        <f>VLOOKUP($A36,'OI(Volume)'!$A$7:$O$440,11)</f>
        <v>2658000</v>
      </c>
      <c r="K36" s="103">
        <f>VLOOKUP($A36,'OI(Volume)'!$A$7:$O$440,12)</f>
        <v>413500</v>
      </c>
      <c r="L36" s="103">
        <f>VLOOKUP($A36,'OI(Value)'!$A$7:$O$323,8,0)</f>
        <v>576</v>
      </c>
      <c r="M36" s="103">
        <f>VLOOKUP($A36,'OI(Value)'!$A$7:$O$323,9,0)</f>
        <v>76</v>
      </c>
      <c r="N36" s="103">
        <f>VLOOKUP($A36,'OI(Value)'!$A$7:$O$323,11,0)</f>
        <v>446</v>
      </c>
      <c r="O36" s="103">
        <f>VLOOKUP($A36,'OI(Value)'!$A$7:$O$323,12,0)</f>
        <v>69</v>
      </c>
      <c r="P36" s="179">
        <f>VLOOKUP(A36,'OI(Value)'!A36:O254,8,0)</f>
        <v>576</v>
      </c>
      <c r="Q36" s="179">
        <f>VLOOKUP(A36,'OI(Value)'!A36:O254,9,0)</f>
        <v>76</v>
      </c>
      <c r="R36" s="179">
        <f>VLOOKUP(A36,'OI(Value)'!A36:O254,11,0)</f>
        <v>446</v>
      </c>
      <c r="S36" s="179">
        <f>VLOOKUP(A36,'OI(Value)'!A36:O254,11,0)</f>
        <v>446</v>
      </c>
    </row>
    <row r="37" spans="1:19" x14ac:dyDescent="0.25">
      <c r="A37" s="105" t="str">
        <f>'Data Vlaue (Cr)'!C32</f>
        <v>BHARTIARTL</v>
      </c>
      <c r="B37" s="143">
        <f>VLOOKUP($A37,'Data shares'!$C:$FA,118)</f>
        <v>0.5</v>
      </c>
      <c r="C37" s="143">
        <f>VLOOKUP($A37,'Data shares'!$C:$FA,119)</f>
        <v>0.51</v>
      </c>
      <c r="D37" s="143">
        <f>VLOOKUP($A37,'Data shares'!$C:$FA,121)*100</f>
        <v>-1.96</v>
      </c>
      <c r="E37" s="143">
        <f>VLOOKUP($A37,'Data shares'!$C:$FA,124)</f>
        <v>0.56999999999999995</v>
      </c>
      <c r="F37" s="143">
        <f>VLOOKUP($A37,'Data shares'!$C:$FA,125)</f>
        <v>0.72</v>
      </c>
      <c r="G37" s="143">
        <f>VLOOKUP($A37,'Data shares'!$C:$FA,127)*100</f>
        <v>-20.830000000000002</v>
      </c>
      <c r="H37" s="103">
        <f>VLOOKUP($A37,'OI(Volume)'!$A$7:$O$440,8)</f>
        <v>15654100</v>
      </c>
      <c r="I37" s="103">
        <f>VLOOKUP($A37,'OI(Volume)'!$A$7:$O$440,9)</f>
        <v>745275</v>
      </c>
      <c r="J37" s="103">
        <f>VLOOKUP($A37,'OI(Volume)'!$A$7:$O$440,11)</f>
        <v>7771000</v>
      </c>
      <c r="K37" s="103">
        <f>VLOOKUP($A37,'OI(Volume)'!$A$7:$O$440,12)</f>
        <v>95000</v>
      </c>
      <c r="L37" s="103">
        <f>VLOOKUP($A37,'OI(Value)'!$A$7:$O$323,8,0)</f>
        <v>3159</v>
      </c>
      <c r="M37" s="103">
        <f>VLOOKUP($A37,'OI(Value)'!$A$7:$O$323,9,0)</f>
        <v>150</v>
      </c>
      <c r="N37" s="103">
        <f>VLOOKUP($A37,'OI(Value)'!$A$7:$O$323,11,0)</f>
        <v>1568</v>
      </c>
      <c r="O37" s="103">
        <f>VLOOKUP($A37,'OI(Value)'!$A$7:$O$323,12,0)</f>
        <v>19</v>
      </c>
      <c r="P37" s="179">
        <f>VLOOKUP(A37,'OI(Value)'!A37:O255,8,0)</f>
        <v>3159</v>
      </c>
      <c r="Q37" s="179">
        <f>VLOOKUP(A37,'OI(Value)'!A37:O255,9,0)</f>
        <v>150</v>
      </c>
      <c r="R37" s="179">
        <f>VLOOKUP(A37,'OI(Value)'!A37:O255,11,0)</f>
        <v>1568</v>
      </c>
      <c r="S37" s="179">
        <f>VLOOKUP(A37,'OI(Value)'!A37:O255,11,0)</f>
        <v>1568</v>
      </c>
    </row>
    <row r="38" spans="1:19" x14ac:dyDescent="0.25">
      <c r="A38" s="105" t="str">
        <f>'Data Vlaue (Cr)'!C33</f>
        <v>BHEL</v>
      </c>
      <c r="B38" s="143">
        <f>VLOOKUP($A38,'Data shares'!$C:$FA,118)</f>
        <v>0.52</v>
      </c>
      <c r="C38" s="143">
        <f>VLOOKUP($A38,'Data shares'!$C:$FA,119)</f>
        <v>0.56000000000000005</v>
      </c>
      <c r="D38" s="143">
        <f>VLOOKUP($A38,'Data shares'!$C:$FA,121)*100</f>
        <v>-7.1400000000000006</v>
      </c>
      <c r="E38" s="143">
        <f>VLOOKUP($A38,'Data shares'!$C:$FA,124)</f>
        <v>0.6</v>
      </c>
      <c r="F38" s="143">
        <f>VLOOKUP($A38,'Data shares'!$C:$FA,125)</f>
        <v>0.46</v>
      </c>
      <c r="G38" s="143">
        <f>VLOOKUP($A38,'Data shares'!$C:$FA,127)*100</f>
        <v>30.43</v>
      </c>
      <c r="H38" s="103">
        <f>VLOOKUP($A38,'OI(Volume)'!$A$7:$O$440,8)</f>
        <v>78319500</v>
      </c>
      <c r="I38" s="103">
        <f>VLOOKUP($A38,'OI(Volume)'!$A$7:$O$440,9)</f>
        <v>30108750</v>
      </c>
      <c r="J38" s="103">
        <f>VLOOKUP($A38,'OI(Volume)'!$A$7:$O$440,11)</f>
        <v>41112750</v>
      </c>
      <c r="K38" s="103">
        <f>VLOOKUP($A38,'OI(Volume)'!$A$7:$O$440,12)</f>
        <v>13909875</v>
      </c>
      <c r="L38" s="103">
        <f>VLOOKUP($A38,'OI(Value)'!$A$7:$O$323,8,0)</f>
        <v>2042</v>
      </c>
      <c r="M38" s="103">
        <f>VLOOKUP($A38,'OI(Value)'!$A$7:$O$323,9,0)</f>
        <v>785</v>
      </c>
      <c r="N38" s="103">
        <f>VLOOKUP($A38,'OI(Value)'!$A$7:$O$323,11,0)</f>
        <v>1072</v>
      </c>
      <c r="O38" s="103">
        <f>VLOOKUP($A38,'OI(Value)'!$A$7:$O$323,12,0)</f>
        <v>363</v>
      </c>
      <c r="P38" s="179">
        <f>VLOOKUP(A38,'OI(Value)'!A38:O256,8,0)</f>
        <v>2042</v>
      </c>
      <c r="Q38" s="179">
        <f>VLOOKUP(A38,'OI(Value)'!A38:O256,9,0)</f>
        <v>785</v>
      </c>
      <c r="R38" s="179">
        <f>VLOOKUP(A38,'OI(Value)'!A38:O256,11,0)</f>
        <v>1072</v>
      </c>
      <c r="S38" s="179">
        <f>VLOOKUP(A38,'OI(Value)'!A38:O256,11,0)</f>
        <v>1072</v>
      </c>
    </row>
    <row r="39" spans="1:19" x14ac:dyDescent="0.25">
      <c r="A39" s="105" t="str">
        <f>'Data Vlaue (Cr)'!C34</f>
        <v>BIOCON</v>
      </c>
      <c r="B39" s="143">
        <f>VLOOKUP($A39,'Data shares'!$C:$FA,118)</f>
        <v>0.71</v>
      </c>
      <c r="C39" s="143">
        <f>VLOOKUP($A39,'Data shares'!$C:$FA,119)</f>
        <v>0.73</v>
      </c>
      <c r="D39" s="143">
        <f>VLOOKUP($A39,'Data shares'!$C:$FA,121)*100</f>
        <v>-2.74</v>
      </c>
      <c r="E39" s="143">
        <f>VLOOKUP($A39,'Data shares'!$C:$FA,124)</f>
        <v>0.36</v>
      </c>
      <c r="F39" s="143">
        <f>VLOOKUP($A39,'Data shares'!$C:$FA,125)</f>
        <v>0.44</v>
      </c>
      <c r="G39" s="143">
        <f>VLOOKUP($A39,'Data shares'!$C:$FA,127)*100</f>
        <v>-18.18</v>
      </c>
      <c r="H39" s="103">
        <f>VLOOKUP($A39,'OI(Volume)'!$A$7:$O$440,8)</f>
        <v>22277500</v>
      </c>
      <c r="I39" s="103">
        <f>VLOOKUP($A39,'OI(Volume)'!$A$7:$O$440,9)</f>
        <v>2302500</v>
      </c>
      <c r="J39" s="103">
        <f>VLOOKUP($A39,'OI(Volume)'!$A$7:$O$440,11)</f>
        <v>15752500</v>
      </c>
      <c r="K39" s="103">
        <f>VLOOKUP($A39,'OI(Volume)'!$A$7:$O$440,12)</f>
        <v>1127500</v>
      </c>
      <c r="L39" s="103">
        <f>VLOOKUP($A39,'OI(Value)'!$A$7:$O$323,8,0)</f>
        <v>838</v>
      </c>
      <c r="M39" s="103">
        <f>VLOOKUP($A39,'OI(Value)'!$A$7:$O$323,9,0)</f>
        <v>87</v>
      </c>
      <c r="N39" s="103">
        <f>VLOOKUP($A39,'OI(Value)'!$A$7:$O$323,11,0)</f>
        <v>593</v>
      </c>
      <c r="O39" s="103">
        <f>VLOOKUP($A39,'OI(Value)'!$A$7:$O$323,12,0)</f>
        <v>42</v>
      </c>
      <c r="P39" s="179">
        <f>VLOOKUP(A39,'OI(Value)'!A39:O257,8,0)</f>
        <v>838</v>
      </c>
      <c r="Q39" s="179">
        <f>VLOOKUP(A39,'OI(Value)'!A39:O257,9,0)</f>
        <v>87</v>
      </c>
      <c r="R39" s="179">
        <f>VLOOKUP(A39,'OI(Value)'!A39:O257,11,0)</f>
        <v>593</v>
      </c>
      <c r="S39" s="179">
        <f>VLOOKUP(A39,'OI(Value)'!A39:O257,11,0)</f>
        <v>593</v>
      </c>
    </row>
    <row r="40" spans="1:19" x14ac:dyDescent="0.25">
      <c r="A40" s="105" t="str">
        <f>'Data Vlaue (Cr)'!C35</f>
        <v>BLUESTARCO</v>
      </c>
      <c r="B40" s="143">
        <f>VLOOKUP($A40,'Data shares'!$C:$FA,118)</f>
        <v>0.74</v>
      </c>
      <c r="C40" s="143">
        <f>VLOOKUP($A40,'Data shares'!$C:$FA,119)</f>
        <v>0.69</v>
      </c>
      <c r="D40" s="143">
        <f>VLOOKUP($A40,'Data shares'!$C:$FA,121)*100</f>
        <v>7.2499999999999991</v>
      </c>
      <c r="E40" s="143">
        <f>VLOOKUP($A40,'Data shares'!$C:$FA,124)</f>
        <v>0.28000000000000003</v>
      </c>
      <c r="F40" s="143">
        <f>VLOOKUP($A40,'Data shares'!$C:$FA,125)</f>
        <v>0.42</v>
      </c>
      <c r="G40" s="143">
        <f>VLOOKUP($A40,'Data shares'!$C:$FA,127)*100</f>
        <v>-33.33</v>
      </c>
      <c r="H40" s="103">
        <f>VLOOKUP($A40,'OI(Volume)'!$A$7:$O$440,8)</f>
        <v>1539850</v>
      </c>
      <c r="I40" s="103">
        <f>VLOOKUP($A40,'OI(Volume)'!$A$7:$O$440,9)</f>
        <v>-66300</v>
      </c>
      <c r="J40" s="103">
        <f>VLOOKUP($A40,'OI(Volume)'!$A$7:$O$440,11)</f>
        <v>1144000</v>
      </c>
      <c r="K40" s="103">
        <f>VLOOKUP($A40,'OI(Volume)'!$A$7:$O$440,12)</f>
        <v>29250</v>
      </c>
      <c r="L40" s="103">
        <f>VLOOKUP($A40,'OI(Value)'!$A$7:$O$323,8,0)</f>
        <v>303</v>
      </c>
      <c r="M40" s="103">
        <f>VLOOKUP($A40,'OI(Value)'!$A$7:$O$323,9,0)</f>
        <v>-13</v>
      </c>
      <c r="N40" s="103">
        <f>VLOOKUP($A40,'OI(Value)'!$A$7:$O$323,11,0)</f>
        <v>225</v>
      </c>
      <c r="O40" s="103">
        <f>VLOOKUP($A40,'OI(Value)'!$A$7:$O$323,12,0)</f>
        <v>6</v>
      </c>
      <c r="P40" s="179">
        <f>VLOOKUP(A40,'OI(Value)'!A40:O258,8,0)</f>
        <v>303</v>
      </c>
      <c r="Q40" s="179">
        <f>VLOOKUP(A40,'OI(Value)'!A40:O258,9,0)</f>
        <v>-13</v>
      </c>
      <c r="R40" s="179">
        <f>VLOOKUP(A40,'OI(Value)'!A40:O258,11,0)</f>
        <v>225</v>
      </c>
      <c r="S40" s="179">
        <f>VLOOKUP(A40,'OI(Value)'!A40:O258,11,0)</f>
        <v>225</v>
      </c>
    </row>
    <row r="41" spans="1:19" x14ac:dyDescent="0.25">
      <c r="A41" s="105" t="str">
        <f>'Data Vlaue (Cr)'!C36</f>
        <v>BOSCHLTD</v>
      </c>
      <c r="B41" s="143">
        <f>VLOOKUP($A41,'Data shares'!$C:$FA,118)</f>
        <v>0.51</v>
      </c>
      <c r="C41" s="143">
        <f>VLOOKUP($A41,'Data shares'!$C:$FA,119)</f>
        <v>0.4</v>
      </c>
      <c r="D41" s="143">
        <f>VLOOKUP($A41,'Data shares'!$C:$FA,121)*100</f>
        <v>27.500000000000004</v>
      </c>
      <c r="E41" s="143">
        <f>VLOOKUP($A41,'Data shares'!$C:$FA,124)</f>
        <v>0.35</v>
      </c>
      <c r="F41" s="143">
        <f>VLOOKUP($A41,'Data shares'!$C:$FA,125)</f>
        <v>0.44</v>
      </c>
      <c r="G41" s="143">
        <f>VLOOKUP($A41,'Data shares'!$C:$FA,127)*100</f>
        <v>-20.45</v>
      </c>
      <c r="H41" s="103">
        <f>VLOOKUP($A41,'OI(Volume)'!$A$7:$O$440,8)</f>
        <v>181275</v>
      </c>
      <c r="I41" s="103">
        <f>VLOOKUP($A41,'OI(Volume)'!$A$7:$O$440,9)</f>
        <v>-30225</v>
      </c>
      <c r="J41" s="103">
        <f>VLOOKUP($A41,'OI(Volume)'!$A$7:$O$440,11)</f>
        <v>91950</v>
      </c>
      <c r="K41" s="103">
        <f>VLOOKUP($A41,'OI(Volume)'!$A$7:$O$440,12)</f>
        <v>7825</v>
      </c>
      <c r="L41" s="103">
        <f>VLOOKUP($A41,'OI(Value)'!$A$7:$O$323,8,0)</f>
        <v>664</v>
      </c>
      <c r="M41" s="103">
        <f>VLOOKUP($A41,'OI(Value)'!$A$7:$O$323,9,0)</f>
        <v>-111</v>
      </c>
      <c r="N41" s="103">
        <f>VLOOKUP($A41,'OI(Value)'!$A$7:$O$323,11,0)</f>
        <v>337</v>
      </c>
      <c r="O41" s="103">
        <f>VLOOKUP($A41,'OI(Value)'!$A$7:$O$323,12,0)</f>
        <v>29</v>
      </c>
      <c r="P41" s="179">
        <f>VLOOKUP(A41,'OI(Value)'!A41:O259,8,0)</f>
        <v>664</v>
      </c>
      <c r="Q41" s="179">
        <f>VLOOKUP(A41,'OI(Value)'!A41:O259,9,0)</f>
        <v>-111</v>
      </c>
      <c r="R41" s="179">
        <f>VLOOKUP(A41,'OI(Value)'!A41:O259,11,0)</f>
        <v>337</v>
      </c>
      <c r="S41" s="179">
        <f>VLOOKUP(A41,'OI(Value)'!A41:O259,11,0)</f>
        <v>337</v>
      </c>
    </row>
    <row r="42" spans="1:19" x14ac:dyDescent="0.25">
      <c r="A42" s="105" t="str">
        <f>'Data Vlaue (Cr)'!C37</f>
        <v>BPCL</v>
      </c>
      <c r="B42" s="143">
        <f>VLOOKUP($A42,'Data shares'!$C:$FA,118)</f>
        <v>0.73</v>
      </c>
      <c r="C42" s="143">
        <f>VLOOKUP($A42,'Data shares'!$C:$FA,119)</f>
        <v>0.71</v>
      </c>
      <c r="D42" s="143">
        <f>VLOOKUP($A42,'Data shares'!$C:$FA,121)*100</f>
        <v>2.82</v>
      </c>
      <c r="E42" s="143">
        <f>VLOOKUP($A42,'Data shares'!$C:$FA,124)</f>
        <v>0.52</v>
      </c>
      <c r="F42" s="143">
        <f>VLOOKUP($A42,'Data shares'!$C:$FA,125)</f>
        <v>0.63</v>
      </c>
      <c r="G42" s="143">
        <f>VLOOKUP($A42,'Data shares'!$C:$FA,127)*100</f>
        <v>-17.46</v>
      </c>
      <c r="H42" s="103">
        <f>VLOOKUP($A42,'OI(Volume)'!$A$7:$O$440,8)</f>
        <v>19056775</v>
      </c>
      <c r="I42" s="103">
        <f>VLOOKUP($A42,'OI(Volume)'!$A$7:$O$440,9)</f>
        <v>1566175</v>
      </c>
      <c r="J42" s="103">
        <f>VLOOKUP($A42,'OI(Volume)'!$A$7:$O$440,11)</f>
        <v>13977075</v>
      </c>
      <c r="K42" s="103">
        <f>VLOOKUP($A42,'OI(Volume)'!$A$7:$O$440,12)</f>
        <v>1583950</v>
      </c>
      <c r="L42" s="103">
        <f>VLOOKUP($A42,'OI(Value)'!$A$7:$O$323,8,0)</f>
        <v>740</v>
      </c>
      <c r="M42" s="103">
        <f>VLOOKUP($A42,'OI(Value)'!$A$7:$O$323,9,0)</f>
        <v>61</v>
      </c>
      <c r="N42" s="103">
        <f>VLOOKUP($A42,'OI(Value)'!$A$7:$O$323,11,0)</f>
        <v>542</v>
      </c>
      <c r="O42" s="103">
        <f>VLOOKUP($A42,'OI(Value)'!$A$7:$O$323,12,0)</f>
        <v>61</v>
      </c>
      <c r="P42" s="179">
        <f>VLOOKUP(A42,'OI(Value)'!A42:O260,8,0)</f>
        <v>740</v>
      </c>
      <c r="Q42" s="179">
        <f>VLOOKUP(A42,'OI(Value)'!A42:O260,9,0)</f>
        <v>61</v>
      </c>
      <c r="R42" s="179">
        <f>VLOOKUP(A42,'OI(Value)'!A42:O260,11,0)</f>
        <v>542</v>
      </c>
      <c r="S42" s="179">
        <f>VLOOKUP(A42,'OI(Value)'!A42:O260,11,0)</f>
        <v>542</v>
      </c>
    </row>
    <row r="43" spans="1:19" x14ac:dyDescent="0.25">
      <c r="A43" s="105" t="str">
        <f>'Data Vlaue (Cr)'!C38</f>
        <v>BRITANNIA</v>
      </c>
      <c r="B43" s="143">
        <f>VLOOKUP($A43,'Data shares'!$C:$FA,118)</f>
        <v>0.55000000000000004</v>
      </c>
      <c r="C43" s="143">
        <f>VLOOKUP($A43,'Data shares'!$C:$FA,119)</f>
        <v>0.51</v>
      </c>
      <c r="D43" s="143">
        <f>VLOOKUP($A43,'Data shares'!$C:$FA,121)*100</f>
        <v>7.84</v>
      </c>
      <c r="E43" s="143">
        <f>VLOOKUP($A43,'Data shares'!$C:$FA,124)</f>
        <v>0.47</v>
      </c>
      <c r="F43" s="143">
        <f>VLOOKUP($A43,'Data shares'!$C:$FA,125)</f>
        <v>0.45</v>
      </c>
      <c r="G43" s="143">
        <f>VLOOKUP($A43,'Data shares'!$C:$FA,127)*100</f>
        <v>4.4400000000000004</v>
      </c>
      <c r="H43" s="103">
        <f>VLOOKUP($A43,'OI(Volume)'!$A$7:$O$440,8)</f>
        <v>1611000</v>
      </c>
      <c r="I43" s="103">
        <f>VLOOKUP($A43,'OI(Volume)'!$A$7:$O$440,9)</f>
        <v>336875</v>
      </c>
      <c r="J43" s="103">
        <f>VLOOKUP($A43,'OI(Volume)'!$A$7:$O$440,11)</f>
        <v>880250</v>
      </c>
      <c r="K43" s="103">
        <f>VLOOKUP($A43,'OI(Volume)'!$A$7:$O$440,12)</f>
        <v>235250</v>
      </c>
      <c r="L43" s="103">
        <f>VLOOKUP($A43,'OI(Value)'!$A$7:$O$323,8,0)</f>
        <v>973</v>
      </c>
      <c r="M43" s="103">
        <f>VLOOKUP($A43,'OI(Value)'!$A$7:$O$323,9,0)</f>
        <v>203</v>
      </c>
      <c r="N43" s="103">
        <f>VLOOKUP($A43,'OI(Value)'!$A$7:$O$323,11,0)</f>
        <v>532</v>
      </c>
      <c r="O43" s="103">
        <f>VLOOKUP($A43,'OI(Value)'!$A$7:$O$323,12,0)</f>
        <v>142</v>
      </c>
      <c r="P43" s="179">
        <f>VLOOKUP(A43,'OI(Value)'!A43:O261,8,0)</f>
        <v>973</v>
      </c>
      <c r="Q43" s="179">
        <f>VLOOKUP(A43,'OI(Value)'!A43:O261,9,0)</f>
        <v>203</v>
      </c>
      <c r="R43" s="179">
        <f>VLOOKUP(A43,'OI(Value)'!A43:O261,11,0)</f>
        <v>532</v>
      </c>
      <c r="S43" s="179">
        <f>VLOOKUP(A43,'OI(Value)'!A43:O261,11,0)</f>
        <v>532</v>
      </c>
    </row>
    <row r="44" spans="1:19" x14ac:dyDescent="0.25">
      <c r="A44" s="105" t="str">
        <f>'Data Vlaue (Cr)'!C39</f>
        <v>BSE</v>
      </c>
      <c r="B44" s="143">
        <f>VLOOKUP($A44,'Data shares'!$C:$FA,118)</f>
        <v>0.98</v>
      </c>
      <c r="C44" s="143">
        <f>VLOOKUP($A44,'Data shares'!$C:$FA,119)</f>
        <v>0.96</v>
      </c>
      <c r="D44" s="143">
        <f>VLOOKUP($A44,'Data shares'!$C:$FA,121)*100</f>
        <v>2.08</v>
      </c>
      <c r="E44" s="143">
        <f>VLOOKUP($A44,'Data shares'!$C:$FA,124)</f>
        <v>0.81</v>
      </c>
      <c r="F44" s="143">
        <f>VLOOKUP($A44,'Data shares'!$C:$FA,125)</f>
        <v>0.51</v>
      </c>
      <c r="G44" s="143">
        <f>VLOOKUP($A44,'Data shares'!$C:$FA,127)*100</f>
        <v>58.819999999999993</v>
      </c>
      <c r="H44" s="103">
        <f>VLOOKUP($A44,'OI(Volume)'!$A$7:$O$440,8)</f>
        <v>9112875</v>
      </c>
      <c r="I44" s="103">
        <f>VLOOKUP($A44,'OI(Volume)'!$A$7:$O$440,9)</f>
        <v>-276375</v>
      </c>
      <c r="J44" s="103">
        <f>VLOOKUP($A44,'OI(Volume)'!$A$7:$O$440,11)</f>
        <v>8931750</v>
      </c>
      <c r="K44" s="103">
        <f>VLOOKUP($A44,'OI(Volume)'!$A$7:$O$440,12)</f>
        <v>-126000</v>
      </c>
      <c r="L44" s="103">
        <f>VLOOKUP($A44,'OI(Value)'!$A$7:$O$323,8,0)</f>
        <v>2898</v>
      </c>
      <c r="M44" s="103">
        <f>VLOOKUP($A44,'OI(Value)'!$A$7:$O$323,9,0)</f>
        <v>-88</v>
      </c>
      <c r="N44" s="103">
        <f>VLOOKUP($A44,'OI(Value)'!$A$7:$O$323,11,0)</f>
        <v>2840</v>
      </c>
      <c r="O44" s="103">
        <f>VLOOKUP($A44,'OI(Value)'!$A$7:$O$323,12,0)</f>
        <v>-40</v>
      </c>
      <c r="P44" s="179">
        <f>VLOOKUP(A44,'OI(Value)'!A44:O262,8,0)</f>
        <v>2898</v>
      </c>
      <c r="Q44" s="179">
        <f>VLOOKUP(A44,'OI(Value)'!A44:O262,9,0)</f>
        <v>-88</v>
      </c>
      <c r="R44" s="179">
        <f>VLOOKUP(A44,'OI(Value)'!A44:O262,11,0)</f>
        <v>2840</v>
      </c>
      <c r="S44" s="179">
        <f>VLOOKUP(A44,'OI(Value)'!A44:O262,11,0)</f>
        <v>2840</v>
      </c>
    </row>
    <row r="45" spans="1:19" x14ac:dyDescent="0.25">
      <c r="A45" s="105" t="str">
        <f>'Data Vlaue (Cr)'!C40</f>
        <v>CAMS</v>
      </c>
      <c r="B45" s="143">
        <f>VLOOKUP($A45,'Data shares'!$C:$FA,118)</f>
        <v>1.06</v>
      </c>
      <c r="C45" s="143">
        <f>VLOOKUP($A45,'Data shares'!$C:$FA,119)</f>
        <v>1.08</v>
      </c>
      <c r="D45" s="143">
        <f>VLOOKUP($A45,'Data shares'!$C:$FA,121)*100</f>
        <v>-1.8499999999999999</v>
      </c>
      <c r="E45" s="143">
        <f>VLOOKUP($A45,'Data shares'!$C:$FA,124)</f>
        <v>0.39</v>
      </c>
      <c r="F45" s="143">
        <f>VLOOKUP($A45,'Data shares'!$C:$FA,125)</f>
        <v>0.32</v>
      </c>
      <c r="G45" s="143">
        <f>VLOOKUP($A45,'Data shares'!$C:$FA,127)*100</f>
        <v>21.88</v>
      </c>
      <c r="H45" s="103">
        <f>VLOOKUP($A45,'OI(Volume)'!$A$7:$O$440,8)</f>
        <v>2858250</v>
      </c>
      <c r="I45" s="103">
        <f>VLOOKUP($A45,'OI(Volume)'!$A$7:$O$440,9)</f>
        <v>77250</v>
      </c>
      <c r="J45" s="103">
        <f>VLOOKUP($A45,'OI(Volume)'!$A$7:$O$440,11)</f>
        <v>3017250</v>
      </c>
      <c r="K45" s="103">
        <f>VLOOKUP($A45,'OI(Volume)'!$A$7:$O$440,12)</f>
        <v>2250</v>
      </c>
      <c r="L45" s="103">
        <f>VLOOKUP($A45,'OI(Value)'!$A$7:$O$323,8,0)</f>
        <v>214</v>
      </c>
      <c r="M45" s="103">
        <f>VLOOKUP($A45,'OI(Value)'!$A$7:$O$323,9,0)</f>
        <v>6</v>
      </c>
      <c r="N45" s="103">
        <f>VLOOKUP($A45,'OI(Value)'!$A$7:$O$323,11,0)</f>
        <v>226</v>
      </c>
      <c r="O45" s="103">
        <f>VLOOKUP($A45,'OI(Value)'!$A$7:$O$323,12,0)</f>
        <v>0</v>
      </c>
      <c r="P45" s="179">
        <f>VLOOKUP(A45,'OI(Value)'!A45:O263,8,0)</f>
        <v>214</v>
      </c>
      <c r="Q45" s="179">
        <f>VLOOKUP(A45,'OI(Value)'!A45:O263,9,0)</f>
        <v>6</v>
      </c>
      <c r="R45" s="179">
        <f>VLOOKUP(A45,'OI(Value)'!A45:O263,11,0)</f>
        <v>226</v>
      </c>
      <c r="S45" s="179">
        <f>VLOOKUP(A45,'OI(Value)'!A45:O263,11,0)</f>
        <v>226</v>
      </c>
    </row>
    <row r="46" spans="1:19" x14ac:dyDescent="0.25">
      <c r="A46" s="105" t="str">
        <f>'Data Vlaue (Cr)'!C41</f>
        <v>CANBK</v>
      </c>
      <c r="B46" s="143">
        <f>VLOOKUP($A46,'Data shares'!$C:$FA,118)</f>
        <v>0.5</v>
      </c>
      <c r="C46" s="143">
        <f>VLOOKUP($A46,'Data shares'!$C:$FA,119)</f>
        <v>0.52</v>
      </c>
      <c r="D46" s="143">
        <f>VLOOKUP($A46,'Data shares'!$C:$FA,121)*100</f>
        <v>-3.85</v>
      </c>
      <c r="E46" s="143">
        <f>VLOOKUP($A46,'Data shares'!$C:$FA,124)</f>
        <v>0.38</v>
      </c>
      <c r="F46" s="143">
        <f>VLOOKUP($A46,'Data shares'!$C:$FA,125)</f>
        <v>0.32</v>
      </c>
      <c r="G46" s="143">
        <f>VLOOKUP($A46,'Data shares'!$C:$FA,127)*100</f>
        <v>18.75</v>
      </c>
      <c r="H46" s="103">
        <f>VLOOKUP($A46,'OI(Volume)'!$A$7:$O$440,8)</f>
        <v>182108250</v>
      </c>
      <c r="I46" s="103">
        <f>VLOOKUP($A46,'OI(Volume)'!$A$7:$O$440,9)</f>
        <v>9031500</v>
      </c>
      <c r="J46" s="103">
        <f>VLOOKUP($A46,'OI(Volume)'!$A$7:$O$440,11)</f>
        <v>91935000</v>
      </c>
      <c r="K46" s="103">
        <f>VLOOKUP($A46,'OI(Volume)'!$A$7:$O$440,12)</f>
        <v>2403000</v>
      </c>
      <c r="L46" s="103">
        <f>VLOOKUP($A46,'OI(Value)'!$A$7:$O$323,8,0)</f>
        <v>2659</v>
      </c>
      <c r="M46" s="103">
        <f>VLOOKUP($A46,'OI(Value)'!$A$7:$O$323,9,0)</f>
        <v>132</v>
      </c>
      <c r="N46" s="103">
        <f>VLOOKUP($A46,'OI(Value)'!$A$7:$O$323,11,0)</f>
        <v>1342</v>
      </c>
      <c r="O46" s="103">
        <f>VLOOKUP($A46,'OI(Value)'!$A$7:$O$323,12,0)</f>
        <v>35</v>
      </c>
      <c r="P46" s="179">
        <f>VLOOKUP(A46,'OI(Value)'!A46:O264,8,0)</f>
        <v>2659</v>
      </c>
      <c r="Q46" s="179">
        <f>VLOOKUP(A46,'OI(Value)'!A46:O264,9,0)</f>
        <v>132</v>
      </c>
      <c r="R46" s="179">
        <f>VLOOKUP(A46,'OI(Value)'!A46:O264,11,0)</f>
        <v>1342</v>
      </c>
      <c r="S46" s="179">
        <f>VLOOKUP(A46,'OI(Value)'!A46:O264,11,0)</f>
        <v>1342</v>
      </c>
    </row>
    <row r="47" spans="1:19" x14ac:dyDescent="0.25">
      <c r="A47" s="105" t="str">
        <f>'Data Vlaue (Cr)'!C42</f>
        <v>CDSL</v>
      </c>
      <c r="B47" s="143">
        <f>VLOOKUP($A47,'Data shares'!$C:$FA,118)</f>
        <v>0.7</v>
      </c>
      <c r="C47" s="143">
        <f>VLOOKUP($A47,'Data shares'!$C:$FA,119)</f>
        <v>0.7</v>
      </c>
      <c r="D47" s="143">
        <f>VLOOKUP($A47,'Data shares'!$C:$FA,121)*100</f>
        <v>0</v>
      </c>
      <c r="E47" s="143">
        <f>VLOOKUP($A47,'Data shares'!$C:$FA,124)</f>
        <v>0.39</v>
      </c>
      <c r="F47" s="143">
        <f>VLOOKUP($A47,'Data shares'!$C:$FA,125)</f>
        <v>0.31</v>
      </c>
      <c r="G47" s="143">
        <f>VLOOKUP($A47,'Data shares'!$C:$FA,127)*100</f>
        <v>25.81</v>
      </c>
      <c r="H47" s="103">
        <f>VLOOKUP($A47,'OI(Volume)'!$A$7:$O$440,8)</f>
        <v>8652600</v>
      </c>
      <c r="I47" s="103">
        <f>VLOOKUP($A47,'OI(Volume)'!$A$7:$O$440,9)</f>
        <v>264575</v>
      </c>
      <c r="J47" s="103">
        <f>VLOOKUP($A47,'OI(Volume)'!$A$7:$O$440,11)</f>
        <v>6025375</v>
      </c>
      <c r="K47" s="103">
        <f>VLOOKUP($A47,'OI(Volume)'!$A$7:$O$440,12)</f>
        <v>129675</v>
      </c>
      <c r="L47" s="103">
        <f>VLOOKUP($A47,'OI(Value)'!$A$7:$O$323,8,0)</f>
        <v>1210</v>
      </c>
      <c r="M47" s="103">
        <f>VLOOKUP($A47,'OI(Value)'!$A$7:$O$323,9,0)</f>
        <v>37</v>
      </c>
      <c r="N47" s="103">
        <f>VLOOKUP($A47,'OI(Value)'!$A$7:$O$323,11,0)</f>
        <v>843</v>
      </c>
      <c r="O47" s="103">
        <f>VLOOKUP($A47,'OI(Value)'!$A$7:$O$323,12,0)</f>
        <v>18</v>
      </c>
      <c r="P47" s="179">
        <f>VLOOKUP(A47,'OI(Value)'!A47:O265,8,0)</f>
        <v>1210</v>
      </c>
      <c r="Q47" s="179">
        <f>VLOOKUP(A47,'OI(Value)'!A47:O265,9,0)</f>
        <v>37</v>
      </c>
      <c r="R47" s="179">
        <f>VLOOKUP(A47,'OI(Value)'!A47:O265,11,0)</f>
        <v>843</v>
      </c>
      <c r="S47" s="179">
        <f>VLOOKUP(A47,'OI(Value)'!A47:O265,11,0)</f>
        <v>843</v>
      </c>
    </row>
    <row r="48" spans="1:19" x14ac:dyDescent="0.25">
      <c r="A48" s="105" t="str">
        <f>'Data Vlaue (Cr)'!C43</f>
        <v>CGPOWER</v>
      </c>
      <c r="B48" s="143">
        <f>VLOOKUP($A48,'Data shares'!$C:$FA,118)</f>
        <v>0.89</v>
      </c>
      <c r="C48" s="143">
        <f>VLOOKUP($A48,'Data shares'!$C:$FA,119)</f>
        <v>0.83</v>
      </c>
      <c r="D48" s="143">
        <f>VLOOKUP($A48,'Data shares'!$C:$FA,121)*100</f>
        <v>7.23</v>
      </c>
      <c r="E48" s="143">
        <f>VLOOKUP($A48,'Data shares'!$C:$FA,124)</f>
        <v>0.55000000000000004</v>
      </c>
      <c r="F48" s="143">
        <f>VLOOKUP($A48,'Data shares'!$C:$FA,125)</f>
        <v>0.74</v>
      </c>
      <c r="G48" s="143">
        <f>VLOOKUP($A48,'Data shares'!$C:$FA,127)*100</f>
        <v>-25.679999999999996</v>
      </c>
      <c r="H48" s="103">
        <f>VLOOKUP($A48,'OI(Volume)'!$A$7:$O$440,8)</f>
        <v>7523350</v>
      </c>
      <c r="I48" s="103">
        <f>VLOOKUP($A48,'OI(Volume)'!$A$7:$O$440,9)</f>
        <v>-446250</v>
      </c>
      <c r="J48" s="103">
        <f>VLOOKUP($A48,'OI(Volume)'!$A$7:$O$440,11)</f>
        <v>6673350</v>
      </c>
      <c r="K48" s="103">
        <f>VLOOKUP($A48,'OI(Volume)'!$A$7:$O$440,12)</f>
        <v>64600</v>
      </c>
      <c r="L48" s="103">
        <f>VLOOKUP($A48,'OI(Value)'!$A$7:$O$323,8,0)</f>
        <v>515</v>
      </c>
      <c r="M48" s="103">
        <f>VLOOKUP($A48,'OI(Value)'!$A$7:$O$323,9,0)</f>
        <v>-31</v>
      </c>
      <c r="N48" s="103">
        <f>VLOOKUP($A48,'OI(Value)'!$A$7:$O$323,11,0)</f>
        <v>457</v>
      </c>
      <c r="O48" s="103">
        <f>VLOOKUP($A48,'OI(Value)'!$A$7:$O$323,12,0)</f>
        <v>4</v>
      </c>
      <c r="P48" s="179">
        <f>VLOOKUP(A48,'OI(Value)'!A48:O266,8,0)</f>
        <v>515</v>
      </c>
      <c r="Q48" s="179">
        <f>VLOOKUP(A48,'OI(Value)'!A48:O266,9,0)</f>
        <v>-31</v>
      </c>
      <c r="R48" s="179">
        <f>VLOOKUP(A48,'OI(Value)'!A48:O266,11,0)</f>
        <v>457</v>
      </c>
      <c r="S48" s="179">
        <f>VLOOKUP(A48,'OI(Value)'!A48:O266,11,0)</f>
        <v>457</v>
      </c>
    </row>
    <row r="49" spans="1:19" x14ac:dyDescent="0.25">
      <c r="A49" s="105" t="str">
        <f>'Data Vlaue (Cr)'!C44</f>
        <v>CHOLAFIN</v>
      </c>
      <c r="B49" s="143">
        <f>VLOOKUP($A49,'Data shares'!$C:$FA,118)</f>
        <v>0.88</v>
      </c>
      <c r="C49" s="143">
        <f>VLOOKUP($A49,'Data shares'!$C:$FA,119)</f>
        <v>0.91</v>
      </c>
      <c r="D49" s="143">
        <f>VLOOKUP($A49,'Data shares'!$C:$FA,121)*100</f>
        <v>-3.3000000000000003</v>
      </c>
      <c r="E49" s="143">
        <f>VLOOKUP($A49,'Data shares'!$C:$FA,124)</f>
        <v>0.56000000000000005</v>
      </c>
      <c r="F49" s="143">
        <f>VLOOKUP($A49,'Data shares'!$C:$FA,125)</f>
        <v>0.84</v>
      </c>
      <c r="G49" s="143">
        <f>VLOOKUP($A49,'Data shares'!$C:$FA,127)*100</f>
        <v>-33.33</v>
      </c>
      <c r="H49" s="103">
        <f>VLOOKUP($A49,'OI(Volume)'!$A$7:$O$440,8)</f>
        <v>3270000</v>
      </c>
      <c r="I49" s="103">
        <f>VLOOKUP($A49,'OI(Volume)'!$A$7:$O$440,9)</f>
        <v>68750</v>
      </c>
      <c r="J49" s="103">
        <f>VLOOKUP($A49,'OI(Volume)'!$A$7:$O$440,11)</f>
        <v>2884375</v>
      </c>
      <c r="K49" s="103">
        <f>VLOOKUP($A49,'OI(Volume)'!$A$7:$O$440,12)</f>
        <v>-35625</v>
      </c>
      <c r="L49" s="103">
        <f>VLOOKUP($A49,'OI(Value)'!$A$7:$O$323,8,0)</f>
        <v>564</v>
      </c>
      <c r="M49" s="103">
        <f>VLOOKUP($A49,'OI(Value)'!$A$7:$O$323,9,0)</f>
        <v>12</v>
      </c>
      <c r="N49" s="103">
        <f>VLOOKUP($A49,'OI(Value)'!$A$7:$O$323,11,0)</f>
        <v>497</v>
      </c>
      <c r="O49" s="103">
        <f>VLOOKUP($A49,'OI(Value)'!$A$7:$O$323,12,0)</f>
        <v>-6</v>
      </c>
      <c r="P49" s="179">
        <f>VLOOKUP(A49,'OI(Value)'!A49:O267,8,0)</f>
        <v>564</v>
      </c>
      <c r="Q49" s="179">
        <f>VLOOKUP(A49,'OI(Value)'!A49:O267,9,0)</f>
        <v>12</v>
      </c>
      <c r="R49" s="179">
        <f>VLOOKUP(A49,'OI(Value)'!A49:O267,11,0)</f>
        <v>497</v>
      </c>
      <c r="S49" s="179">
        <f>VLOOKUP(A49,'OI(Value)'!A49:O267,11,0)</f>
        <v>497</v>
      </c>
    </row>
    <row r="50" spans="1:19" x14ac:dyDescent="0.25">
      <c r="A50" s="105" t="str">
        <f>'Data Vlaue (Cr)'!C45</f>
        <v>CIPLA</v>
      </c>
      <c r="B50" s="143">
        <f>VLOOKUP($A50,'Data shares'!$C:$FA,118)</f>
        <v>0.63</v>
      </c>
      <c r="C50" s="143">
        <f>VLOOKUP($A50,'Data shares'!$C:$FA,119)</f>
        <v>0.62</v>
      </c>
      <c r="D50" s="143">
        <f>VLOOKUP($A50,'Data shares'!$C:$FA,121)*100</f>
        <v>1.6099999999999999</v>
      </c>
      <c r="E50" s="143">
        <f>VLOOKUP($A50,'Data shares'!$C:$FA,124)</f>
        <v>0.36</v>
      </c>
      <c r="F50" s="143">
        <f>VLOOKUP($A50,'Data shares'!$C:$FA,125)</f>
        <v>0.31</v>
      </c>
      <c r="G50" s="143">
        <f>VLOOKUP($A50,'Data shares'!$C:$FA,127)*100</f>
        <v>16.13</v>
      </c>
      <c r="H50" s="103">
        <f>VLOOKUP($A50,'OI(Volume)'!$A$7:$O$440,8)</f>
        <v>6609000</v>
      </c>
      <c r="I50" s="103">
        <f>VLOOKUP($A50,'OI(Volume)'!$A$7:$O$440,9)</f>
        <v>-74625</v>
      </c>
      <c r="J50" s="103">
        <f>VLOOKUP($A50,'OI(Volume)'!$A$7:$O$440,11)</f>
        <v>4147500</v>
      </c>
      <c r="K50" s="103">
        <f>VLOOKUP($A50,'OI(Volume)'!$A$7:$O$440,12)</f>
        <v>3375</v>
      </c>
      <c r="L50" s="103">
        <f>VLOOKUP($A50,'OI(Value)'!$A$7:$O$323,8,0)</f>
        <v>893</v>
      </c>
      <c r="M50" s="103">
        <f>VLOOKUP($A50,'OI(Value)'!$A$7:$O$323,9,0)</f>
        <v>-10</v>
      </c>
      <c r="N50" s="103">
        <f>VLOOKUP($A50,'OI(Value)'!$A$7:$O$323,11,0)</f>
        <v>560</v>
      </c>
      <c r="O50" s="103">
        <f>VLOOKUP($A50,'OI(Value)'!$A$7:$O$323,12,0)</f>
        <v>0</v>
      </c>
      <c r="P50" s="179">
        <f>VLOOKUP(A50,'OI(Value)'!A50:O268,8,0)</f>
        <v>893</v>
      </c>
      <c r="Q50" s="179">
        <f>VLOOKUP(A50,'OI(Value)'!A50:O268,9,0)</f>
        <v>-10</v>
      </c>
      <c r="R50" s="179">
        <f>VLOOKUP(A50,'OI(Value)'!A50:O268,11,0)</f>
        <v>560</v>
      </c>
      <c r="S50" s="179">
        <f>VLOOKUP(A50,'OI(Value)'!A50:O268,11,0)</f>
        <v>560</v>
      </c>
    </row>
    <row r="51" spans="1:19" x14ac:dyDescent="0.25">
      <c r="A51" s="105" t="str">
        <f>'Data Vlaue (Cr)'!C46</f>
        <v>COALINDIA</v>
      </c>
      <c r="B51" s="143">
        <f>VLOOKUP($A51,'Data shares'!$C:$FA,118)</f>
        <v>0.51</v>
      </c>
      <c r="C51" s="143">
        <f>VLOOKUP($A51,'Data shares'!$C:$FA,119)</f>
        <v>0.5</v>
      </c>
      <c r="D51" s="143">
        <f>VLOOKUP($A51,'Data shares'!$C:$FA,121)*100</f>
        <v>2</v>
      </c>
      <c r="E51" s="143">
        <f>VLOOKUP($A51,'Data shares'!$C:$FA,124)</f>
        <v>0.46</v>
      </c>
      <c r="F51" s="143">
        <f>VLOOKUP($A51,'Data shares'!$C:$FA,125)</f>
        <v>0.32</v>
      </c>
      <c r="G51" s="143">
        <f>VLOOKUP($A51,'Data shares'!$C:$FA,127)*100</f>
        <v>43.75</v>
      </c>
      <c r="H51" s="103">
        <f>VLOOKUP($A51,'OI(Volume)'!$A$7:$O$440,8)</f>
        <v>44481150</v>
      </c>
      <c r="I51" s="103">
        <f>VLOOKUP($A51,'OI(Volume)'!$A$7:$O$440,9)</f>
        <v>1134000</v>
      </c>
      <c r="J51" s="103">
        <f>VLOOKUP($A51,'OI(Volume)'!$A$7:$O$440,11)</f>
        <v>22488300</v>
      </c>
      <c r="K51" s="103">
        <f>VLOOKUP($A51,'OI(Volume)'!$A$7:$O$440,12)</f>
        <v>963900</v>
      </c>
      <c r="L51" s="103">
        <f>VLOOKUP($A51,'OI(Value)'!$A$7:$O$323,8,0)</f>
        <v>1857</v>
      </c>
      <c r="M51" s="103">
        <f>VLOOKUP($A51,'OI(Value)'!$A$7:$O$323,9,0)</f>
        <v>47</v>
      </c>
      <c r="N51" s="103">
        <f>VLOOKUP($A51,'OI(Value)'!$A$7:$O$323,11,0)</f>
        <v>939</v>
      </c>
      <c r="O51" s="103">
        <f>VLOOKUP($A51,'OI(Value)'!$A$7:$O$323,12,0)</f>
        <v>40</v>
      </c>
      <c r="P51" s="179">
        <f>VLOOKUP(A51,'OI(Value)'!A51:O269,8,0)</f>
        <v>1857</v>
      </c>
      <c r="Q51" s="179">
        <f>VLOOKUP(A51,'OI(Value)'!A51:O269,9,0)</f>
        <v>47</v>
      </c>
      <c r="R51" s="179">
        <f>VLOOKUP(A51,'OI(Value)'!A51:O269,11,0)</f>
        <v>939</v>
      </c>
      <c r="S51" s="179">
        <f>VLOOKUP(A51,'OI(Value)'!A51:O269,11,0)</f>
        <v>939</v>
      </c>
    </row>
    <row r="52" spans="1:19" x14ac:dyDescent="0.25">
      <c r="A52" s="105" t="str">
        <f>'Data Vlaue (Cr)'!C47</f>
        <v>COFORGE</v>
      </c>
      <c r="B52" s="143">
        <f>VLOOKUP($A52,'Data shares'!$C:$FA,118)</f>
        <v>0.43</v>
      </c>
      <c r="C52" s="143">
        <f>VLOOKUP($A52,'Data shares'!$C:$FA,119)</f>
        <v>0.42</v>
      </c>
      <c r="D52" s="143">
        <f>VLOOKUP($A52,'Data shares'!$C:$FA,121)*100</f>
        <v>2.3800000000000003</v>
      </c>
      <c r="E52" s="143">
        <f>VLOOKUP($A52,'Data shares'!$C:$FA,124)</f>
        <v>0.48</v>
      </c>
      <c r="F52" s="143">
        <f>VLOOKUP($A52,'Data shares'!$C:$FA,125)</f>
        <v>0.37</v>
      </c>
      <c r="G52" s="143">
        <f>VLOOKUP($A52,'Data shares'!$C:$FA,127)*100</f>
        <v>29.73</v>
      </c>
      <c r="H52" s="103">
        <f>VLOOKUP($A52,'OI(Volume)'!$A$7:$O$440,8)</f>
        <v>9123000</v>
      </c>
      <c r="I52" s="103">
        <f>VLOOKUP($A52,'OI(Volume)'!$A$7:$O$440,9)</f>
        <v>422250</v>
      </c>
      <c r="J52" s="103">
        <f>VLOOKUP($A52,'OI(Volume)'!$A$7:$O$440,11)</f>
        <v>3918000</v>
      </c>
      <c r="K52" s="103">
        <f>VLOOKUP($A52,'OI(Volume)'!$A$7:$O$440,12)</f>
        <v>234750</v>
      </c>
      <c r="L52" s="103">
        <f>VLOOKUP($A52,'OI(Value)'!$A$7:$O$323,8,0)</f>
        <v>1387</v>
      </c>
      <c r="M52" s="103">
        <f>VLOOKUP($A52,'OI(Value)'!$A$7:$O$323,9,0)</f>
        <v>64</v>
      </c>
      <c r="N52" s="103">
        <f>VLOOKUP($A52,'OI(Value)'!$A$7:$O$323,11,0)</f>
        <v>596</v>
      </c>
      <c r="O52" s="103">
        <f>VLOOKUP($A52,'OI(Value)'!$A$7:$O$323,12,0)</f>
        <v>36</v>
      </c>
      <c r="P52" s="179">
        <f>VLOOKUP(A52,'OI(Value)'!A52:O270,8,0)</f>
        <v>1387</v>
      </c>
      <c r="Q52" s="179">
        <f>VLOOKUP(A52,'OI(Value)'!A52:O270,9,0)</f>
        <v>64</v>
      </c>
      <c r="R52" s="179">
        <f>VLOOKUP(A52,'OI(Value)'!A52:O270,11,0)</f>
        <v>596</v>
      </c>
      <c r="S52" s="179">
        <f>VLOOKUP(A52,'OI(Value)'!A52:O270,11,0)</f>
        <v>596</v>
      </c>
    </row>
    <row r="53" spans="1:19" x14ac:dyDescent="0.25">
      <c r="A53" s="105" t="str">
        <f>'Data Vlaue (Cr)'!C48</f>
        <v>COLPAL</v>
      </c>
      <c r="B53" s="143">
        <f>VLOOKUP($A53,'Data shares'!$C:$FA,118)</f>
        <v>0.52</v>
      </c>
      <c r="C53" s="143">
        <f>VLOOKUP($A53,'Data shares'!$C:$FA,119)</f>
        <v>0.59</v>
      </c>
      <c r="D53" s="143">
        <f>VLOOKUP($A53,'Data shares'!$C:$FA,121)*100</f>
        <v>-11.86</v>
      </c>
      <c r="E53" s="143">
        <f>VLOOKUP($A53,'Data shares'!$C:$FA,124)</f>
        <v>0.2</v>
      </c>
      <c r="F53" s="143">
        <f>VLOOKUP($A53,'Data shares'!$C:$FA,125)</f>
        <v>0.27</v>
      </c>
      <c r="G53" s="143">
        <f>VLOOKUP($A53,'Data shares'!$C:$FA,127)*100</f>
        <v>-25.929999999999996</v>
      </c>
      <c r="H53" s="103">
        <f>VLOOKUP($A53,'OI(Volume)'!$A$7:$O$440,8)</f>
        <v>2908350</v>
      </c>
      <c r="I53" s="103">
        <f>VLOOKUP($A53,'OI(Volume)'!$A$7:$O$440,9)</f>
        <v>552600</v>
      </c>
      <c r="J53" s="103">
        <f>VLOOKUP($A53,'OI(Volume)'!$A$7:$O$440,11)</f>
        <v>1515825</v>
      </c>
      <c r="K53" s="103">
        <f>VLOOKUP($A53,'OI(Volume)'!$A$7:$O$440,12)</f>
        <v>117900</v>
      </c>
      <c r="L53" s="103">
        <f>VLOOKUP($A53,'OI(Value)'!$A$7:$O$323,8,0)</f>
        <v>633</v>
      </c>
      <c r="M53" s="103">
        <f>VLOOKUP($A53,'OI(Value)'!$A$7:$O$323,9,0)</f>
        <v>120</v>
      </c>
      <c r="N53" s="103">
        <f>VLOOKUP($A53,'OI(Value)'!$A$7:$O$323,11,0)</f>
        <v>330</v>
      </c>
      <c r="O53" s="103">
        <f>VLOOKUP($A53,'OI(Value)'!$A$7:$O$323,12,0)</f>
        <v>26</v>
      </c>
      <c r="P53" s="179">
        <f>VLOOKUP(A53,'OI(Value)'!A53:O271,8,0)</f>
        <v>633</v>
      </c>
      <c r="Q53" s="179">
        <f>VLOOKUP(A53,'OI(Value)'!A53:O271,9,0)</f>
        <v>120</v>
      </c>
      <c r="R53" s="179">
        <f>VLOOKUP(A53,'OI(Value)'!A53:O271,11,0)</f>
        <v>330</v>
      </c>
      <c r="S53" s="179">
        <f>VLOOKUP(A53,'OI(Value)'!A53:O271,11,0)</f>
        <v>330</v>
      </c>
    </row>
    <row r="54" spans="1:19" x14ac:dyDescent="0.25">
      <c r="A54" s="105" t="str">
        <f>'Data Vlaue (Cr)'!C49</f>
        <v>CONCOR</v>
      </c>
      <c r="B54" s="143">
        <f>VLOOKUP($A54,'Data shares'!$C:$FA,118)</f>
        <v>0.9</v>
      </c>
      <c r="C54" s="143">
        <f>VLOOKUP($A54,'Data shares'!$C:$FA,119)</f>
        <v>0.9</v>
      </c>
      <c r="D54" s="143">
        <f>VLOOKUP($A54,'Data shares'!$C:$FA,121)*100</f>
        <v>0</v>
      </c>
      <c r="E54" s="143">
        <f>VLOOKUP($A54,'Data shares'!$C:$FA,124)</f>
        <v>0.37</v>
      </c>
      <c r="F54" s="143">
        <f>VLOOKUP($A54,'Data shares'!$C:$FA,125)</f>
        <v>0.4</v>
      </c>
      <c r="G54" s="143">
        <f>VLOOKUP($A54,'Data shares'!$C:$FA,127)*100</f>
        <v>-7.5</v>
      </c>
      <c r="H54" s="103">
        <f>VLOOKUP($A54,'OI(Volume)'!$A$7:$O$440,8)</f>
        <v>11102500</v>
      </c>
      <c r="I54" s="103">
        <f>VLOOKUP($A54,'OI(Volume)'!$A$7:$O$440,9)</f>
        <v>212500</v>
      </c>
      <c r="J54" s="103">
        <f>VLOOKUP($A54,'OI(Volume)'!$A$7:$O$440,11)</f>
        <v>9946250</v>
      </c>
      <c r="K54" s="103">
        <f>VLOOKUP($A54,'OI(Volume)'!$A$7:$O$440,12)</f>
        <v>126250</v>
      </c>
      <c r="L54" s="103">
        <f>VLOOKUP($A54,'OI(Value)'!$A$7:$O$323,8,0)</f>
        <v>573</v>
      </c>
      <c r="M54" s="103">
        <f>VLOOKUP($A54,'OI(Value)'!$A$7:$O$323,9,0)</f>
        <v>11</v>
      </c>
      <c r="N54" s="103">
        <f>VLOOKUP($A54,'OI(Value)'!$A$7:$O$323,11,0)</f>
        <v>513</v>
      </c>
      <c r="O54" s="103">
        <f>VLOOKUP($A54,'OI(Value)'!$A$7:$O$323,12,0)</f>
        <v>7</v>
      </c>
      <c r="P54" s="179">
        <f>VLOOKUP(A54,'OI(Value)'!A54:O272,8,0)</f>
        <v>573</v>
      </c>
      <c r="Q54" s="179">
        <f>VLOOKUP(A54,'OI(Value)'!A54:O272,9,0)</f>
        <v>11</v>
      </c>
      <c r="R54" s="179">
        <f>VLOOKUP(A54,'OI(Value)'!A54:O272,11,0)</f>
        <v>513</v>
      </c>
      <c r="S54" s="179">
        <f>VLOOKUP(A54,'OI(Value)'!A54:O272,11,0)</f>
        <v>513</v>
      </c>
    </row>
    <row r="55" spans="1:19" x14ac:dyDescent="0.25">
      <c r="A55" s="105" t="str">
        <f>'Data Vlaue (Cr)'!C50</f>
        <v>CROMPTON</v>
      </c>
      <c r="B55" s="143">
        <f>VLOOKUP($A55,'Data shares'!$C:$FA,118)</f>
        <v>0.95</v>
      </c>
      <c r="C55" s="143">
        <f>VLOOKUP($A55,'Data shares'!$C:$FA,119)</f>
        <v>0.96</v>
      </c>
      <c r="D55" s="143">
        <f>VLOOKUP($A55,'Data shares'!$C:$FA,121)*100</f>
        <v>-1.04</v>
      </c>
      <c r="E55" s="143">
        <f>VLOOKUP($A55,'Data shares'!$C:$FA,124)</f>
        <v>0.56999999999999995</v>
      </c>
      <c r="F55" s="143">
        <f>VLOOKUP($A55,'Data shares'!$C:$FA,125)</f>
        <v>0.81</v>
      </c>
      <c r="G55" s="143">
        <f>VLOOKUP($A55,'Data shares'!$C:$FA,127)*100</f>
        <v>-29.630000000000003</v>
      </c>
      <c r="H55" s="103">
        <f>VLOOKUP($A55,'OI(Volume)'!$A$7:$O$440,8)</f>
        <v>17535600</v>
      </c>
      <c r="I55" s="103">
        <f>VLOOKUP($A55,'OI(Volume)'!$A$7:$O$440,9)</f>
        <v>-181800</v>
      </c>
      <c r="J55" s="103">
        <f>VLOOKUP($A55,'OI(Volume)'!$A$7:$O$440,11)</f>
        <v>16605000</v>
      </c>
      <c r="K55" s="103">
        <f>VLOOKUP($A55,'OI(Volume)'!$A$7:$O$440,12)</f>
        <v>-430200</v>
      </c>
      <c r="L55" s="103">
        <f>VLOOKUP($A55,'OI(Value)'!$A$7:$O$323,8,0)</f>
        <v>467</v>
      </c>
      <c r="M55" s="103">
        <f>VLOOKUP($A55,'OI(Value)'!$A$7:$O$323,9,0)</f>
        <v>-5</v>
      </c>
      <c r="N55" s="103">
        <f>VLOOKUP($A55,'OI(Value)'!$A$7:$O$323,11,0)</f>
        <v>442</v>
      </c>
      <c r="O55" s="103">
        <f>VLOOKUP($A55,'OI(Value)'!$A$7:$O$323,12,0)</f>
        <v>-11</v>
      </c>
      <c r="P55" s="179">
        <f>VLOOKUP(A55,'OI(Value)'!A55:O273,8,0)</f>
        <v>467</v>
      </c>
      <c r="Q55" s="179">
        <f>VLOOKUP(A55,'OI(Value)'!A55:O273,9,0)</f>
        <v>-5</v>
      </c>
      <c r="R55" s="179">
        <f>VLOOKUP(A55,'OI(Value)'!A55:O273,11,0)</f>
        <v>442</v>
      </c>
      <c r="S55" s="179">
        <f>VLOOKUP(A55,'OI(Value)'!A55:O273,11,0)</f>
        <v>442</v>
      </c>
    </row>
    <row r="56" spans="1:19" x14ac:dyDescent="0.25">
      <c r="A56" s="105" t="str">
        <f>'Data Vlaue (Cr)'!C51</f>
        <v>CUMMINSIND</v>
      </c>
      <c r="B56" s="143">
        <f>VLOOKUP($A56,'Data shares'!$C:$FA,118)</f>
        <v>0.89</v>
      </c>
      <c r="C56" s="143">
        <f>VLOOKUP($A56,'Data shares'!$C:$FA,119)</f>
        <v>0.95</v>
      </c>
      <c r="D56" s="143">
        <f>VLOOKUP($A56,'Data shares'!$C:$FA,121)*100</f>
        <v>-6.32</v>
      </c>
      <c r="E56" s="143">
        <f>VLOOKUP($A56,'Data shares'!$C:$FA,124)</f>
        <v>0.51</v>
      </c>
      <c r="F56" s="143">
        <f>VLOOKUP($A56,'Data shares'!$C:$FA,125)</f>
        <v>0.74</v>
      </c>
      <c r="G56" s="143">
        <f>VLOOKUP($A56,'Data shares'!$C:$FA,127)*100</f>
        <v>-31.080000000000002</v>
      </c>
      <c r="H56" s="103">
        <f>VLOOKUP($A56,'OI(Volume)'!$A$7:$O$440,8)</f>
        <v>1120600</v>
      </c>
      <c r="I56" s="103">
        <f>VLOOKUP($A56,'OI(Volume)'!$A$7:$O$440,9)</f>
        <v>39800</v>
      </c>
      <c r="J56" s="103">
        <f>VLOOKUP($A56,'OI(Volume)'!$A$7:$O$440,11)</f>
        <v>999200</v>
      </c>
      <c r="K56" s="103">
        <f>VLOOKUP($A56,'OI(Volume)'!$A$7:$O$440,12)</f>
        <v>-22600</v>
      </c>
      <c r="L56" s="103">
        <f>VLOOKUP($A56,'OI(Value)'!$A$7:$O$323,8,0)</f>
        <v>490</v>
      </c>
      <c r="M56" s="103">
        <f>VLOOKUP($A56,'OI(Value)'!$A$7:$O$323,9,0)</f>
        <v>17</v>
      </c>
      <c r="N56" s="103">
        <f>VLOOKUP($A56,'OI(Value)'!$A$7:$O$323,11,0)</f>
        <v>437</v>
      </c>
      <c r="O56" s="103">
        <f>VLOOKUP($A56,'OI(Value)'!$A$7:$O$323,12,0)</f>
        <v>-10</v>
      </c>
      <c r="P56" s="179">
        <f>VLOOKUP(A56,'OI(Value)'!A56:O274,8,0)</f>
        <v>490</v>
      </c>
      <c r="Q56" s="179">
        <f>VLOOKUP(A56,'OI(Value)'!A56:O274,9,0)</f>
        <v>17</v>
      </c>
      <c r="R56" s="179">
        <f>VLOOKUP(A56,'OI(Value)'!A56:O274,11,0)</f>
        <v>437</v>
      </c>
      <c r="S56" s="179">
        <f>VLOOKUP(A56,'OI(Value)'!A56:O274,11,0)</f>
        <v>437</v>
      </c>
    </row>
    <row r="57" spans="1:19" x14ac:dyDescent="0.25">
      <c r="A57" s="105" t="str">
        <f>'Data Vlaue (Cr)'!C52</f>
        <v>DABUR</v>
      </c>
      <c r="B57" s="143">
        <f>VLOOKUP($A57,'Data shares'!$C:$FA,118)</f>
        <v>0.57999999999999996</v>
      </c>
      <c r="C57" s="143">
        <f>VLOOKUP($A57,'Data shares'!$C:$FA,119)</f>
        <v>0.59</v>
      </c>
      <c r="D57" s="143">
        <f>VLOOKUP($A57,'Data shares'!$C:$FA,121)*100</f>
        <v>-1.69</v>
      </c>
      <c r="E57" s="143">
        <f>VLOOKUP($A57,'Data shares'!$C:$FA,124)</f>
        <v>0.51</v>
      </c>
      <c r="F57" s="143">
        <f>VLOOKUP($A57,'Data shares'!$C:$FA,125)</f>
        <v>0.39</v>
      </c>
      <c r="G57" s="143">
        <f>VLOOKUP($A57,'Data shares'!$C:$FA,127)*100</f>
        <v>30.769999999999996</v>
      </c>
      <c r="H57" s="103">
        <f>VLOOKUP($A57,'OI(Volume)'!$A$7:$O$440,8)</f>
        <v>13151250</v>
      </c>
      <c r="I57" s="103">
        <f>VLOOKUP($A57,'OI(Volume)'!$A$7:$O$440,9)</f>
        <v>426250</v>
      </c>
      <c r="J57" s="103">
        <f>VLOOKUP($A57,'OI(Volume)'!$A$7:$O$440,11)</f>
        <v>7576250</v>
      </c>
      <c r="K57" s="103">
        <f>VLOOKUP($A57,'OI(Volume)'!$A$7:$O$440,12)</f>
        <v>7500</v>
      </c>
      <c r="L57" s="103">
        <f>VLOOKUP($A57,'OI(Value)'!$A$7:$O$323,8,0)</f>
        <v>688</v>
      </c>
      <c r="M57" s="103">
        <f>VLOOKUP($A57,'OI(Value)'!$A$7:$O$323,9,0)</f>
        <v>22</v>
      </c>
      <c r="N57" s="103">
        <f>VLOOKUP($A57,'OI(Value)'!$A$7:$O$323,11,0)</f>
        <v>396</v>
      </c>
      <c r="O57" s="103">
        <f>VLOOKUP($A57,'OI(Value)'!$A$7:$O$323,12,0)</f>
        <v>0</v>
      </c>
      <c r="P57" s="179">
        <f>VLOOKUP(A57,'OI(Value)'!A57:O275,8,0)</f>
        <v>688</v>
      </c>
      <c r="Q57" s="179">
        <f>VLOOKUP(A57,'OI(Value)'!A57:O275,9,0)</f>
        <v>22</v>
      </c>
      <c r="R57" s="179">
        <f>VLOOKUP(A57,'OI(Value)'!A57:O275,11,0)</f>
        <v>396</v>
      </c>
      <c r="S57" s="179">
        <f>VLOOKUP(A57,'OI(Value)'!A57:O275,11,0)</f>
        <v>396</v>
      </c>
    </row>
    <row r="58" spans="1:19" x14ac:dyDescent="0.25">
      <c r="A58" s="105" t="str">
        <f>'Data Vlaue (Cr)'!C53</f>
        <v>DALBHARAT</v>
      </c>
      <c r="B58" s="143">
        <f>VLOOKUP($A58,'Data shares'!$C:$FA,118)</f>
        <v>2.12</v>
      </c>
      <c r="C58" s="143">
        <f>VLOOKUP($A58,'Data shares'!$C:$FA,119)</f>
        <v>2.14</v>
      </c>
      <c r="D58" s="143">
        <f>VLOOKUP($A58,'Data shares'!$C:$FA,121)*100</f>
        <v>-0.92999999999999994</v>
      </c>
      <c r="E58" s="143">
        <f>VLOOKUP($A58,'Data shares'!$C:$FA,124)</f>
        <v>1.1399999999999999</v>
      </c>
      <c r="F58" s="143">
        <f>VLOOKUP($A58,'Data shares'!$C:$FA,125)</f>
        <v>0.36</v>
      </c>
      <c r="G58" s="143">
        <f>VLOOKUP($A58,'Data shares'!$C:$FA,127)*100</f>
        <v>216.67000000000002</v>
      </c>
      <c r="H58" s="103">
        <f>VLOOKUP($A58,'OI(Volume)'!$A$7:$O$440,8)</f>
        <v>870025</v>
      </c>
      <c r="I58" s="103">
        <f>VLOOKUP($A58,'OI(Volume)'!$A$7:$O$440,9)</f>
        <v>26650</v>
      </c>
      <c r="J58" s="103">
        <f>VLOOKUP($A58,'OI(Volume)'!$A$7:$O$440,11)</f>
        <v>1841450</v>
      </c>
      <c r="K58" s="103">
        <f>VLOOKUP($A58,'OI(Volume)'!$A$7:$O$440,12)</f>
        <v>39650</v>
      </c>
      <c r="L58" s="103">
        <f>VLOOKUP($A58,'OI(Value)'!$A$7:$O$323,8,0)</f>
        <v>190</v>
      </c>
      <c r="M58" s="103">
        <f>VLOOKUP($A58,'OI(Value)'!$A$7:$O$323,9,0)</f>
        <v>6</v>
      </c>
      <c r="N58" s="103">
        <f>VLOOKUP($A58,'OI(Value)'!$A$7:$O$323,11,0)</f>
        <v>402</v>
      </c>
      <c r="O58" s="103">
        <f>VLOOKUP($A58,'OI(Value)'!$A$7:$O$323,12,0)</f>
        <v>9</v>
      </c>
      <c r="P58" s="179">
        <f>VLOOKUP(A58,'OI(Value)'!A58:O276,8,0)</f>
        <v>190</v>
      </c>
      <c r="Q58" s="179">
        <f>VLOOKUP(A58,'OI(Value)'!A58:O276,9,0)</f>
        <v>6</v>
      </c>
      <c r="R58" s="179">
        <f>VLOOKUP(A58,'OI(Value)'!A58:O276,11,0)</f>
        <v>402</v>
      </c>
      <c r="S58" s="179">
        <f>VLOOKUP(A58,'OI(Value)'!A58:O276,11,0)</f>
        <v>402</v>
      </c>
    </row>
    <row r="59" spans="1:19" x14ac:dyDescent="0.25">
      <c r="A59" s="105" t="str">
        <f>'Data Vlaue (Cr)'!C54</f>
        <v>DELHIVERY</v>
      </c>
      <c r="B59" s="143">
        <f>VLOOKUP($A59,'Data shares'!$C:$FA,118)</f>
        <v>0.56999999999999995</v>
      </c>
      <c r="C59" s="143">
        <f>VLOOKUP($A59,'Data shares'!$C:$FA,119)</f>
        <v>0.56999999999999995</v>
      </c>
      <c r="D59" s="143">
        <f>VLOOKUP($A59,'Data shares'!$C:$FA,121)*100</f>
        <v>0</v>
      </c>
      <c r="E59" s="143">
        <f>VLOOKUP($A59,'Data shares'!$C:$FA,124)</f>
        <v>0.4</v>
      </c>
      <c r="F59" s="143">
        <f>VLOOKUP($A59,'Data shares'!$C:$FA,125)</f>
        <v>0.37</v>
      </c>
      <c r="G59" s="143">
        <f>VLOOKUP($A59,'Data shares'!$C:$FA,127)*100</f>
        <v>8.1100000000000012</v>
      </c>
      <c r="H59" s="103">
        <f>VLOOKUP($A59,'OI(Volume)'!$A$7:$O$440,8)</f>
        <v>10846025</v>
      </c>
      <c r="I59" s="103">
        <f>VLOOKUP($A59,'OI(Volume)'!$A$7:$O$440,9)</f>
        <v>-219950</v>
      </c>
      <c r="J59" s="103">
        <f>VLOOKUP($A59,'OI(Volume)'!$A$7:$O$440,11)</f>
        <v>6195950</v>
      </c>
      <c r="K59" s="103">
        <f>VLOOKUP($A59,'OI(Volume)'!$A$7:$O$440,12)</f>
        <v>-157700</v>
      </c>
      <c r="L59" s="103">
        <f>VLOOKUP($A59,'OI(Value)'!$A$7:$O$323,8,0)</f>
        <v>467</v>
      </c>
      <c r="M59" s="103">
        <f>VLOOKUP($A59,'OI(Value)'!$A$7:$O$323,9,0)</f>
        <v>-9</v>
      </c>
      <c r="N59" s="103">
        <f>VLOOKUP($A59,'OI(Value)'!$A$7:$O$323,11,0)</f>
        <v>267</v>
      </c>
      <c r="O59" s="103">
        <f>VLOOKUP($A59,'OI(Value)'!$A$7:$O$323,12,0)</f>
        <v>-7</v>
      </c>
      <c r="P59" s="179">
        <f>VLOOKUP(A59,'OI(Value)'!A59:O277,8,0)</f>
        <v>467</v>
      </c>
      <c r="Q59" s="179">
        <f>VLOOKUP(A59,'OI(Value)'!A59:O277,9,0)</f>
        <v>-9</v>
      </c>
      <c r="R59" s="179">
        <f>VLOOKUP(A59,'OI(Value)'!A59:O277,11,0)</f>
        <v>267</v>
      </c>
      <c r="S59" s="179">
        <f>VLOOKUP(A59,'OI(Value)'!A59:O277,11,0)</f>
        <v>267</v>
      </c>
    </row>
    <row r="60" spans="1:19" x14ac:dyDescent="0.25">
      <c r="A60" s="105" t="str">
        <f>'Data Vlaue (Cr)'!C55</f>
        <v>DIVISLAB</v>
      </c>
      <c r="B60" s="143">
        <f>VLOOKUP($A60,'Data shares'!$C:$FA,118)</f>
        <v>0.64</v>
      </c>
      <c r="C60" s="143">
        <f>VLOOKUP($A60,'Data shares'!$C:$FA,119)</f>
        <v>0.66</v>
      </c>
      <c r="D60" s="143">
        <f>VLOOKUP($A60,'Data shares'!$C:$FA,121)*100</f>
        <v>-3.0300000000000002</v>
      </c>
      <c r="E60" s="143">
        <f>VLOOKUP($A60,'Data shares'!$C:$FA,124)</f>
        <v>0.44</v>
      </c>
      <c r="F60" s="143">
        <f>VLOOKUP($A60,'Data shares'!$C:$FA,125)</f>
        <v>0.33</v>
      </c>
      <c r="G60" s="143">
        <f>VLOOKUP($A60,'Data shares'!$C:$FA,127)*100</f>
        <v>33.33</v>
      </c>
      <c r="H60" s="103">
        <f>VLOOKUP($A60,'OI(Volume)'!$A$7:$O$440,8)</f>
        <v>1797600</v>
      </c>
      <c r="I60" s="103">
        <f>VLOOKUP($A60,'OI(Volume)'!$A$7:$O$440,9)</f>
        <v>508400</v>
      </c>
      <c r="J60" s="103">
        <f>VLOOKUP($A60,'OI(Volume)'!$A$7:$O$440,11)</f>
        <v>1141900</v>
      </c>
      <c r="K60" s="103">
        <f>VLOOKUP($A60,'OI(Volume)'!$A$7:$O$440,12)</f>
        <v>288700</v>
      </c>
      <c r="L60" s="103">
        <f>VLOOKUP($A60,'OI(Value)'!$A$7:$O$323,8,0)</f>
        <v>1144</v>
      </c>
      <c r="M60" s="103">
        <f>VLOOKUP($A60,'OI(Value)'!$A$7:$O$323,9,0)</f>
        <v>323</v>
      </c>
      <c r="N60" s="103">
        <f>VLOOKUP($A60,'OI(Value)'!$A$7:$O$323,11,0)</f>
        <v>727</v>
      </c>
      <c r="O60" s="103">
        <f>VLOOKUP($A60,'OI(Value)'!$A$7:$O$323,12,0)</f>
        <v>184</v>
      </c>
      <c r="P60" s="179">
        <f>VLOOKUP(A60,'OI(Value)'!A60:O278,8,0)</f>
        <v>1144</v>
      </c>
      <c r="Q60" s="179">
        <f>VLOOKUP(A60,'OI(Value)'!A60:O278,9,0)</f>
        <v>323</v>
      </c>
      <c r="R60" s="179">
        <f>VLOOKUP(A60,'OI(Value)'!A60:O278,11,0)</f>
        <v>727</v>
      </c>
      <c r="S60" s="179">
        <f>VLOOKUP(A60,'OI(Value)'!A60:O278,11,0)</f>
        <v>727</v>
      </c>
    </row>
    <row r="61" spans="1:19" x14ac:dyDescent="0.25">
      <c r="A61" s="105" t="str">
        <f>'Data Vlaue (Cr)'!C56</f>
        <v>DIXON</v>
      </c>
      <c r="B61" s="143">
        <f>VLOOKUP($A61,'Data shares'!$C:$FA,118)</f>
        <v>0.78</v>
      </c>
      <c r="C61" s="143">
        <f>VLOOKUP($A61,'Data shares'!$C:$FA,119)</f>
        <v>0.73</v>
      </c>
      <c r="D61" s="143">
        <f>VLOOKUP($A61,'Data shares'!$C:$FA,121)*100</f>
        <v>6.8500000000000005</v>
      </c>
      <c r="E61" s="143">
        <f>VLOOKUP($A61,'Data shares'!$C:$FA,124)</f>
        <v>0.45</v>
      </c>
      <c r="F61" s="143">
        <f>VLOOKUP($A61,'Data shares'!$C:$FA,125)</f>
        <v>0.5</v>
      </c>
      <c r="G61" s="143">
        <f>VLOOKUP($A61,'Data shares'!$C:$FA,127)*100</f>
        <v>-10</v>
      </c>
      <c r="H61" s="103">
        <f>VLOOKUP($A61,'OI(Volume)'!$A$7:$O$440,8)</f>
        <v>2074150</v>
      </c>
      <c r="I61" s="103">
        <f>VLOOKUP($A61,'OI(Volume)'!$A$7:$O$440,9)</f>
        <v>-62900</v>
      </c>
      <c r="J61" s="103">
        <f>VLOOKUP($A61,'OI(Volume)'!$A$7:$O$440,11)</f>
        <v>1614250</v>
      </c>
      <c r="K61" s="103">
        <f>VLOOKUP($A61,'OI(Volume)'!$A$7:$O$440,12)</f>
        <v>54350</v>
      </c>
      <c r="L61" s="103">
        <f>VLOOKUP($A61,'OI(Value)'!$A$7:$O$323,8,0)</f>
        <v>2443</v>
      </c>
      <c r="M61" s="103">
        <f>VLOOKUP($A61,'OI(Value)'!$A$7:$O$323,9,0)</f>
        <v>-74</v>
      </c>
      <c r="N61" s="103">
        <f>VLOOKUP($A61,'OI(Value)'!$A$7:$O$323,11,0)</f>
        <v>1901</v>
      </c>
      <c r="O61" s="103">
        <f>VLOOKUP($A61,'OI(Value)'!$A$7:$O$323,12,0)</f>
        <v>64</v>
      </c>
      <c r="P61" s="179">
        <f>VLOOKUP(A61,'OI(Value)'!A61:O279,8,0)</f>
        <v>2443</v>
      </c>
      <c r="Q61" s="179">
        <f>VLOOKUP(A61,'OI(Value)'!A61:O279,9,0)</f>
        <v>-74</v>
      </c>
      <c r="R61" s="179">
        <f>VLOOKUP(A61,'OI(Value)'!A61:O279,11,0)</f>
        <v>1901</v>
      </c>
      <c r="S61" s="179">
        <f>VLOOKUP(A61,'OI(Value)'!A61:O279,11,0)</f>
        <v>1901</v>
      </c>
    </row>
    <row r="62" spans="1:19" x14ac:dyDescent="0.25">
      <c r="A62" s="105" t="str">
        <f>'Data Vlaue (Cr)'!C57</f>
        <v>DLF</v>
      </c>
      <c r="B62" s="143">
        <f>VLOOKUP($A62,'Data shares'!$C:$FA,118)</f>
        <v>0.87</v>
      </c>
      <c r="C62" s="143">
        <f>VLOOKUP($A62,'Data shares'!$C:$FA,119)</f>
        <v>0.85</v>
      </c>
      <c r="D62" s="143">
        <f>VLOOKUP($A62,'Data shares'!$C:$FA,121)*100</f>
        <v>2.35</v>
      </c>
      <c r="E62" s="143">
        <f>VLOOKUP($A62,'Data shares'!$C:$FA,124)</f>
        <v>0.63</v>
      </c>
      <c r="F62" s="143">
        <f>VLOOKUP($A62,'Data shares'!$C:$FA,125)</f>
        <v>0.44</v>
      </c>
      <c r="G62" s="143">
        <f>VLOOKUP($A62,'Data shares'!$C:$FA,127)*100</f>
        <v>43.18</v>
      </c>
      <c r="H62" s="103">
        <f>VLOOKUP($A62,'OI(Volume)'!$A$7:$O$440,8)</f>
        <v>12979725</v>
      </c>
      <c r="I62" s="103">
        <f>VLOOKUP($A62,'OI(Volume)'!$A$7:$O$440,9)</f>
        <v>-146025</v>
      </c>
      <c r="J62" s="103">
        <f>VLOOKUP($A62,'OI(Volume)'!$A$7:$O$440,11)</f>
        <v>11352825</v>
      </c>
      <c r="K62" s="103">
        <f>VLOOKUP($A62,'OI(Volume)'!$A$7:$O$440,12)</f>
        <v>234300</v>
      </c>
      <c r="L62" s="103">
        <f>VLOOKUP($A62,'OI(Value)'!$A$7:$O$323,8,0)</f>
        <v>873</v>
      </c>
      <c r="M62" s="103">
        <f>VLOOKUP($A62,'OI(Value)'!$A$7:$O$323,9,0)</f>
        <v>-10</v>
      </c>
      <c r="N62" s="103">
        <f>VLOOKUP($A62,'OI(Value)'!$A$7:$O$323,11,0)</f>
        <v>764</v>
      </c>
      <c r="O62" s="103">
        <f>VLOOKUP($A62,'OI(Value)'!$A$7:$O$323,12,0)</f>
        <v>16</v>
      </c>
      <c r="P62" s="179">
        <f>VLOOKUP(A62,'OI(Value)'!A62:O280,8,0)</f>
        <v>873</v>
      </c>
      <c r="Q62" s="179">
        <f>VLOOKUP(A62,'OI(Value)'!A62:O280,9,0)</f>
        <v>-10</v>
      </c>
      <c r="R62" s="179">
        <f>VLOOKUP(A62,'OI(Value)'!A62:O280,11,0)</f>
        <v>764</v>
      </c>
      <c r="S62" s="179">
        <f>VLOOKUP(A62,'OI(Value)'!A62:O280,11,0)</f>
        <v>764</v>
      </c>
    </row>
    <row r="63" spans="1:19" x14ac:dyDescent="0.25">
      <c r="A63" s="105" t="str">
        <f>'Data Vlaue (Cr)'!C58</f>
        <v>DMART</v>
      </c>
      <c r="B63" s="143">
        <f>VLOOKUP($A63,'Data shares'!$C:$FA,118)</f>
        <v>0.69</v>
      </c>
      <c r="C63" s="143">
        <f>VLOOKUP($A63,'Data shares'!$C:$FA,119)</f>
        <v>0.73</v>
      </c>
      <c r="D63" s="143">
        <f>VLOOKUP($A63,'Data shares'!$C:$FA,121)*100</f>
        <v>-5.48</v>
      </c>
      <c r="E63" s="143">
        <f>VLOOKUP($A63,'Data shares'!$C:$FA,124)</f>
        <v>0.32</v>
      </c>
      <c r="F63" s="143">
        <f>VLOOKUP($A63,'Data shares'!$C:$FA,125)</f>
        <v>0.36</v>
      </c>
      <c r="G63" s="143">
        <f>VLOOKUP($A63,'Data shares'!$C:$FA,127)*100</f>
        <v>-11.110000000000001</v>
      </c>
      <c r="H63" s="103">
        <f>VLOOKUP($A63,'OI(Volume)'!$A$7:$O$440,8)</f>
        <v>1737450</v>
      </c>
      <c r="I63" s="103">
        <f>VLOOKUP($A63,'OI(Volume)'!$A$7:$O$440,9)</f>
        <v>94350</v>
      </c>
      <c r="J63" s="103">
        <f>VLOOKUP($A63,'OI(Volume)'!$A$7:$O$440,11)</f>
        <v>1206000</v>
      </c>
      <c r="K63" s="103">
        <f>VLOOKUP($A63,'OI(Volume)'!$A$7:$O$440,12)</f>
        <v>1500</v>
      </c>
      <c r="L63" s="103">
        <f>VLOOKUP($A63,'OI(Value)'!$A$7:$O$323,8,0)</f>
        <v>693</v>
      </c>
      <c r="M63" s="103">
        <f>VLOOKUP($A63,'OI(Value)'!$A$7:$O$323,9,0)</f>
        <v>38</v>
      </c>
      <c r="N63" s="103">
        <f>VLOOKUP($A63,'OI(Value)'!$A$7:$O$323,11,0)</f>
        <v>481</v>
      </c>
      <c r="O63" s="103">
        <f>VLOOKUP($A63,'OI(Value)'!$A$7:$O$323,12,0)</f>
        <v>1</v>
      </c>
      <c r="P63" s="179">
        <f>VLOOKUP(A63,'OI(Value)'!A63:O281,8,0)</f>
        <v>693</v>
      </c>
      <c r="Q63" s="179">
        <f>VLOOKUP(A63,'OI(Value)'!A63:O281,9,0)</f>
        <v>38</v>
      </c>
      <c r="R63" s="179">
        <f>VLOOKUP(A63,'OI(Value)'!A63:O281,11,0)</f>
        <v>481</v>
      </c>
      <c r="S63" s="179">
        <f>VLOOKUP(A63,'OI(Value)'!A63:O281,11,0)</f>
        <v>481</v>
      </c>
    </row>
    <row r="64" spans="1:19" x14ac:dyDescent="0.25">
      <c r="A64" s="105" t="str">
        <f>'Data Vlaue (Cr)'!C59</f>
        <v>DRREDDY</v>
      </c>
      <c r="B64" s="143">
        <f>VLOOKUP($A64,'Data shares'!$C:$FA,118)</f>
        <v>0.47</v>
      </c>
      <c r="C64" s="143">
        <f>VLOOKUP($A64,'Data shares'!$C:$FA,119)</f>
        <v>0.45</v>
      </c>
      <c r="D64" s="143">
        <f>VLOOKUP($A64,'Data shares'!$C:$FA,121)*100</f>
        <v>4.4400000000000004</v>
      </c>
      <c r="E64" s="143">
        <f>VLOOKUP($A64,'Data shares'!$C:$FA,124)</f>
        <v>0.31</v>
      </c>
      <c r="F64" s="143">
        <f>VLOOKUP($A64,'Data shares'!$C:$FA,125)</f>
        <v>0.34</v>
      </c>
      <c r="G64" s="143">
        <f>VLOOKUP($A64,'Data shares'!$C:$FA,127)*100</f>
        <v>-8.82</v>
      </c>
      <c r="H64" s="103">
        <f>VLOOKUP($A64,'OI(Volume)'!$A$7:$O$440,8)</f>
        <v>8309375</v>
      </c>
      <c r="I64" s="103">
        <f>VLOOKUP($A64,'OI(Volume)'!$A$7:$O$440,9)</f>
        <v>-171875</v>
      </c>
      <c r="J64" s="103">
        <f>VLOOKUP($A64,'OI(Volume)'!$A$7:$O$440,11)</f>
        <v>3924375</v>
      </c>
      <c r="K64" s="103">
        <f>VLOOKUP($A64,'OI(Volume)'!$A$7:$O$440,12)</f>
        <v>88750</v>
      </c>
      <c r="L64" s="103">
        <f>VLOOKUP($A64,'OI(Value)'!$A$7:$O$323,8,0)</f>
        <v>1056</v>
      </c>
      <c r="M64" s="103">
        <f>VLOOKUP($A64,'OI(Value)'!$A$7:$O$323,9,0)</f>
        <v>-22</v>
      </c>
      <c r="N64" s="103">
        <f>VLOOKUP($A64,'OI(Value)'!$A$7:$O$323,11,0)</f>
        <v>499</v>
      </c>
      <c r="O64" s="103">
        <f>VLOOKUP($A64,'OI(Value)'!$A$7:$O$323,12,0)</f>
        <v>11</v>
      </c>
      <c r="P64" s="179">
        <f>VLOOKUP(A64,'OI(Value)'!A64:O282,8,0)</f>
        <v>1056</v>
      </c>
      <c r="Q64" s="179">
        <f>VLOOKUP(A64,'OI(Value)'!A64:O282,9,0)</f>
        <v>-22</v>
      </c>
      <c r="R64" s="179">
        <f>VLOOKUP(A64,'OI(Value)'!A64:O282,11,0)</f>
        <v>499</v>
      </c>
      <c r="S64" s="179">
        <f>VLOOKUP(A64,'OI(Value)'!A64:O282,11,0)</f>
        <v>499</v>
      </c>
    </row>
    <row r="65" spans="1:19" x14ac:dyDescent="0.25">
      <c r="A65" s="105" t="str">
        <f>'Data Vlaue (Cr)'!C60</f>
        <v>EICHERMOT</v>
      </c>
      <c r="B65" s="143">
        <f>VLOOKUP($A65,'Data shares'!$C:$FA,118)</f>
        <v>0.95</v>
      </c>
      <c r="C65" s="143">
        <f>VLOOKUP($A65,'Data shares'!$C:$FA,119)</f>
        <v>0.76</v>
      </c>
      <c r="D65" s="143">
        <f>VLOOKUP($A65,'Data shares'!$C:$FA,121)*100</f>
        <v>25</v>
      </c>
      <c r="E65" s="143">
        <f>VLOOKUP($A65,'Data shares'!$C:$FA,124)</f>
        <v>0.44</v>
      </c>
      <c r="F65" s="143">
        <f>VLOOKUP($A65,'Data shares'!$C:$FA,125)</f>
        <v>0.33</v>
      </c>
      <c r="G65" s="143">
        <f>VLOOKUP($A65,'Data shares'!$C:$FA,127)*100</f>
        <v>33.33</v>
      </c>
      <c r="H65" s="103">
        <f>VLOOKUP($A65,'OI(Volume)'!$A$7:$O$440,8)</f>
        <v>2769000</v>
      </c>
      <c r="I65" s="103">
        <f>VLOOKUP($A65,'OI(Volume)'!$A$7:$O$440,9)</f>
        <v>873100</v>
      </c>
      <c r="J65" s="103">
        <f>VLOOKUP($A65,'OI(Volume)'!$A$7:$O$440,11)</f>
        <v>2628000</v>
      </c>
      <c r="K65" s="103">
        <f>VLOOKUP($A65,'OI(Volume)'!$A$7:$O$440,12)</f>
        <v>1190700</v>
      </c>
      <c r="L65" s="103">
        <f>VLOOKUP($A65,'OI(Value)'!$A$7:$O$323,8,0)</f>
        <v>2159</v>
      </c>
      <c r="M65" s="103">
        <f>VLOOKUP($A65,'OI(Value)'!$A$7:$O$323,9,0)</f>
        <v>681</v>
      </c>
      <c r="N65" s="103">
        <f>VLOOKUP($A65,'OI(Value)'!$A$7:$O$323,11,0)</f>
        <v>2049</v>
      </c>
      <c r="O65" s="103">
        <f>VLOOKUP($A65,'OI(Value)'!$A$7:$O$323,12,0)</f>
        <v>928</v>
      </c>
      <c r="P65" s="179">
        <f>VLOOKUP(A65,'OI(Value)'!A65:O283,8,0)</f>
        <v>2159</v>
      </c>
      <c r="Q65" s="179">
        <f>VLOOKUP(A65,'OI(Value)'!A65:O283,9,0)</f>
        <v>681</v>
      </c>
      <c r="R65" s="179">
        <f>VLOOKUP(A65,'OI(Value)'!A65:O283,11,0)</f>
        <v>2049</v>
      </c>
      <c r="S65" s="179">
        <f>VLOOKUP(A65,'OI(Value)'!A65:O283,11,0)</f>
        <v>2049</v>
      </c>
    </row>
    <row r="66" spans="1:19" x14ac:dyDescent="0.25">
      <c r="A66" s="105" t="str">
        <f>'Data Vlaue (Cr)'!C61</f>
        <v>ETERNAL</v>
      </c>
      <c r="B66" s="143">
        <f>VLOOKUP($A66,'Data shares'!$C:$FA,118)</f>
        <v>0.82</v>
      </c>
      <c r="C66" s="143">
        <f>VLOOKUP($A66,'Data shares'!$C:$FA,119)</f>
        <v>0.88</v>
      </c>
      <c r="D66" s="143">
        <f>VLOOKUP($A66,'Data shares'!$C:$FA,121)*100</f>
        <v>-6.8199999999999994</v>
      </c>
      <c r="E66" s="143">
        <f>VLOOKUP($A66,'Data shares'!$C:$FA,124)</f>
        <v>0.59</v>
      </c>
      <c r="F66" s="143">
        <f>VLOOKUP($A66,'Data shares'!$C:$FA,125)</f>
        <v>0.4</v>
      </c>
      <c r="G66" s="143">
        <f>VLOOKUP($A66,'Data shares'!$C:$FA,127)*100</f>
        <v>47.5</v>
      </c>
      <c r="H66" s="103">
        <f>VLOOKUP($A66,'OI(Volume)'!$A$7:$O$440,8)</f>
        <v>74774875</v>
      </c>
      <c r="I66" s="103">
        <f>VLOOKUP($A66,'OI(Volume)'!$A$7:$O$440,9)</f>
        <v>1110650</v>
      </c>
      <c r="J66" s="103">
        <f>VLOOKUP($A66,'OI(Volume)'!$A$7:$O$440,11)</f>
        <v>61323400</v>
      </c>
      <c r="K66" s="103">
        <f>VLOOKUP($A66,'OI(Volume)'!$A$7:$O$440,12)</f>
        <v>-3198575</v>
      </c>
      <c r="L66" s="103">
        <f>VLOOKUP($A66,'OI(Value)'!$A$7:$O$323,8,0)</f>
        <v>2256</v>
      </c>
      <c r="M66" s="103">
        <f>VLOOKUP($A66,'OI(Value)'!$A$7:$O$323,9,0)</f>
        <v>34</v>
      </c>
      <c r="N66" s="103">
        <f>VLOOKUP($A66,'OI(Value)'!$A$7:$O$323,11,0)</f>
        <v>1850</v>
      </c>
      <c r="O66" s="103">
        <f>VLOOKUP($A66,'OI(Value)'!$A$7:$O$323,12,0)</f>
        <v>-96</v>
      </c>
      <c r="P66" s="179">
        <f>VLOOKUP(A66,'OI(Value)'!A66:O284,8,0)</f>
        <v>2256</v>
      </c>
      <c r="Q66" s="179">
        <f>VLOOKUP(A66,'OI(Value)'!A66:O284,9,0)</f>
        <v>34</v>
      </c>
      <c r="R66" s="179">
        <f>VLOOKUP(A66,'OI(Value)'!A66:O284,11,0)</f>
        <v>1850</v>
      </c>
      <c r="S66" s="179">
        <f>VLOOKUP(A66,'OI(Value)'!A66:O284,11,0)</f>
        <v>1850</v>
      </c>
    </row>
    <row r="67" spans="1:19" x14ac:dyDescent="0.25">
      <c r="A67" s="105" t="str">
        <f>'Data Vlaue (Cr)'!C62</f>
        <v>EXIDEIND</v>
      </c>
      <c r="B67" s="143">
        <f>VLOOKUP($A67,'Data shares'!$C:$FA,118)</f>
        <v>0.57999999999999996</v>
      </c>
      <c r="C67" s="143">
        <f>VLOOKUP($A67,'Data shares'!$C:$FA,119)</f>
        <v>0.59</v>
      </c>
      <c r="D67" s="143">
        <f>VLOOKUP($A67,'Data shares'!$C:$FA,121)*100</f>
        <v>-1.69</v>
      </c>
      <c r="E67" s="143">
        <f>VLOOKUP($A67,'Data shares'!$C:$FA,124)</f>
        <v>0.38</v>
      </c>
      <c r="F67" s="143">
        <f>VLOOKUP($A67,'Data shares'!$C:$FA,125)</f>
        <v>0.32</v>
      </c>
      <c r="G67" s="143">
        <f>VLOOKUP($A67,'Data shares'!$C:$FA,127)*100</f>
        <v>18.75</v>
      </c>
      <c r="H67" s="103">
        <f>VLOOKUP($A67,'OI(Volume)'!$A$7:$O$440,8)</f>
        <v>19071000</v>
      </c>
      <c r="I67" s="103">
        <f>VLOOKUP($A67,'OI(Volume)'!$A$7:$O$440,9)</f>
        <v>408600</v>
      </c>
      <c r="J67" s="103">
        <f>VLOOKUP($A67,'OI(Volume)'!$A$7:$O$440,11)</f>
        <v>11127600</v>
      </c>
      <c r="K67" s="103">
        <f>VLOOKUP($A67,'OI(Volume)'!$A$7:$O$440,12)</f>
        <v>37800</v>
      </c>
      <c r="L67" s="103">
        <f>VLOOKUP($A67,'OI(Value)'!$A$7:$O$323,8,0)</f>
        <v>651</v>
      </c>
      <c r="M67" s="103">
        <f>VLOOKUP($A67,'OI(Value)'!$A$7:$O$323,9,0)</f>
        <v>14</v>
      </c>
      <c r="N67" s="103">
        <f>VLOOKUP($A67,'OI(Value)'!$A$7:$O$323,11,0)</f>
        <v>380</v>
      </c>
      <c r="O67" s="103">
        <f>VLOOKUP($A67,'OI(Value)'!$A$7:$O$323,12,0)</f>
        <v>1</v>
      </c>
      <c r="P67" s="179">
        <f>VLOOKUP(A67,'OI(Value)'!A67:O285,8,0)</f>
        <v>651</v>
      </c>
      <c r="Q67" s="179">
        <f>VLOOKUP(A67,'OI(Value)'!A67:O285,9,0)</f>
        <v>14</v>
      </c>
      <c r="R67" s="179">
        <f>VLOOKUP(A67,'OI(Value)'!A67:O285,11,0)</f>
        <v>380</v>
      </c>
      <c r="S67" s="179">
        <f>VLOOKUP(A67,'OI(Value)'!A67:O285,11,0)</f>
        <v>380</v>
      </c>
    </row>
    <row r="68" spans="1:19" x14ac:dyDescent="0.25">
      <c r="A68" s="105" t="str">
        <f>'Data Vlaue (Cr)'!C63</f>
        <v>FEDERALBNK</v>
      </c>
      <c r="B68" s="143">
        <f>VLOOKUP($A68,'Data shares'!$C:$FA,118)</f>
        <v>0.88</v>
      </c>
      <c r="C68" s="143">
        <f>VLOOKUP($A68,'Data shares'!$C:$FA,119)</f>
        <v>0.81</v>
      </c>
      <c r="D68" s="143">
        <f>VLOOKUP($A68,'Data shares'!$C:$FA,121)*100</f>
        <v>8.64</v>
      </c>
      <c r="E68" s="143">
        <f>VLOOKUP($A68,'Data shares'!$C:$FA,124)</f>
        <v>0.48</v>
      </c>
      <c r="F68" s="143">
        <f>VLOOKUP($A68,'Data shares'!$C:$FA,125)</f>
        <v>0.86</v>
      </c>
      <c r="G68" s="143">
        <f>VLOOKUP($A68,'Data shares'!$C:$FA,127)*100</f>
        <v>-44.190000000000005</v>
      </c>
      <c r="H68" s="103">
        <f>VLOOKUP($A68,'OI(Volume)'!$A$7:$O$440,8)</f>
        <v>41050000</v>
      </c>
      <c r="I68" s="103">
        <f>VLOOKUP($A68,'OI(Volume)'!$A$7:$O$440,9)</f>
        <v>630000</v>
      </c>
      <c r="J68" s="103">
        <f>VLOOKUP($A68,'OI(Volume)'!$A$7:$O$440,11)</f>
        <v>36110000</v>
      </c>
      <c r="K68" s="103">
        <f>VLOOKUP($A68,'OI(Volume)'!$A$7:$O$440,12)</f>
        <v>3295000</v>
      </c>
      <c r="L68" s="103">
        <f>VLOOKUP($A68,'OI(Value)'!$A$7:$O$323,8,0)</f>
        <v>1197</v>
      </c>
      <c r="M68" s="103">
        <f>VLOOKUP($A68,'OI(Value)'!$A$7:$O$323,9,0)</f>
        <v>18</v>
      </c>
      <c r="N68" s="103">
        <f>VLOOKUP($A68,'OI(Value)'!$A$7:$O$323,11,0)</f>
        <v>1053</v>
      </c>
      <c r="O68" s="103">
        <f>VLOOKUP($A68,'OI(Value)'!$A$7:$O$323,12,0)</f>
        <v>96</v>
      </c>
      <c r="P68" s="179">
        <f>VLOOKUP(A68,'OI(Value)'!A68:O286,8,0)</f>
        <v>1197</v>
      </c>
      <c r="Q68" s="179">
        <f>VLOOKUP(A68,'OI(Value)'!A68:O286,9,0)</f>
        <v>18</v>
      </c>
      <c r="R68" s="179">
        <f>VLOOKUP(A68,'OI(Value)'!A68:O286,11,0)</f>
        <v>1053</v>
      </c>
      <c r="S68" s="179">
        <f>VLOOKUP(A68,'OI(Value)'!A68:O286,11,0)</f>
        <v>1053</v>
      </c>
    </row>
    <row r="69" spans="1:19" x14ac:dyDescent="0.25">
      <c r="A69" s="105" t="str">
        <f>'Data Vlaue (Cr)'!C64</f>
        <v>FINNIFTY</v>
      </c>
      <c r="B69" s="143">
        <f>VLOOKUP($A69,'Data shares'!$C:$FA,118)</f>
        <v>1.22</v>
      </c>
      <c r="C69" s="143">
        <f>VLOOKUP($A69,'Data shares'!$C:$FA,119)</f>
        <v>1.39</v>
      </c>
      <c r="D69" s="143">
        <f>VLOOKUP($A69,'Data shares'!$C:$FA,121)*100</f>
        <v>-12.23</v>
      </c>
      <c r="E69" s="143">
        <f>VLOOKUP($A69,'Data shares'!$C:$FA,124)</f>
        <v>1.17</v>
      </c>
      <c r="F69" s="143">
        <f>VLOOKUP($A69,'Data shares'!$C:$FA,125)</f>
        <v>1.74</v>
      </c>
      <c r="G69" s="143">
        <f>VLOOKUP($A69,'Data shares'!$C:$FA,127)*100</f>
        <v>-32.76</v>
      </c>
      <c r="H69" s="103">
        <f>VLOOKUP($A69,'OI(Volume)'!$A$7:$O$440,8)</f>
        <v>815640</v>
      </c>
      <c r="I69" s="103">
        <f>VLOOKUP($A69,'OI(Volume)'!$A$7:$O$440,9)</f>
        <v>125220</v>
      </c>
      <c r="J69" s="103">
        <f>VLOOKUP($A69,'OI(Volume)'!$A$7:$O$440,11)</f>
        <v>996240</v>
      </c>
      <c r="K69" s="103">
        <f>VLOOKUP($A69,'OI(Volume)'!$A$7:$O$440,12)</f>
        <v>34440</v>
      </c>
      <c r="L69" s="103">
        <f>VLOOKUP($A69,'OI(Value)'!$A$7:$O$323,8,0)</f>
        <v>2307</v>
      </c>
      <c r="M69" s="103">
        <f>VLOOKUP($A69,'OI(Value)'!$A$7:$O$323,9,0)</f>
        <v>354</v>
      </c>
      <c r="N69" s="103">
        <f>VLOOKUP($A69,'OI(Value)'!$A$7:$O$323,11,0)</f>
        <v>2818</v>
      </c>
      <c r="O69" s="103">
        <f>VLOOKUP($A69,'OI(Value)'!$A$7:$O$323,12,0)</f>
        <v>97</v>
      </c>
      <c r="P69" s="179">
        <f>VLOOKUP(A69,'OI(Value)'!A69:O287,8,0)</f>
        <v>2307</v>
      </c>
      <c r="Q69" s="179">
        <f>VLOOKUP(A69,'OI(Value)'!A69:O287,9,0)</f>
        <v>354</v>
      </c>
      <c r="R69" s="179">
        <f>VLOOKUP(A69,'OI(Value)'!A69:O287,11,0)</f>
        <v>2818</v>
      </c>
      <c r="S69" s="179">
        <f>VLOOKUP(A69,'OI(Value)'!A69:O287,11,0)</f>
        <v>2818</v>
      </c>
    </row>
    <row r="70" spans="1:19" x14ac:dyDescent="0.25">
      <c r="A70" s="105" t="str">
        <f>'Data Vlaue (Cr)'!C65</f>
        <v>FORTIS</v>
      </c>
      <c r="B70" s="143">
        <f>VLOOKUP($A70,'Data shares'!$C:$FA,118)</f>
        <v>0.67</v>
      </c>
      <c r="C70" s="143">
        <f>VLOOKUP($A70,'Data shares'!$C:$FA,119)</f>
        <v>0.78</v>
      </c>
      <c r="D70" s="143">
        <f>VLOOKUP($A70,'Data shares'!$C:$FA,121)*100</f>
        <v>-14.099999999999998</v>
      </c>
      <c r="E70" s="143">
        <f>VLOOKUP($A70,'Data shares'!$C:$FA,124)</f>
        <v>0.31</v>
      </c>
      <c r="F70" s="143">
        <f>VLOOKUP($A70,'Data shares'!$C:$FA,125)</f>
        <v>0.53</v>
      </c>
      <c r="G70" s="143">
        <f>VLOOKUP($A70,'Data shares'!$C:$FA,127)*100</f>
        <v>-41.510000000000005</v>
      </c>
      <c r="H70" s="103">
        <f>VLOOKUP($A70,'OI(Volume)'!$A$7:$O$440,8)</f>
        <v>4747650</v>
      </c>
      <c r="I70" s="103">
        <f>VLOOKUP($A70,'OI(Volume)'!$A$7:$O$440,9)</f>
        <v>1901850</v>
      </c>
      <c r="J70" s="103">
        <f>VLOOKUP($A70,'OI(Volume)'!$A$7:$O$440,11)</f>
        <v>3159675</v>
      </c>
      <c r="K70" s="103">
        <f>VLOOKUP($A70,'OI(Volume)'!$A$7:$O$440,12)</f>
        <v>938525</v>
      </c>
      <c r="L70" s="103">
        <f>VLOOKUP($A70,'OI(Value)'!$A$7:$O$323,8,0)</f>
        <v>437</v>
      </c>
      <c r="M70" s="103">
        <f>VLOOKUP($A70,'OI(Value)'!$A$7:$O$323,9,0)</f>
        <v>175</v>
      </c>
      <c r="N70" s="103">
        <f>VLOOKUP($A70,'OI(Value)'!$A$7:$O$323,11,0)</f>
        <v>291</v>
      </c>
      <c r="O70" s="103">
        <f>VLOOKUP($A70,'OI(Value)'!$A$7:$O$323,12,0)</f>
        <v>86</v>
      </c>
      <c r="P70" s="179">
        <f>VLOOKUP(A70,'OI(Value)'!A70:O288,8,0)</f>
        <v>437</v>
      </c>
      <c r="Q70" s="179">
        <f>VLOOKUP(A70,'OI(Value)'!A70:O288,9,0)</f>
        <v>175</v>
      </c>
      <c r="R70" s="179">
        <f>VLOOKUP(A70,'OI(Value)'!A70:O288,11,0)</f>
        <v>291</v>
      </c>
      <c r="S70" s="179">
        <f>VLOOKUP(A70,'OI(Value)'!A70:O288,11,0)</f>
        <v>291</v>
      </c>
    </row>
    <row r="71" spans="1:19" x14ac:dyDescent="0.25">
      <c r="A71" s="105" t="str">
        <f>'Data Vlaue (Cr)'!C66</f>
        <v>GAIL</v>
      </c>
      <c r="B71" s="143">
        <f>VLOOKUP($A71,'Data shares'!$C:$FA,118)</f>
        <v>0.76</v>
      </c>
      <c r="C71" s="143">
        <f>VLOOKUP($A71,'Data shares'!$C:$FA,119)</f>
        <v>0.76</v>
      </c>
      <c r="D71" s="143">
        <f>VLOOKUP($A71,'Data shares'!$C:$FA,121)*100</f>
        <v>0</v>
      </c>
      <c r="E71" s="143">
        <f>VLOOKUP($A71,'Data shares'!$C:$FA,124)</f>
        <v>0.5</v>
      </c>
      <c r="F71" s="143">
        <f>VLOOKUP($A71,'Data shares'!$C:$FA,125)</f>
        <v>0.55000000000000004</v>
      </c>
      <c r="G71" s="143">
        <f>VLOOKUP($A71,'Data shares'!$C:$FA,127)*100</f>
        <v>-9.09</v>
      </c>
      <c r="H71" s="103">
        <f>VLOOKUP($A71,'OI(Volume)'!$A$7:$O$440,8)</f>
        <v>41469750</v>
      </c>
      <c r="I71" s="103">
        <f>VLOOKUP($A71,'OI(Volume)'!$A$7:$O$440,9)</f>
        <v>264600</v>
      </c>
      <c r="J71" s="103">
        <f>VLOOKUP($A71,'OI(Volume)'!$A$7:$O$440,11)</f>
        <v>31396050</v>
      </c>
      <c r="K71" s="103">
        <f>VLOOKUP($A71,'OI(Volume)'!$A$7:$O$440,12)</f>
        <v>100800</v>
      </c>
      <c r="L71" s="103">
        <f>VLOOKUP($A71,'OI(Value)'!$A$7:$O$323,8,0)</f>
        <v>680</v>
      </c>
      <c r="M71" s="103">
        <f>VLOOKUP($A71,'OI(Value)'!$A$7:$O$323,9,0)</f>
        <v>4</v>
      </c>
      <c r="N71" s="103">
        <f>VLOOKUP($A71,'OI(Value)'!$A$7:$O$323,11,0)</f>
        <v>515</v>
      </c>
      <c r="O71" s="103">
        <f>VLOOKUP($A71,'OI(Value)'!$A$7:$O$323,12,0)</f>
        <v>2</v>
      </c>
      <c r="P71" s="179">
        <f>VLOOKUP(A71,'OI(Value)'!A71:O289,8,0)</f>
        <v>680</v>
      </c>
      <c r="Q71" s="179">
        <f>VLOOKUP(A71,'OI(Value)'!A71:O289,9,0)</f>
        <v>4</v>
      </c>
      <c r="R71" s="179">
        <f>VLOOKUP(A71,'OI(Value)'!A71:O289,11,0)</f>
        <v>515</v>
      </c>
      <c r="S71" s="179">
        <f>VLOOKUP(A71,'OI(Value)'!A71:O289,11,0)</f>
        <v>515</v>
      </c>
    </row>
    <row r="72" spans="1:19" x14ac:dyDescent="0.25">
      <c r="A72" s="105" t="str">
        <f>'Data Vlaue (Cr)'!C67</f>
        <v>GLENMARK</v>
      </c>
      <c r="B72" s="143">
        <f>VLOOKUP($A72,'Data shares'!$C:$FA,118)</f>
        <v>0.71</v>
      </c>
      <c r="C72" s="143">
        <f>VLOOKUP($A72,'Data shares'!$C:$FA,119)</f>
        <v>0.65</v>
      </c>
      <c r="D72" s="143">
        <f>VLOOKUP($A72,'Data shares'!$C:$FA,121)*100</f>
        <v>9.2299999999999986</v>
      </c>
      <c r="E72" s="143">
        <f>VLOOKUP($A72,'Data shares'!$C:$FA,124)</f>
        <v>0.31</v>
      </c>
      <c r="F72" s="143">
        <f>VLOOKUP($A72,'Data shares'!$C:$FA,125)</f>
        <v>0.36</v>
      </c>
      <c r="G72" s="143">
        <f>VLOOKUP($A72,'Data shares'!$C:$FA,127)*100</f>
        <v>-13.889999999999999</v>
      </c>
      <c r="H72" s="103">
        <f>VLOOKUP($A72,'OI(Volume)'!$A$7:$O$440,8)</f>
        <v>2550750</v>
      </c>
      <c r="I72" s="103">
        <f>VLOOKUP($A72,'OI(Volume)'!$A$7:$O$440,9)</f>
        <v>54000</v>
      </c>
      <c r="J72" s="103">
        <f>VLOOKUP($A72,'OI(Volume)'!$A$7:$O$440,11)</f>
        <v>1806000</v>
      </c>
      <c r="K72" s="103">
        <f>VLOOKUP($A72,'OI(Volume)'!$A$7:$O$440,12)</f>
        <v>177750</v>
      </c>
      <c r="L72" s="103">
        <f>VLOOKUP($A72,'OI(Value)'!$A$7:$O$323,8,0)</f>
        <v>515</v>
      </c>
      <c r="M72" s="103">
        <f>VLOOKUP($A72,'OI(Value)'!$A$7:$O$323,9,0)</f>
        <v>11</v>
      </c>
      <c r="N72" s="103">
        <f>VLOOKUP($A72,'OI(Value)'!$A$7:$O$323,11,0)</f>
        <v>364</v>
      </c>
      <c r="O72" s="103">
        <f>VLOOKUP($A72,'OI(Value)'!$A$7:$O$323,12,0)</f>
        <v>36</v>
      </c>
      <c r="P72" s="179">
        <f>VLOOKUP(A72,'OI(Value)'!A72:O290,8,0)</f>
        <v>515</v>
      </c>
      <c r="Q72" s="179">
        <f>VLOOKUP(A72,'OI(Value)'!A72:O290,9,0)</f>
        <v>11</v>
      </c>
      <c r="R72" s="179">
        <f>VLOOKUP(A72,'OI(Value)'!A72:O290,11,0)</f>
        <v>364</v>
      </c>
      <c r="S72" s="179">
        <f>VLOOKUP(A72,'OI(Value)'!A72:O290,11,0)</f>
        <v>364</v>
      </c>
    </row>
    <row r="73" spans="1:19" x14ac:dyDescent="0.25">
      <c r="A73" s="105" t="str">
        <f>'Data Vlaue (Cr)'!C68</f>
        <v>GMRAIRPORT</v>
      </c>
      <c r="B73" s="143">
        <f>VLOOKUP($A73,'Data shares'!$C:$FA,118)</f>
        <v>0.68</v>
      </c>
      <c r="C73" s="143">
        <f>VLOOKUP($A73,'Data shares'!$C:$FA,119)</f>
        <v>0.71</v>
      </c>
      <c r="D73" s="143">
        <f>VLOOKUP($A73,'Data shares'!$C:$FA,121)*100</f>
        <v>-4.2299999999999995</v>
      </c>
      <c r="E73" s="143">
        <f>VLOOKUP($A73,'Data shares'!$C:$FA,124)</f>
        <v>0.32</v>
      </c>
      <c r="F73" s="143">
        <f>VLOOKUP($A73,'Data shares'!$C:$FA,125)</f>
        <v>0.52</v>
      </c>
      <c r="G73" s="143">
        <f>VLOOKUP($A73,'Data shares'!$C:$FA,127)*100</f>
        <v>-38.46</v>
      </c>
      <c r="H73" s="103">
        <f>VLOOKUP($A73,'OI(Volume)'!$A$7:$O$440,8)</f>
        <v>82646775</v>
      </c>
      <c r="I73" s="103">
        <f>VLOOKUP($A73,'OI(Volume)'!$A$7:$O$440,9)</f>
        <v>5573025</v>
      </c>
      <c r="J73" s="103">
        <f>VLOOKUP($A73,'OI(Volume)'!$A$7:$O$440,11)</f>
        <v>56288250</v>
      </c>
      <c r="K73" s="103">
        <f>VLOOKUP($A73,'OI(Volume)'!$A$7:$O$440,12)</f>
        <v>1297350</v>
      </c>
      <c r="L73" s="103">
        <f>VLOOKUP($A73,'OI(Value)'!$A$7:$O$323,8,0)</f>
        <v>802</v>
      </c>
      <c r="M73" s="103">
        <f>VLOOKUP($A73,'OI(Value)'!$A$7:$O$323,9,0)</f>
        <v>54</v>
      </c>
      <c r="N73" s="103">
        <f>VLOOKUP($A73,'OI(Value)'!$A$7:$O$323,11,0)</f>
        <v>547</v>
      </c>
      <c r="O73" s="103">
        <f>VLOOKUP($A73,'OI(Value)'!$A$7:$O$323,12,0)</f>
        <v>13</v>
      </c>
      <c r="P73" s="179">
        <f>VLOOKUP(A73,'OI(Value)'!A73:O291,8,0)</f>
        <v>802</v>
      </c>
      <c r="Q73" s="179">
        <f>VLOOKUP(A73,'OI(Value)'!A73:O291,9,0)</f>
        <v>54</v>
      </c>
      <c r="R73" s="179">
        <f>VLOOKUP(A73,'OI(Value)'!A73:O291,11,0)</f>
        <v>547</v>
      </c>
      <c r="S73" s="179">
        <f>VLOOKUP(A73,'OI(Value)'!A73:O291,11,0)</f>
        <v>547</v>
      </c>
    </row>
    <row r="74" spans="1:19" x14ac:dyDescent="0.25">
      <c r="A74" s="105" t="str">
        <f>'Data Vlaue (Cr)'!C69</f>
        <v>GODREJCP</v>
      </c>
      <c r="B74" s="143">
        <f>VLOOKUP($A74,'Data shares'!$C:$FA,118)</f>
        <v>0.74</v>
      </c>
      <c r="C74" s="143">
        <f>VLOOKUP($A74,'Data shares'!$C:$FA,119)</f>
        <v>0.74</v>
      </c>
      <c r="D74" s="143">
        <f>VLOOKUP($A74,'Data shares'!$C:$FA,121)*100</f>
        <v>0</v>
      </c>
      <c r="E74" s="143">
        <f>VLOOKUP($A74,'Data shares'!$C:$FA,124)</f>
        <v>0.36</v>
      </c>
      <c r="F74" s="143">
        <f>VLOOKUP($A74,'Data shares'!$C:$FA,125)</f>
        <v>0.38</v>
      </c>
      <c r="G74" s="143">
        <f>VLOOKUP($A74,'Data shares'!$C:$FA,127)*100</f>
        <v>-5.26</v>
      </c>
      <c r="H74" s="103">
        <f>VLOOKUP($A74,'OI(Volume)'!$A$7:$O$440,8)</f>
        <v>2732000</v>
      </c>
      <c r="I74" s="103">
        <f>VLOOKUP($A74,'OI(Volume)'!$A$7:$O$440,9)</f>
        <v>-17500</v>
      </c>
      <c r="J74" s="103">
        <f>VLOOKUP($A74,'OI(Volume)'!$A$7:$O$440,11)</f>
        <v>2020000</v>
      </c>
      <c r="K74" s="103">
        <f>VLOOKUP($A74,'OI(Volume)'!$A$7:$O$440,12)</f>
        <v>-6500</v>
      </c>
      <c r="L74" s="103">
        <f>VLOOKUP($A74,'OI(Value)'!$A$7:$O$323,8,0)</f>
        <v>331</v>
      </c>
      <c r="M74" s="103">
        <f>VLOOKUP($A74,'OI(Value)'!$A$7:$O$323,9,0)</f>
        <v>-2</v>
      </c>
      <c r="N74" s="103">
        <f>VLOOKUP($A74,'OI(Value)'!$A$7:$O$323,11,0)</f>
        <v>245</v>
      </c>
      <c r="O74" s="103">
        <f>VLOOKUP($A74,'OI(Value)'!$A$7:$O$323,12,0)</f>
        <v>-1</v>
      </c>
      <c r="P74" s="179">
        <f>VLOOKUP(A74,'OI(Value)'!A74:O292,8,0)</f>
        <v>331</v>
      </c>
      <c r="Q74" s="179">
        <f>VLOOKUP(A74,'OI(Value)'!A74:O292,9,0)</f>
        <v>-2</v>
      </c>
      <c r="R74" s="179">
        <f>VLOOKUP(A74,'OI(Value)'!A74:O292,11,0)</f>
        <v>245</v>
      </c>
      <c r="S74" s="179">
        <f>VLOOKUP(A74,'OI(Value)'!A74:O292,11,0)</f>
        <v>245</v>
      </c>
    </row>
    <row r="75" spans="1:19" x14ac:dyDescent="0.25">
      <c r="A75" s="105" t="str">
        <f>'Data Vlaue (Cr)'!C70</f>
        <v>GODREJPROP</v>
      </c>
      <c r="B75" s="143">
        <f>VLOOKUP($A75,'Data shares'!$C:$FA,118)</f>
        <v>0.72</v>
      </c>
      <c r="C75" s="143">
        <f>VLOOKUP($A75,'Data shares'!$C:$FA,119)</f>
        <v>0.73</v>
      </c>
      <c r="D75" s="143">
        <f>VLOOKUP($A75,'Data shares'!$C:$FA,121)*100</f>
        <v>-1.37</v>
      </c>
      <c r="E75" s="143">
        <f>VLOOKUP($A75,'Data shares'!$C:$FA,124)</f>
        <v>0.54</v>
      </c>
      <c r="F75" s="143">
        <f>VLOOKUP($A75,'Data shares'!$C:$FA,125)</f>
        <v>0.44</v>
      </c>
      <c r="G75" s="143">
        <f>VLOOKUP($A75,'Data shares'!$C:$FA,127)*100</f>
        <v>22.73</v>
      </c>
      <c r="H75" s="103">
        <f>VLOOKUP($A75,'OI(Volume)'!$A$7:$O$440,8)</f>
        <v>4463800</v>
      </c>
      <c r="I75" s="103">
        <f>VLOOKUP($A75,'OI(Volume)'!$A$7:$O$440,9)</f>
        <v>10725</v>
      </c>
      <c r="J75" s="103">
        <f>VLOOKUP($A75,'OI(Volume)'!$A$7:$O$440,11)</f>
        <v>3221625</v>
      </c>
      <c r="K75" s="103">
        <f>VLOOKUP($A75,'OI(Volume)'!$A$7:$O$440,12)</f>
        <v>-30250</v>
      </c>
      <c r="L75" s="103">
        <f>VLOOKUP($A75,'OI(Value)'!$A$7:$O$323,8,0)</f>
        <v>827</v>
      </c>
      <c r="M75" s="103">
        <f>VLOOKUP($A75,'OI(Value)'!$A$7:$O$323,9,0)</f>
        <v>2</v>
      </c>
      <c r="N75" s="103">
        <f>VLOOKUP($A75,'OI(Value)'!$A$7:$O$323,11,0)</f>
        <v>597</v>
      </c>
      <c r="O75" s="103">
        <f>VLOOKUP($A75,'OI(Value)'!$A$7:$O$323,12,0)</f>
        <v>-6</v>
      </c>
      <c r="P75" s="179">
        <f>VLOOKUP(A75,'OI(Value)'!A75:O293,8,0)</f>
        <v>827</v>
      </c>
      <c r="Q75" s="179">
        <f>VLOOKUP(A75,'OI(Value)'!A75:O293,9,0)</f>
        <v>2</v>
      </c>
      <c r="R75" s="179">
        <f>VLOOKUP(A75,'OI(Value)'!A75:O293,11,0)</f>
        <v>597</v>
      </c>
      <c r="S75" s="179">
        <f>VLOOKUP(A75,'OI(Value)'!A75:O293,11,0)</f>
        <v>597</v>
      </c>
    </row>
    <row r="76" spans="1:19" x14ac:dyDescent="0.25">
      <c r="A76" s="105" t="str">
        <f>'Data Vlaue (Cr)'!C71</f>
        <v>GRASIM</v>
      </c>
      <c r="B76" s="143">
        <f>VLOOKUP($A76,'Data shares'!$C:$FA,118)</f>
        <v>0.84</v>
      </c>
      <c r="C76" s="143">
        <f>VLOOKUP($A76,'Data shares'!$C:$FA,119)</f>
        <v>0.96</v>
      </c>
      <c r="D76" s="143">
        <f>VLOOKUP($A76,'Data shares'!$C:$FA,121)*100</f>
        <v>-12.5</v>
      </c>
      <c r="E76" s="143">
        <f>VLOOKUP($A76,'Data shares'!$C:$FA,124)</f>
        <v>0.51</v>
      </c>
      <c r="F76" s="143">
        <f>VLOOKUP($A76,'Data shares'!$C:$FA,125)</f>
        <v>0.61</v>
      </c>
      <c r="G76" s="143">
        <f>VLOOKUP($A76,'Data shares'!$C:$FA,127)*100</f>
        <v>-16.39</v>
      </c>
      <c r="H76" s="103">
        <f>VLOOKUP($A76,'OI(Volume)'!$A$7:$O$440,8)</f>
        <v>2410750</v>
      </c>
      <c r="I76" s="103">
        <f>VLOOKUP($A76,'OI(Volume)'!$A$7:$O$440,9)</f>
        <v>310500</v>
      </c>
      <c r="J76" s="103">
        <f>VLOOKUP($A76,'OI(Volume)'!$A$7:$O$440,11)</f>
        <v>2022750</v>
      </c>
      <c r="K76" s="103">
        <f>VLOOKUP($A76,'OI(Volume)'!$A$7:$O$440,12)</f>
        <v>6000</v>
      </c>
      <c r="L76" s="103">
        <f>VLOOKUP($A76,'OI(Value)'!$A$7:$O$323,8,0)</f>
        <v>708</v>
      </c>
      <c r="M76" s="103">
        <f>VLOOKUP($A76,'OI(Value)'!$A$7:$O$323,9,0)</f>
        <v>91</v>
      </c>
      <c r="N76" s="103">
        <f>VLOOKUP($A76,'OI(Value)'!$A$7:$O$323,11,0)</f>
        <v>594</v>
      </c>
      <c r="O76" s="103">
        <f>VLOOKUP($A76,'OI(Value)'!$A$7:$O$323,12,0)</f>
        <v>2</v>
      </c>
      <c r="P76" s="179">
        <f>VLOOKUP(A76,'OI(Value)'!A76:O294,8,0)</f>
        <v>708</v>
      </c>
      <c r="Q76" s="179">
        <f>VLOOKUP(A76,'OI(Value)'!A76:O294,9,0)</f>
        <v>91</v>
      </c>
      <c r="R76" s="179">
        <f>VLOOKUP(A76,'OI(Value)'!A76:O294,11,0)</f>
        <v>594</v>
      </c>
      <c r="S76" s="179">
        <f>VLOOKUP(A76,'OI(Value)'!A76:O294,11,0)</f>
        <v>594</v>
      </c>
    </row>
    <row r="77" spans="1:19" x14ac:dyDescent="0.25">
      <c r="A77" s="105" t="str">
        <f>'Data Vlaue (Cr)'!C72</f>
        <v>HAL</v>
      </c>
      <c r="B77" s="143">
        <f>VLOOKUP($A77,'Data shares'!$C:$FA,118)</f>
        <v>0.55000000000000004</v>
      </c>
      <c r="C77" s="143">
        <f>VLOOKUP($A77,'Data shares'!$C:$FA,119)</f>
        <v>0.55000000000000004</v>
      </c>
      <c r="D77" s="143">
        <f>VLOOKUP($A77,'Data shares'!$C:$FA,121)*100</f>
        <v>0</v>
      </c>
      <c r="E77" s="143">
        <f>VLOOKUP($A77,'Data shares'!$C:$FA,124)</f>
        <v>0.36</v>
      </c>
      <c r="F77" s="143">
        <f>VLOOKUP($A77,'Data shares'!$C:$FA,125)</f>
        <v>0.36</v>
      </c>
      <c r="G77" s="143">
        <f>VLOOKUP($A77,'Data shares'!$C:$FA,127)*100</f>
        <v>0</v>
      </c>
      <c r="H77" s="103">
        <f>VLOOKUP($A77,'OI(Volume)'!$A$7:$O$440,8)</f>
        <v>9697350</v>
      </c>
      <c r="I77" s="103">
        <f>VLOOKUP($A77,'OI(Volume)'!$A$7:$O$440,9)</f>
        <v>141900</v>
      </c>
      <c r="J77" s="103">
        <f>VLOOKUP($A77,'OI(Volume)'!$A$7:$O$440,11)</f>
        <v>5320350</v>
      </c>
      <c r="K77" s="103">
        <f>VLOOKUP($A77,'OI(Volume)'!$A$7:$O$440,12)</f>
        <v>20100</v>
      </c>
      <c r="L77" s="103">
        <f>VLOOKUP($A77,'OI(Value)'!$A$7:$O$323,8,0)</f>
        <v>3993</v>
      </c>
      <c r="M77" s="103">
        <f>VLOOKUP($A77,'OI(Value)'!$A$7:$O$323,9,0)</f>
        <v>58</v>
      </c>
      <c r="N77" s="103">
        <f>VLOOKUP($A77,'OI(Value)'!$A$7:$O$323,11,0)</f>
        <v>2191</v>
      </c>
      <c r="O77" s="103">
        <f>VLOOKUP($A77,'OI(Value)'!$A$7:$O$323,12,0)</f>
        <v>8</v>
      </c>
      <c r="P77" s="179">
        <f>VLOOKUP(A77,'OI(Value)'!A77:O295,8,0)</f>
        <v>3993</v>
      </c>
      <c r="Q77" s="179">
        <f>VLOOKUP(A77,'OI(Value)'!A77:O295,9,0)</f>
        <v>58</v>
      </c>
      <c r="R77" s="179">
        <f>VLOOKUP(A77,'OI(Value)'!A77:O295,11,0)</f>
        <v>2191</v>
      </c>
      <c r="S77" s="179">
        <f>VLOOKUP(A77,'OI(Value)'!A77:O295,11,0)</f>
        <v>2191</v>
      </c>
    </row>
    <row r="78" spans="1:19" x14ac:dyDescent="0.25">
      <c r="A78" s="105" t="str">
        <f>'Data Vlaue (Cr)'!C73</f>
        <v>HAVELLS</v>
      </c>
      <c r="B78" s="143">
        <f>VLOOKUP($A78,'Data shares'!$C:$FA,118)</f>
        <v>0.68</v>
      </c>
      <c r="C78" s="143">
        <f>VLOOKUP($A78,'Data shares'!$C:$FA,119)</f>
        <v>0.69</v>
      </c>
      <c r="D78" s="143">
        <f>VLOOKUP($A78,'Data shares'!$C:$FA,121)*100</f>
        <v>-1.4500000000000002</v>
      </c>
      <c r="E78" s="143">
        <f>VLOOKUP($A78,'Data shares'!$C:$FA,124)</f>
        <v>0.46</v>
      </c>
      <c r="F78" s="143">
        <f>VLOOKUP($A78,'Data shares'!$C:$FA,125)</f>
        <v>0.49</v>
      </c>
      <c r="G78" s="143">
        <f>VLOOKUP($A78,'Data shares'!$C:$FA,127)*100</f>
        <v>-6.12</v>
      </c>
      <c r="H78" s="103">
        <f>VLOOKUP($A78,'OI(Volume)'!$A$7:$O$440,8)</f>
        <v>3173000</v>
      </c>
      <c r="I78" s="103">
        <f>VLOOKUP($A78,'OI(Volume)'!$A$7:$O$440,9)</f>
        <v>49500</v>
      </c>
      <c r="J78" s="103">
        <f>VLOOKUP($A78,'OI(Volume)'!$A$7:$O$440,11)</f>
        <v>2169000</v>
      </c>
      <c r="K78" s="103">
        <f>VLOOKUP($A78,'OI(Volume)'!$A$7:$O$440,12)</f>
        <v>14500</v>
      </c>
      <c r="L78" s="103">
        <f>VLOOKUP($A78,'OI(Value)'!$A$7:$O$323,8,0)</f>
        <v>440</v>
      </c>
      <c r="M78" s="103">
        <f>VLOOKUP($A78,'OI(Value)'!$A$7:$O$323,9,0)</f>
        <v>7</v>
      </c>
      <c r="N78" s="103">
        <f>VLOOKUP($A78,'OI(Value)'!$A$7:$O$323,11,0)</f>
        <v>301</v>
      </c>
      <c r="O78" s="103">
        <f>VLOOKUP($A78,'OI(Value)'!$A$7:$O$323,12,0)</f>
        <v>2</v>
      </c>
      <c r="P78" s="179">
        <f>VLOOKUP(A78,'OI(Value)'!A78:O296,8,0)</f>
        <v>440</v>
      </c>
      <c r="Q78" s="179">
        <f>VLOOKUP(A78,'OI(Value)'!A78:O296,9,0)</f>
        <v>7</v>
      </c>
      <c r="R78" s="179">
        <f>VLOOKUP(A78,'OI(Value)'!A78:O296,11,0)</f>
        <v>301</v>
      </c>
      <c r="S78" s="179">
        <f>VLOOKUP(A78,'OI(Value)'!A78:O296,11,0)</f>
        <v>301</v>
      </c>
    </row>
    <row r="79" spans="1:19" x14ac:dyDescent="0.25">
      <c r="A79" s="105" t="str">
        <f>'Data Vlaue (Cr)'!C74</f>
        <v>HCLTECH</v>
      </c>
      <c r="B79" s="143">
        <f>VLOOKUP($A79,'Data shares'!$C:$FA,118)</f>
        <v>0.53</v>
      </c>
      <c r="C79" s="143">
        <f>VLOOKUP($A79,'Data shares'!$C:$FA,119)</f>
        <v>0.59</v>
      </c>
      <c r="D79" s="143">
        <f>VLOOKUP($A79,'Data shares'!$C:$FA,121)*100</f>
        <v>-10.17</v>
      </c>
      <c r="E79" s="143">
        <f>VLOOKUP($A79,'Data shares'!$C:$FA,124)</f>
        <v>0.7</v>
      </c>
      <c r="F79" s="143">
        <f>VLOOKUP($A79,'Data shares'!$C:$FA,125)</f>
        <v>0.57999999999999996</v>
      </c>
      <c r="G79" s="143">
        <f>VLOOKUP($A79,'Data shares'!$C:$FA,127)*100</f>
        <v>20.69</v>
      </c>
      <c r="H79" s="103">
        <f>VLOOKUP($A79,'OI(Volume)'!$A$7:$O$440,8)</f>
        <v>10905650</v>
      </c>
      <c r="I79" s="103">
        <f>VLOOKUP($A79,'OI(Volume)'!$A$7:$O$440,9)</f>
        <v>1232350</v>
      </c>
      <c r="J79" s="103">
        <f>VLOOKUP($A79,'OI(Volume)'!$A$7:$O$440,11)</f>
        <v>5746650</v>
      </c>
      <c r="K79" s="103">
        <f>VLOOKUP($A79,'OI(Volume)'!$A$7:$O$440,12)</f>
        <v>32200</v>
      </c>
      <c r="L79" s="103">
        <f>VLOOKUP($A79,'OI(Value)'!$A$7:$O$323,8,0)</f>
        <v>1694</v>
      </c>
      <c r="M79" s="103">
        <f>VLOOKUP($A79,'OI(Value)'!$A$7:$O$323,9,0)</f>
        <v>191</v>
      </c>
      <c r="N79" s="103">
        <f>VLOOKUP($A79,'OI(Value)'!$A$7:$O$323,11,0)</f>
        <v>893</v>
      </c>
      <c r="O79" s="103">
        <f>VLOOKUP($A79,'OI(Value)'!$A$7:$O$323,12,0)</f>
        <v>5</v>
      </c>
      <c r="P79" s="179">
        <f>VLOOKUP(A79,'OI(Value)'!A79:O297,8,0)</f>
        <v>1694</v>
      </c>
      <c r="Q79" s="179">
        <f>VLOOKUP(A79,'OI(Value)'!A79:O297,9,0)</f>
        <v>191</v>
      </c>
      <c r="R79" s="179">
        <f>VLOOKUP(A79,'OI(Value)'!A79:O297,11,0)</f>
        <v>893</v>
      </c>
      <c r="S79" s="179">
        <f>VLOOKUP(A79,'OI(Value)'!A79:O297,11,0)</f>
        <v>893</v>
      </c>
    </row>
    <row r="80" spans="1:19" x14ac:dyDescent="0.25">
      <c r="A80" s="105" t="str">
        <f>'Data Vlaue (Cr)'!C75</f>
        <v>HDFCAMC</v>
      </c>
      <c r="B80" s="143">
        <f>VLOOKUP($A80,'Data shares'!$C:$FA,118)</f>
        <v>0.91</v>
      </c>
      <c r="C80" s="143">
        <f>VLOOKUP($A80,'Data shares'!$C:$FA,119)</f>
        <v>0.91</v>
      </c>
      <c r="D80" s="143">
        <f>VLOOKUP($A80,'Data shares'!$C:$FA,121)*100</f>
        <v>0</v>
      </c>
      <c r="E80" s="143">
        <f>VLOOKUP($A80,'Data shares'!$C:$FA,124)</f>
        <v>0.48</v>
      </c>
      <c r="F80" s="143">
        <f>VLOOKUP($A80,'Data shares'!$C:$FA,125)</f>
        <v>0.39</v>
      </c>
      <c r="G80" s="143">
        <f>VLOOKUP($A80,'Data shares'!$C:$FA,127)*100</f>
        <v>23.080000000000002</v>
      </c>
      <c r="H80" s="103">
        <f>VLOOKUP($A80,'OI(Volume)'!$A$7:$O$440,8)</f>
        <v>1933500</v>
      </c>
      <c r="I80" s="103">
        <f>VLOOKUP($A80,'OI(Volume)'!$A$7:$O$440,9)</f>
        <v>33000</v>
      </c>
      <c r="J80" s="103">
        <f>VLOOKUP($A80,'OI(Volume)'!$A$7:$O$440,11)</f>
        <v>1759500</v>
      </c>
      <c r="K80" s="103">
        <f>VLOOKUP($A80,'OI(Volume)'!$A$7:$O$440,12)</f>
        <v>37500</v>
      </c>
      <c r="L80" s="103">
        <f>VLOOKUP($A80,'OI(Value)'!$A$7:$O$323,8,0)</f>
        <v>548</v>
      </c>
      <c r="M80" s="103">
        <f>VLOOKUP($A80,'OI(Value)'!$A$7:$O$323,9,0)</f>
        <v>9</v>
      </c>
      <c r="N80" s="103">
        <f>VLOOKUP($A80,'OI(Value)'!$A$7:$O$323,11,0)</f>
        <v>498</v>
      </c>
      <c r="O80" s="103">
        <f>VLOOKUP($A80,'OI(Value)'!$A$7:$O$323,12,0)</f>
        <v>11</v>
      </c>
      <c r="P80" s="179">
        <f>VLOOKUP(A80,'OI(Value)'!A80:O298,8,0)</f>
        <v>548</v>
      </c>
      <c r="Q80" s="179">
        <f>VLOOKUP(A80,'OI(Value)'!A80:O298,9,0)</f>
        <v>9</v>
      </c>
      <c r="R80" s="179">
        <f>VLOOKUP(A80,'OI(Value)'!A80:O298,11,0)</f>
        <v>498</v>
      </c>
      <c r="S80" s="179">
        <f>VLOOKUP(A80,'OI(Value)'!A80:O298,11,0)</f>
        <v>498</v>
      </c>
    </row>
    <row r="81" spans="1:19" x14ac:dyDescent="0.25">
      <c r="A81" s="105" t="str">
        <f>'Data Vlaue (Cr)'!C76</f>
        <v>HDFCBANK</v>
      </c>
      <c r="B81" s="143">
        <f>VLOOKUP($A81,'Data shares'!$C:$FA,118)</f>
        <v>0.55000000000000004</v>
      </c>
      <c r="C81" s="143">
        <f>VLOOKUP($A81,'Data shares'!$C:$FA,119)</f>
        <v>0.57999999999999996</v>
      </c>
      <c r="D81" s="143">
        <f>VLOOKUP($A81,'Data shares'!$C:$FA,121)*100</f>
        <v>-5.17</v>
      </c>
      <c r="E81" s="143">
        <f>VLOOKUP($A81,'Data shares'!$C:$FA,124)</f>
        <v>0.5</v>
      </c>
      <c r="F81" s="143">
        <f>VLOOKUP($A81,'Data shares'!$C:$FA,125)</f>
        <v>0.55000000000000004</v>
      </c>
      <c r="G81" s="143">
        <f>VLOOKUP($A81,'Data shares'!$C:$FA,127)*100</f>
        <v>-9.09</v>
      </c>
      <c r="H81" s="103">
        <f>VLOOKUP($A81,'OI(Volume)'!$A$7:$O$440,8)</f>
        <v>64589250</v>
      </c>
      <c r="I81" s="103">
        <f>VLOOKUP($A81,'OI(Volume)'!$A$7:$O$440,9)</f>
        <v>6340400</v>
      </c>
      <c r="J81" s="103">
        <f>VLOOKUP($A81,'OI(Volume)'!$A$7:$O$440,11)</f>
        <v>35627350</v>
      </c>
      <c r="K81" s="103">
        <f>VLOOKUP($A81,'OI(Volume)'!$A$7:$O$440,12)</f>
        <v>1749000</v>
      </c>
      <c r="L81" s="103">
        <f>VLOOKUP($A81,'OI(Value)'!$A$7:$O$323,8,0)</f>
        <v>6011</v>
      </c>
      <c r="M81" s="103">
        <f>VLOOKUP($A81,'OI(Value)'!$A$7:$O$323,9,0)</f>
        <v>590</v>
      </c>
      <c r="N81" s="103">
        <f>VLOOKUP($A81,'OI(Value)'!$A$7:$O$323,11,0)</f>
        <v>3316</v>
      </c>
      <c r="O81" s="103">
        <f>VLOOKUP($A81,'OI(Value)'!$A$7:$O$323,12,0)</f>
        <v>163</v>
      </c>
      <c r="P81" s="179">
        <f>VLOOKUP(A81,'OI(Value)'!A81:O299,8,0)</f>
        <v>6011</v>
      </c>
      <c r="Q81" s="179">
        <f>VLOOKUP(A81,'OI(Value)'!A81:O299,9,0)</f>
        <v>590</v>
      </c>
      <c r="R81" s="179">
        <f>VLOOKUP(A81,'OI(Value)'!A81:O299,11,0)</f>
        <v>3316</v>
      </c>
      <c r="S81" s="179">
        <f>VLOOKUP(A81,'OI(Value)'!A81:O299,11,0)</f>
        <v>3316</v>
      </c>
    </row>
    <row r="82" spans="1:19" x14ac:dyDescent="0.25">
      <c r="A82" s="105" t="str">
        <f>'Data Vlaue (Cr)'!C77</f>
        <v>HDFCLIFE</v>
      </c>
      <c r="B82" s="143">
        <f>VLOOKUP($A82,'Data shares'!$C:$FA,118)</f>
        <v>0.43</v>
      </c>
      <c r="C82" s="143">
        <f>VLOOKUP($A82,'Data shares'!$C:$FA,119)</f>
        <v>0.43</v>
      </c>
      <c r="D82" s="143">
        <f>VLOOKUP($A82,'Data shares'!$C:$FA,121)*100</f>
        <v>0</v>
      </c>
      <c r="E82" s="143">
        <f>VLOOKUP($A82,'Data shares'!$C:$FA,124)</f>
        <v>0.39</v>
      </c>
      <c r="F82" s="143">
        <f>VLOOKUP($A82,'Data shares'!$C:$FA,125)</f>
        <v>0.33</v>
      </c>
      <c r="G82" s="143">
        <f>VLOOKUP($A82,'Data shares'!$C:$FA,127)*100</f>
        <v>18.18</v>
      </c>
      <c r="H82" s="103">
        <f>VLOOKUP($A82,'OI(Volume)'!$A$7:$O$440,8)</f>
        <v>15975300</v>
      </c>
      <c r="I82" s="103">
        <f>VLOOKUP($A82,'OI(Volume)'!$A$7:$O$440,9)</f>
        <v>705100</v>
      </c>
      <c r="J82" s="103">
        <f>VLOOKUP($A82,'OI(Volume)'!$A$7:$O$440,11)</f>
        <v>6803500</v>
      </c>
      <c r="K82" s="103">
        <f>VLOOKUP($A82,'OI(Volume)'!$A$7:$O$440,12)</f>
        <v>170500</v>
      </c>
      <c r="L82" s="103">
        <f>VLOOKUP($A82,'OI(Value)'!$A$7:$O$323,8,0)</f>
        <v>1123</v>
      </c>
      <c r="M82" s="103">
        <f>VLOOKUP($A82,'OI(Value)'!$A$7:$O$323,9,0)</f>
        <v>50</v>
      </c>
      <c r="N82" s="103">
        <f>VLOOKUP($A82,'OI(Value)'!$A$7:$O$323,11,0)</f>
        <v>478</v>
      </c>
      <c r="O82" s="103">
        <f>VLOOKUP($A82,'OI(Value)'!$A$7:$O$323,12,0)</f>
        <v>12</v>
      </c>
      <c r="P82" s="179">
        <f>VLOOKUP(A82,'OI(Value)'!A82:O300,8,0)</f>
        <v>1123</v>
      </c>
      <c r="Q82" s="179">
        <f>VLOOKUP(A82,'OI(Value)'!A82:O300,9,0)</f>
        <v>50</v>
      </c>
      <c r="R82" s="179">
        <f>VLOOKUP(A82,'OI(Value)'!A82:O300,11,0)</f>
        <v>478</v>
      </c>
      <c r="S82" s="179">
        <f>VLOOKUP(A82,'OI(Value)'!A82:O300,11,0)</f>
        <v>478</v>
      </c>
    </row>
    <row r="83" spans="1:19" x14ac:dyDescent="0.25">
      <c r="A83" s="105" t="str">
        <f>'Data Vlaue (Cr)'!C78</f>
        <v>HEROMOTOCO</v>
      </c>
      <c r="B83" s="143">
        <f>VLOOKUP($A83,'Data shares'!$C:$FA,118)</f>
        <v>0.61</v>
      </c>
      <c r="C83" s="143">
        <f>VLOOKUP($A83,'Data shares'!$C:$FA,119)</f>
        <v>0.56000000000000005</v>
      </c>
      <c r="D83" s="143">
        <f>VLOOKUP($A83,'Data shares'!$C:$FA,121)*100</f>
        <v>8.93</v>
      </c>
      <c r="E83" s="143">
        <f>VLOOKUP($A83,'Data shares'!$C:$FA,124)</f>
        <v>0.4</v>
      </c>
      <c r="F83" s="143">
        <f>VLOOKUP($A83,'Data shares'!$C:$FA,125)</f>
        <v>0.33</v>
      </c>
      <c r="G83" s="143">
        <f>VLOOKUP($A83,'Data shares'!$C:$FA,127)*100</f>
        <v>21.21</v>
      </c>
      <c r="H83" s="103">
        <f>VLOOKUP($A83,'OI(Volume)'!$A$7:$O$440,8)</f>
        <v>3206400</v>
      </c>
      <c r="I83" s="103">
        <f>VLOOKUP($A83,'OI(Volume)'!$A$7:$O$440,9)</f>
        <v>-351150</v>
      </c>
      <c r="J83" s="103">
        <f>VLOOKUP($A83,'OI(Volume)'!$A$7:$O$440,11)</f>
        <v>1970100</v>
      </c>
      <c r="K83" s="103">
        <f>VLOOKUP($A83,'OI(Volume)'!$A$7:$O$440,12)</f>
        <v>-7050</v>
      </c>
      <c r="L83" s="103">
        <f>VLOOKUP($A83,'OI(Value)'!$A$7:$O$323,8,0)</f>
        <v>1828</v>
      </c>
      <c r="M83" s="103">
        <f>VLOOKUP($A83,'OI(Value)'!$A$7:$O$323,9,0)</f>
        <v>-200</v>
      </c>
      <c r="N83" s="103">
        <f>VLOOKUP($A83,'OI(Value)'!$A$7:$O$323,11,0)</f>
        <v>1123</v>
      </c>
      <c r="O83" s="103">
        <f>VLOOKUP($A83,'OI(Value)'!$A$7:$O$323,12,0)</f>
        <v>-4</v>
      </c>
      <c r="P83" s="179">
        <f>VLOOKUP(A83,'OI(Value)'!A83:O301,8,0)</f>
        <v>1828</v>
      </c>
      <c r="Q83" s="179">
        <f>VLOOKUP(A83,'OI(Value)'!A83:O301,9,0)</f>
        <v>-200</v>
      </c>
      <c r="R83" s="179">
        <f>VLOOKUP(A83,'OI(Value)'!A83:O301,11,0)</f>
        <v>1123</v>
      </c>
      <c r="S83" s="179">
        <f>VLOOKUP(A83,'OI(Value)'!A83:O301,11,0)</f>
        <v>1123</v>
      </c>
    </row>
    <row r="84" spans="1:19" x14ac:dyDescent="0.25">
      <c r="A84" s="105" t="str">
        <f>'Data Vlaue (Cr)'!C79</f>
        <v>HINDALCO</v>
      </c>
      <c r="B84" s="143">
        <f>VLOOKUP($A84,'Data shares'!$C:$FA,118)</f>
        <v>0.8</v>
      </c>
      <c r="C84" s="143">
        <f>VLOOKUP($A84,'Data shares'!$C:$FA,119)</f>
        <v>0.75</v>
      </c>
      <c r="D84" s="143">
        <f>VLOOKUP($A84,'Data shares'!$C:$FA,121)*100</f>
        <v>6.67</v>
      </c>
      <c r="E84" s="143">
        <f>VLOOKUP($A84,'Data shares'!$C:$FA,124)</f>
        <v>0.59</v>
      </c>
      <c r="F84" s="143">
        <f>VLOOKUP($A84,'Data shares'!$C:$FA,125)</f>
        <v>0.44</v>
      </c>
      <c r="G84" s="143">
        <f>VLOOKUP($A84,'Data shares'!$C:$FA,127)*100</f>
        <v>34.089999999999996</v>
      </c>
      <c r="H84" s="103">
        <f>VLOOKUP($A84,'OI(Volume)'!$A$7:$O$440,8)</f>
        <v>13443500</v>
      </c>
      <c r="I84" s="103">
        <f>VLOOKUP($A84,'OI(Volume)'!$A$7:$O$440,9)</f>
        <v>915600</v>
      </c>
      <c r="J84" s="103">
        <f>VLOOKUP($A84,'OI(Volume)'!$A$7:$O$440,11)</f>
        <v>10687600</v>
      </c>
      <c r="K84" s="103">
        <f>VLOOKUP($A84,'OI(Volume)'!$A$7:$O$440,12)</f>
        <v>1319500</v>
      </c>
      <c r="L84" s="103">
        <f>VLOOKUP($A84,'OI(Value)'!$A$7:$O$323,8,0)</f>
        <v>1297</v>
      </c>
      <c r="M84" s="103">
        <f>VLOOKUP($A84,'OI(Value)'!$A$7:$O$323,9,0)</f>
        <v>88</v>
      </c>
      <c r="N84" s="103">
        <f>VLOOKUP($A84,'OI(Value)'!$A$7:$O$323,11,0)</f>
        <v>1031</v>
      </c>
      <c r="O84" s="103">
        <f>VLOOKUP($A84,'OI(Value)'!$A$7:$O$323,12,0)</f>
        <v>127</v>
      </c>
      <c r="P84" s="179">
        <f>VLOOKUP(A84,'OI(Value)'!A84:O302,8,0)</f>
        <v>1297</v>
      </c>
      <c r="Q84" s="179">
        <f>VLOOKUP(A84,'OI(Value)'!A84:O302,9,0)</f>
        <v>88</v>
      </c>
      <c r="R84" s="179">
        <f>VLOOKUP(A84,'OI(Value)'!A84:O302,11,0)</f>
        <v>1031</v>
      </c>
      <c r="S84" s="179">
        <f>VLOOKUP(A84,'OI(Value)'!A84:O302,11,0)</f>
        <v>1031</v>
      </c>
    </row>
    <row r="85" spans="1:19" x14ac:dyDescent="0.25">
      <c r="A85" s="105" t="str">
        <f>'Data Vlaue (Cr)'!C80</f>
        <v>HINDPETRO</v>
      </c>
      <c r="B85" s="143">
        <f>VLOOKUP($A85,'Data shares'!$C:$FA,118)</f>
        <v>0.66</v>
      </c>
      <c r="C85" s="143">
        <f>VLOOKUP($A85,'Data shares'!$C:$FA,119)</f>
        <v>0.67</v>
      </c>
      <c r="D85" s="143">
        <f>VLOOKUP($A85,'Data shares'!$C:$FA,121)*100</f>
        <v>-1.49</v>
      </c>
      <c r="E85" s="143">
        <f>VLOOKUP($A85,'Data shares'!$C:$FA,124)</f>
        <v>0.28000000000000003</v>
      </c>
      <c r="F85" s="143">
        <f>VLOOKUP($A85,'Data shares'!$C:$FA,125)</f>
        <v>0.38</v>
      </c>
      <c r="G85" s="143">
        <f>VLOOKUP($A85,'Data shares'!$C:$FA,127)*100</f>
        <v>-26.32</v>
      </c>
      <c r="H85" s="103">
        <f>VLOOKUP($A85,'OI(Volume)'!$A$7:$O$440,8)</f>
        <v>16100775</v>
      </c>
      <c r="I85" s="103">
        <f>VLOOKUP($A85,'OI(Volume)'!$A$7:$O$440,9)</f>
        <v>85050</v>
      </c>
      <c r="J85" s="103">
        <f>VLOOKUP($A85,'OI(Volume)'!$A$7:$O$440,11)</f>
        <v>10617075</v>
      </c>
      <c r="K85" s="103">
        <f>VLOOKUP($A85,'OI(Volume)'!$A$7:$O$440,12)</f>
        <v>-113400</v>
      </c>
      <c r="L85" s="103">
        <f>VLOOKUP($A85,'OI(Value)'!$A$7:$O$323,8,0)</f>
        <v>744</v>
      </c>
      <c r="M85" s="103">
        <f>VLOOKUP($A85,'OI(Value)'!$A$7:$O$323,9,0)</f>
        <v>4</v>
      </c>
      <c r="N85" s="103">
        <f>VLOOKUP($A85,'OI(Value)'!$A$7:$O$323,11,0)</f>
        <v>491</v>
      </c>
      <c r="O85" s="103">
        <f>VLOOKUP($A85,'OI(Value)'!$A$7:$O$323,12,0)</f>
        <v>-5</v>
      </c>
      <c r="P85" s="179">
        <f>VLOOKUP(A85,'OI(Value)'!A85:O303,8,0)</f>
        <v>744</v>
      </c>
      <c r="Q85" s="179">
        <f>VLOOKUP(A85,'OI(Value)'!A85:O303,9,0)</f>
        <v>4</v>
      </c>
      <c r="R85" s="179">
        <f>VLOOKUP(A85,'OI(Value)'!A85:O303,11,0)</f>
        <v>491</v>
      </c>
      <c r="S85" s="179">
        <f>VLOOKUP(A85,'OI(Value)'!A85:O303,11,0)</f>
        <v>491</v>
      </c>
    </row>
    <row r="86" spans="1:19" x14ac:dyDescent="0.25">
      <c r="A86" s="105" t="str">
        <f>'Data Vlaue (Cr)'!C81</f>
        <v>HINDUNILVR</v>
      </c>
      <c r="B86" s="143">
        <f>VLOOKUP($A86,'Data shares'!$C:$FA,118)</f>
        <v>0.72</v>
      </c>
      <c r="C86" s="143">
        <f>VLOOKUP($A86,'Data shares'!$C:$FA,119)</f>
        <v>0.7</v>
      </c>
      <c r="D86" s="143">
        <f>VLOOKUP($A86,'Data shares'!$C:$FA,121)*100</f>
        <v>2.86</v>
      </c>
      <c r="E86" s="143">
        <f>VLOOKUP($A86,'Data shares'!$C:$FA,124)</f>
        <v>0.44</v>
      </c>
      <c r="F86" s="143">
        <f>VLOOKUP($A86,'Data shares'!$C:$FA,125)</f>
        <v>0.37</v>
      </c>
      <c r="G86" s="143">
        <f>VLOOKUP($A86,'Data shares'!$C:$FA,127)*100</f>
        <v>18.920000000000002</v>
      </c>
      <c r="H86" s="103">
        <f>VLOOKUP($A86,'OI(Volume)'!$A$7:$O$440,8)</f>
        <v>5642100</v>
      </c>
      <c r="I86" s="103">
        <f>VLOOKUP($A86,'OI(Volume)'!$A$7:$O$440,9)</f>
        <v>285600</v>
      </c>
      <c r="J86" s="103">
        <f>VLOOKUP($A86,'OI(Volume)'!$A$7:$O$440,11)</f>
        <v>4059900</v>
      </c>
      <c r="K86" s="103">
        <f>VLOOKUP($A86,'OI(Volume)'!$A$7:$O$440,12)</f>
        <v>300900</v>
      </c>
      <c r="L86" s="103">
        <f>VLOOKUP($A86,'OI(Value)'!$A$7:$O$323,8,0)</f>
        <v>1393</v>
      </c>
      <c r="M86" s="103">
        <f>VLOOKUP($A86,'OI(Value)'!$A$7:$O$323,9,0)</f>
        <v>71</v>
      </c>
      <c r="N86" s="103">
        <f>VLOOKUP($A86,'OI(Value)'!$A$7:$O$323,11,0)</f>
        <v>1002</v>
      </c>
      <c r="O86" s="103">
        <f>VLOOKUP($A86,'OI(Value)'!$A$7:$O$323,12,0)</f>
        <v>74</v>
      </c>
      <c r="P86" s="179">
        <f>VLOOKUP(A86,'OI(Value)'!A86:O304,8,0)</f>
        <v>1393</v>
      </c>
      <c r="Q86" s="179">
        <f>VLOOKUP(A86,'OI(Value)'!A86:O304,9,0)</f>
        <v>71</v>
      </c>
      <c r="R86" s="179">
        <f>VLOOKUP(A86,'OI(Value)'!A86:O304,11,0)</f>
        <v>1002</v>
      </c>
      <c r="S86" s="179">
        <f>VLOOKUP(A86,'OI(Value)'!A86:O304,11,0)</f>
        <v>1002</v>
      </c>
    </row>
    <row r="87" spans="1:19" x14ac:dyDescent="0.25">
      <c r="A87" s="105" t="str">
        <f>'Data Vlaue (Cr)'!C82</f>
        <v>HINDZINC</v>
      </c>
      <c r="B87" s="143">
        <f>VLOOKUP($A87,'Data shares'!$C:$FA,118)</f>
        <v>0.55000000000000004</v>
      </c>
      <c r="C87" s="143">
        <f>VLOOKUP($A87,'Data shares'!$C:$FA,119)</f>
        <v>0.54</v>
      </c>
      <c r="D87" s="143">
        <f>VLOOKUP($A87,'Data shares'!$C:$FA,121)*100</f>
        <v>1.8499999999999999</v>
      </c>
      <c r="E87" s="143">
        <f>VLOOKUP($A87,'Data shares'!$C:$FA,124)</f>
        <v>0.45</v>
      </c>
      <c r="F87" s="143">
        <f>VLOOKUP($A87,'Data shares'!$C:$FA,125)</f>
        <v>0.55000000000000004</v>
      </c>
      <c r="G87" s="143">
        <f>VLOOKUP($A87,'Data shares'!$C:$FA,127)*100</f>
        <v>-18.18</v>
      </c>
      <c r="H87" s="103">
        <f>VLOOKUP($A87,'OI(Volume)'!$A$7:$O$440,8)</f>
        <v>67835600</v>
      </c>
      <c r="I87" s="103">
        <f>VLOOKUP($A87,'OI(Volume)'!$A$7:$O$440,9)</f>
        <v>-2219700</v>
      </c>
      <c r="J87" s="103">
        <f>VLOOKUP($A87,'OI(Volume)'!$A$7:$O$440,11)</f>
        <v>37504600</v>
      </c>
      <c r="K87" s="103">
        <f>VLOOKUP($A87,'OI(Volume)'!$A$7:$O$440,12)</f>
        <v>-521850</v>
      </c>
      <c r="L87" s="103">
        <f>VLOOKUP($A87,'OI(Value)'!$A$7:$O$323,8,0)</f>
        <v>4280</v>
      </c>
      <c r="M87" s="103">
        <f>VLOOKUP($A87,'OI(Value)'!$A$7:$O$323,9,0)</f>
        <v>-140</v>
      </c>
      <c r="N87" s="103">
        <f>VLOOKUP($A87,'OI(Value)'!$A$7:$O$323,11,0)</f>
        <v>2366</v>
      </c>
      <c r="O87" s="103">
        <f>VLOOKUP($A87,'OI(Value)'!$A$7:$O$323,12,0)</f>
        <v>-33</v>
      </c>
      <c r="P87" s="179">
        <f>VLOOKUP(A87,'OI(Value)'!A87:O305,8,0)</f>
        <v>4280</v>
      </c>
      <c r="Q87" s="179">
        <f>VLOOKUP(A87,'OI(Value)'!A87:O305,9,0)</f>
        <v>-140</v>
      </c>
      <c r="R87" s="179">
        <f>VLOOKUP(A87,'OI(Value)'!A87:O305,11,0)</f>
        <v>2366</v>
      </c>
      <c r="S87" s="179">
        <f>VLOOKUP(A87,'OI(Value)'!A87:O305,11,0)</f>
        <v>2366</v>
      </c>
    </row>
    <row r="88" spans="1:19" x14ac:dyDescent="0.25">
      <c r="A88" s="105" t="str">
        <f>'Data Vlaue (Cr)'!C83</f>
        <v>HUDCO</v>
      </c>
      <c r="B88" s="143">
        <f>VLOOKUP($A88,'Data shares'!$C:$FA,118)</f>
        <v>0.57999999999999996</v>
      </c>
      <c r="C88" s="143">
        <f>VLOOKUP($A88,'Data shares'!$C:$FA,119)</f>
        <v>0.59</v>
      </c>
      <c r="D88" s="143">
        <f>VLOOKUP($A88,'Data shares'!$C:$FA,121)*100</f>
        <v>-1.69</v>
      </c>
      <c r="E88" s="143">
        <f>VLOOKUP($A88,'Data shares'!$C:$FA,124)</f>
        <v>0.47</v>
      </c>
      <c r="F88" s="143">
        <f>VLOOKUP($A88,'Data shares'!$C:$FA,125)</f>
        <v>0.51</v>
      </c>
      <c r="G88" s="143">
        <f>VLOOKUP($A88,'Data shares'!$C:$FA,127)*100</f>
        <v>-7.84</v>
      </c>
      <c r="H88" s="103">
        <f>VLOOKUP($A88,'OI(Volume)'!$A$7:$O$440,8)</f>
        <v>33871650</v>
      </c>
      <c r="I88" s="103">
        <f>VLOOKUP($A88,'OI(Volume)'!$A$7:$O$440,9)</f>
        <v>163725</v>
      </c>
      <c r="J88" s="103">
        <f>VLOOKUP($A88,'OI(Volume)'!$A$7:$O$440,11)</f>
        <v>19594275</v>
      </c>
      <c r="K88" s="103">
        <f>VLOOKUP($A88,'OI(Volume)'!$A$7:$O$440,12)</f>
        <v>-432900</v>
      </c>
      <c r="L88" s="103">
        <f>VLOOKUP($A88,'OI(Value)'!$A$7:$O$323,8,0)</f>
        <v>657</v>
      </c>
      <c r="M88" s="103">
        <f>VLOOKUP($A88,'OI(Value)'!$A$7:$O$323,9,0)</f>
        <v>3</v>
      </c>
      <c r="N88" s="103">
        <f>VLOOKUP($A88,'OI(Value)'!$A$7:$O$323,11,0)</f>
        <v>380</v>
      </c>
      <c r="O88" s="103">
        <f>VLOOKUP($A88,'OI(Value)'!$A$7:$O$323,12,0)</f>
        <v>-8</v>
      </c>
      <c r="P88" s="179">
        <f>VLOOKUP(A88,'OI(Value)'!A88:O306,8,0)</f>
        <v>657</v>
      </c>
      <c r="Q88" s="179">
        <f>VLOOKUP(A88,'OI(Value)'!A88:O306,9,0)</f>
        <v>3</v>
      </c>
      <c r="R88" s="179">
        <f>VLOOKUP(A88,'OI(Value)'!A88:O306,11,0)</f>
        <v>380</v>
      </c>
      <c r="S88" s="179">
        <f>VLOOKUP(A88,'OI(Value)'!A88:O306,11,0)</f>
        <v>380</v>
      </c>
    </row>
    <row r="89" spans="1:19" x14ac:dyDescent="0.25">
      <c r="A89" s="105" t="str">
        <f>'Data Vlaue (Cr)'!C84</f>
        <v>ICICIBANK</v>
      </c>
      <c r="B89" s="143">
        <f>VLOOKUP($A89,'Data shares'!$C:$FA,118)</f>
        <v>0.65</v>
      </c>
      <c r="C89" s="143">
        <f>VLOOKUP($A89,'Data shares'!$C:$FA,119)</f>
        <v>0.64</v>
      </c>
      <c r="D89" s="143">
        <f>VLOOKUP($A89,'Data shares'!$C:$FA,121)*100</f>
        <v>1.5599999999999998</v>
      </c>
      <c r="E89" s="143">
        <f>VLOOKUP($A89,'Data shares'!$C:$FA,124)</f>
        <v>0.73</v>
      </c>
      <c r="F89" s="143">
        <f>VLOOKUP($A89,'Data shares'!$C:$FA,125)</f>
        <v>0.69</v>
      </c>
      <c r="G89" s="143">
        <f>VLOOKUP($A89,'Data shares'!$C:$FA,127)*100</f>
        <v>5.8000000000000007</v>
      </c>
      <c r="H89" s="103">
        <f>VLOOKUP($A89,'OI(Volume)'!$A$7:$O$440,8)</f>
        <v>36578500</v>
      </c>
      <c r="I89" s="103">
        <f>VLOOKUP($A89,'OI(Volume)'!$A$7:$O$440,9)</f>
        <v>-86800</v>
      </c>
      <c r="J89" s="103">
        <f>VLOOKUP($A89,'OI(Volume)'!$A$7:$O$440,11)</f>
        <v>23844100</v>
      </c>
      <c r="K89" s="103">
        <f>VLOOKUP($A89,'OI(Volume)'!$A$7:$O$440,12)</f>
        <v>336700</v>
      </c>
      <c r="L89" s="103">
        <f>VLOOKUP($A89,'OI(Value)'!$A$7:$O$323,8,0)</f>
        <v>5156</v>
      </c>
      <c r="M89" s="103">
        <f>VLOOKUP($A89,'OI(Value)'!$A$7:$O$323,9,0)</f>
        <v>-12</v>
      </c>
      <c r="N89" s="103">
        <f>VLOOKUP($A89,'OI(Value)'!$A$7:$O$323,11,0)</f>
        <v>3361</v>
      </c>
      <c r="O89" s="103">
        <f>VLOOKUP($A89,'OI(Value)'!$A$7:$O$323,12,0)</f>
        <v>47</v>
      </c>
      <c r="P89" s="179">
        <f>VLOOKUP(A89,'OI(Value)'!A89:O307,8,0)</f>
        <v>5156</v>
      </c>
      <c r="Q89" s="179">
        <f>VLOOKUP(A89,'OI(Value)'!A89:O307,9,0)</f>
        <v>-12</v>
      </c>
      <c r="R89" s="179">
        <f>VLOOKUP(A89,'OI(Value)'!A89:O307,11,0)</f>
        <v>3361</v>
      </c>
      <c r="S89" s="179">
        <f>VLOOKUP(A89,'OI(Value)'!A89:O307,11,0)</f>
        <v>3361</v>
      </c>
    </row>
    <row r="90" spans="1:19" x14ac:dyDescent="0.25">
      <c r="A90" s="105" t="str">
        <f>'Data Vlaue (Cr)'!C85</f>
        <v>ICICIGI</v>
      </c>
      <c r="B90" s="143">
        <f>VLOOKUP($A90,'Data shares'!$C:$FA,118)</f>
        <v>1.05</v>
      </c>
      <c r="C90" s="143">
        <f>VLOOKUP($A90,'Data shares'!$C:$FA,119)</f>
        <v>1.02</v>
      </c>
      <c r="D90" s="143">
        <f>VLOOKUP($A90,'Data shares'!$C:$FA,121)*100</f>
        <v>2.94</v>
      </c>
      <c r="E90" s="143">
        <f>VLOOKUP($A90,'Data shares'!$C:$FA,124)</f>
        <v>0.49</v>
      </c>
      <c r="F90" s="143">
        <f>VLOOKUP($A90,'Data shares'!$C:$FA,125)</f>
        <v>0.57999999999999996</v>
      </c>
      <c r="G90" s="143">
        <f>VLOOKUP($A90,'Data shares'!$C:$FA,127)*100</f>
        <v>-15.52</v>
      </c>
      <c r="H90" s="103">
        <f>VLOOKUP($A90,'OI(Volume)'!$A$7:$O$440,8)</f>
        <v>1077375</v>
      </c>
      <c r="I90" s="103">
        <f>VLOOKUP($A90,'OI(Volume)'!$A$7:$O$440,9)</f>
        <v>41275</v>
      </c>
      <c r="J90" s="103">
        <f>VLOOKUP($A90,'OI(Volume)'!$A$7:$O$440,11)</f>
        <v>1130350</v>
      </c>
      <c r="K90" s="103">
        <f>VLOOKUP($A90,'OI(Volume)'!$A$7:$O$440,12)</f>
        <v>75075</v>
      </c>
      <c r="L90" s="103">
        <f>VLOOKUP($A90,'OI(Value)'!$A$7:$O$323,8,0)</f>
        <v>207</v>
      </c>
      <c r="M90" s="103">
        <f>VLOOKUP($A90,'OI(Value)'!$A$7:$O$323,9,0)</f>
        <v>8</v>
      </c>
      <c r="N90" s="103">
        <f>VLOOKUP($A90,'OI(Value)'!$A$7:$O$323,11,0)</f>
        <v>217</v>
      </c>
      <c r="O90" s="103">
        <f>VLOOKUP($A90,'OI(Value)'!$A$7:$O$323,12,0)</f>
        <v>14</v>
      </c>
      <c r="P90" s="179">
        <f>VLOOKUP(A90,'OI(Value)'!A90:O308,8,0)</f>
        <v>207</v>
      </c>
      <c r="Q90" s="179">
        <f>VLOOKUP(A90,'OI(Value)'!A90:O308,9,0)</f>
        <v>8</v>
      </c>
      <c r="R90" s="179">
        <f>VLOOKUP(A90,'OI(Value)'!A90:O308,11,0)</f>
        <v>217</v>
      </c>
      <c r="S90" s="179">
        <f>VLOOKUP(A90,'OI(Value)'!A90:O308,11,0)</f>
        <v>217</v>
      </c>
    </row>
    <row r="91" spans="1:19" x14ac:dyDescent="0.25">
      <c r="A91" s="105" t="str">
        <f>'Data Vlaue (Cr)'!C86</f>
        <v>ICICIPRULI</v>
      </c>
      <c r="B91" s="143">
        <f>VLOOKUP($A91,'Data shares'!$C:$FA,118)</f>
        <v>0.72</v>
      </c>
      <c r="C91" s="143">
        <f>VLOOKUP($A91,'Data shares'!$C:$FA,119)</f>
        <v>0.73</v>
      </c>
      <c r="D91" s="143">
        <f>VLOOKUP($A91,'Data shares'!$C:$FA,121)*100</f>
        <v>-1.37</v>
      </c>
      <c r="E91" s="143">
        <f>VLOOKUP($A91,'Data shares'!$C:$FA,124)</f>
        <v>0.59</v>
      </c>
      <c r="F91" s="143">
        <f>VLOOKUP($A91,'Data shares'!$C:$FA,125)</f>
        <v>0.84</v>
      </c>
      <c r="G91" s="143">
        <f>VLOOKUP($A91,'Data shares'!$C:$FA,127)*100</f>
        <v>-29.759999999999998</v>
      </c>
      <c r="H91" s="103">
        <f>VLOOKUP($A91,'OI(Volume)'!$A$7:$O$440,8)</f>
        <v>2999775</v>
      </c>
      <c r="I91" s="103">
        <f>VLOOKUP($A91,'OI(Volume)'!$A$7:$O$440,9)</f>
        <v>-107300</v>
      </c>
      <c r="J91" s="103">
        <f>VLOOKUP($A91,'OI(Volume)'!$A$7:$O$440,11)</f>
        <v>2167275</v>
      </c>
      <c r="K91" s="103">
        <f>VLOOKUP($A91,'OI(Volume)'!$A$7:$O$440,12)</f>
        <v>-103600</v>
      </c>
      <c r="L91" s="103">
        <f>VLOOKUP($A91,'OI(Value)'!$A$7:$O$323,8,0)</f>
        <v>193</v>
      </c>
      <c r="M91" s="103">
        <f>VLOOKUP($A91,'OI(Value)'!$A$7:$O$323,9,0)</f>
        <v>-7</v>
      </c>
      <c r="N91" s="103">
        <f>VLOOKUP($A91,'OI(Value)'!$A$7:$O$323,11,0)</f>
        <v>139</v>
      </c>
      <c r="O91" s="103">
        <f>VLOOKUP($A91,'OI(Value)'!$A$7:$O$323,12,0)</f>
        <v>-7</v>
      </c>
      <c r="P91" s="179">
        <f>VLOOKUP(A91,'OI(Value)'!A91:O309,8,0)</f>
        <v>193</v>
      </c>
      <c r="Q91" s="179">
        <f>VLOOKUP(A91,'OI(Value)'!A91:O309,9,0)</f>
        <v>-7</v>
      </c>
      <c r="R91" s="179">
        <f>VLOOKUP(A91,'OI(Value)'!A91:O309,11,0)</f>
        <v>139</v>
      </c>
      <c r="S91" s="179">
        <f>VLOOKUP(A91,'OI(Value)'!A91:O309,11,0)</f>
        <v>139</v>
      </c>
    </row>
    <row r="92" spans="1:19" x14ac:dyDescent="0.25">
      <c r="A92" s="105" t="str">
        <f>'Data Vlaue (Cr)'!C87</f>
        <v>IDEA</v>
      </c>
      <c r="B92" s="143">
        <f>VLOOKUP($A92,'Data shares'!$C:$FA,118)</f>
        <v>0.62</v>
      </c>
      <c r="C92" s="143">
        <f>VLOOKUP($A92,'Data shares'!$C:$FA,119)</f>
        <v>0.61</v>
      </c>
      <c r="D92" s="143">
        <f>VLOOKUP($A92,'Data shares'!$C:$FA,121)*100</f>
        <v>1.6400000000000001</v>
      </c>
      <c r="E92" s="143">
        <f>VLOOKUP($A92,'Data shares'!$C:$FA,124)</f>
        <v>0.44</v>
      </c>
      <c r="F92" s="143">
        <f>VLOOKUP($A92,'Data shares'!$C:$FA,125)</f>
        <v>0.46</v>
      </c>
      <c r="G92" s="143">
        <f>VLOOKUP($A92,'Data shares'!$C:$FA,127)*100</f>
        <v>-4.3499999999999996</v>
      </c>
      <c r="H92" s="103">
        <f>VLOOKUP($A92,'OI(Volume)'!$A$7:$O$440,8)</f>
        <v>1717401300</v>
      </c>
      <c r="I92" s="103">
        <f>VLOOKUP($A92,'OI(Volume)'!$A$7:$O$440,9)</f>
        <v>12079275</v>
      </c>
      <c r="J92" s="103">
        <f>VLOOKUP($A92,'OI(Volume)'!$A$7:$O$440,11)</f>
        <v>1071195825</v>
      </c>
      <c r="K92" s="103">
        <f>VLOOKUP($A92,'OI(Volume)'!$A$7:$O$440,12)</f>
        <v>23801175</v>
      </c>
      <c r="L92" s="103">
        <f>VLOOKUP($A92,'OI(Value)'!$A$7:$O$323,8,0)</f>
        <v>2035</v>
      </c>
      <c r="M92" s="103">
        <f>VLOOKUP($A92,'OI(Value)'!$A$7:$O$323,9,0)</f>
        <v>14</v>
      </c>
      <c r="N92" s="103">
        <f>VLOOKUP($A92,'OI(Value)'!$A$7:$O$323,11,0)</f>
        <v>1269</v>
      </c>
      <c r="O92" s="103">
        <f>VLOOKUP($A92,'OI(Value)'!$A$7:$O$323,12,0)</f>
        <v>28</v>
      </c>
      <c r="P92" s="179">
        <f>VLOOKUP(A92,'OI(Value)'!A92:O310,8,0)</f>
        <v>2035</v>
      </c>
      <c r="Q92" s="179">
        <f>VLOOKUP(A92,'OI(Value)'!A92:O310,9,0)</f>
        <v>14</v>
      </c>
      <c r="R92" s="179">
        <f>VLOOKUP(A92,'OI(Value)'!A92:O310,11,0)</f>
        <v>1269</v>
      </c>
      <c r="S92" s="179">
        <f>VLOOKUP(A92,'OI(Value)'!A92:O310,11,0)</f>
        <v>1269</v>
      </c>
    </row>
    <row r="93" spans="1:19" x14ac:dyDescent="0.25">
      <c r="A93" s="105" t="str">
        <f>'Data Vlaue (Cr)'!C88</f>
        <v>IDFCFIRSTB</v>
      </c>
      <c r="B93" s="143">
        <f>VLOOKUP($A93,'Data shares'!$C:$FA,118)</f>
        <v>0.68</v>
      </c>
      <c r="C93" s="143">
        <f>VLOOKUP($A93,'Data shares'!$C:$FA,119)</f>
        <v>0.71</v>
      </c>
      <c r="D93" s="143">
        <f>VLOOKUP($A93,'Data shares'!$C:$FA,121)*100</f>
        <v>-4.2299999999999995</v>
      </c>
      <c r="E93" s="143">
        <f>VLOOKUP($A93,'Data shares'!$C:$FA,124)</f>
        <v>0.57999999999999996</v>
      </c>
      <c r="F93" s="143">
        <f>VLOOKUP($A93,'Data shares'!$C:$FA,125)</f>
        <v>0.4</v>
      </c>
      <c r="G93" s="143">
        <f>VLOOKUP($A93,'Data shares'!$C:$FA,127)*100</f>
        <v>45</v>
      </c>
      <c r="H93" s="103">
        <f>VLOOKUP($A93,'OI(Volume)'!$A$7:$O$440,8)</f>
        <v>143252375</v>
      </c>
      <c r="I93" s="103">
        <f>VLOOKUP($A93,'OI(Volume)'!$A$7:$O$440,9)</f>
        <v>11120725</v>
      </c>
      <c r="J93" s="103">
        <f>VLOOKUP($A93,'OI(Volume)'!$A$7:$O$440,11)</f>
        <v>98046025</v>
      </c>
      <c r="K93" s="103">
        <f>VLOOKUP($A93,'OI(Volume)'!$A$7:$O$440,12)</f>
        <v>4090275</v>
      </c>
      <c r="L93" s="103">
        <f>VLOOKUP($A93,'OI(Value)'!$A$7:$O$323,8,0)</f>
        <v>1185</v>
      </c>
      <c r="M93" s="103">
        <f>VLOOKUP($A93,'OI(Value)'!$A$7:$O$323,9,0)</f>
        <v>92</v>
      </c>
      <c r="N93" s="103">
        <f>VLOOKUP($A93,'OI(Value)'!$A$7:$O$323,11,0)</f>
        <v>811</v>
      </c>
      <c r="O93" s="103">
        <f>VLOOKUP($A93,'OI(Value)'!$A$7:$O$323,12,0)</f>
        <v>34</v>
      </c>
      <c r="P93" s="179">
        <f>VLOOKUP(A93,'OI(Value)'!A93:O311,8,0)</f>
        <v>1185</v>
      </c>
      <c r="Q93" s="179">
        <f>VLOOKUP(A93,'OI(Value)'!A93:O311,9,0)</f>
        <v>92</v>
      </c>
      <c r="R93" s="179">
        <f>VLOOKUP(A93,'OI(Value)'!A93:O311,11,0)</f>
        <v>811</v>
      </c>
      <c r="S93" s="179">
        <f>VLOOKUP(A93,'OI(Value)'!A93:O311,11,0)</f>
        <v>811</v>
      </c>
    </row>
    <row r="94" spans="1:19" x14ac:dyDescent="0.25">
      <c r="A94" s="105" t="str">
        <f>'Data Vlaue (Cr)'!C89</f>
        <v>IEX</v>
      </c>
      <c r="B94" s="143">
        <f>VLOOKUP($A94,'Data shares'!$C:$FA,118)</f>
        <v>0.67</v>
      </c>
      <c r="C94" s="143">
        <f>VLOOKUP($A94,'Data shares'!$C:$FA,119)</f>
        <v>0.69</v>
      </c>
      <c r="D94" s="143">
        <f>VLOOKUP($A94,'Data shares'!$C:$FA,121)*100</f>
        <v>-2.9000000000000004</v>
      </c>
      <c r="E94" s="143">
        <f>VLOOKUP($A94,'Data shares'!$C:$FA,124)</f>
        <v>0.28999999999999998</v>
      </c>
      <c r="F94" s="143">
        <f>VLOOKUP($A94,'Data shares'!$C:$FA,125)</f>
        <v>0.41</v>
      </c>
      <c r="G94" s="143">
        <f>VLOOKUP($A94,'Data shares'!$C:$FA,127)*100</f>
        <v>-29.270000000000003</v>
      </c>
      <c r="H94" s="103">
        <f>VLOOKUP($A94,'OI(Volume)'!$A$7:$O$440,8)</f>
        <v>71156250</v>
      </c>
      <c r="I94" s="103">
        <f>VLOOKUP($A94,'OI(Volume)'!$A$7:$O$440,9)</f>
        <v>2317500</v>
      </c>
      <c r="J94" s="103">
        <f>VLOOKUP($A94,'OI(Volume)'!$A$7:$O$440,11)</f>
        <v>48022500</v>
      </c>
      <c r="K94" s="103">
        <f>VLOOKUP($A94,'OI(Volume)'!$A$7:$O$440,12)</f>
        <v>412500</v>
      </c>
      <c r="L94" s="103">
        <f>VLOOKUP($A94,'OI(Value)'!$A$7:$O$323,8,0)</f>
        <v>908</v>
      </c>
      <c r="M94" s="103">
        <f>VLOOKUP($A94,'OI(Value)'!$A$7:$O$323,9,0)</f>
        <v>30</v>
      </c>
      <c r="N94" s="103">
        <f>VLOOKUP($A94,'OI(Value)'!$A$7:$O$323,11,0)</f>
        <v>613</v>
      </c>
      <c r="O94" s="103">
        <f>VLOOKUP($A94,'OI(Value)'!$A$7:$O$323,12,0)</f>
        <v>5</v>
      </c>
      <c r="P94" s="179">
        <f>VLOOKUP(A94,'OI(Value)'!A94:O312,8,0)</f>
        <v>908</v>
      </c>
      <c r="Q94" s="179">
        <f>VLOOKUP(A94,'OI(Value)'!A94:O312,9,0)</f>
        <v>30</v>
      </c>
      <c r="R94" s="179">
        <f>VLOOKUP(A94,'OI(Value)'!A94:O312,11,0)</f>
        <v>613</v>
      </c>
      <c r="S94" s="179">
        <f>VLOOKUP(A94,'OI(Value)'!A94:O312,11,0)</f>
        <v>613</v>
      </c>
    </row>
    <row r="95" spans="1:19" x14ac:dyDescent="0.25">
      <c r="A95" s="105" t="str">
        <f>'Data Vlaue (Cr)'!C90</f>
        <v>INDHOTEL</v>
      </c>
      <c r="B95" s="143">
        <f>VLOOKUP($A95,'Data shares'!$C:$FA,118)</f>
        <v>0.78</v>
      </c>
      <c r="C95" s="143">
        <f>VLOOKUP($A95,'Data shares'!$C:$FA,119)</f>
        <v>0.84</v>
      </c>
      <c r="D95" s="143">
        <f>VLOOKUP($A95,'Data shares'!$C:$FA,121)*100</f>
        <v>-7.1400000000000006</v>
      </c>
      <c r="E95" s="143">
        <f>VLOOKUP($A95,'Data shares'!$C:$FA,124)</f>
        <v>0.3</v>
      </c>
      <c r="F95" s="143">
        <f>VLOOKUP($A95,'Data shares'!$C:$FA,125)</f>
        <v>0.28000000000000003</v>
      </c>
      <c r="G95" s="143">
        <f>VLOOKUP($A95,'Data shares'!$C:$FA,127)*100</f>
        <v>7.1400000000000006</v>
      </c>
      <c r="H95" s="103">
        <f>VLOOKUP($A95,'OI(Volume)'!$A$7:$O$440,8)</f>
        <v>10390000</v>
      </c>
      <c r="I95" s="103">
        <f>VLOOKUP($A95,'OI(Volume)'!$A$7:$O$440,9)</f>
        <v>1512000</v>
      </c>
      <c r="J95" s="103">
        <f>VLOOKUP($A95,'OI(Volume)'!$A$7:$O$440,11)</f>
        <v>8113000</v>
      </c>
      <c r="K95" s="103">
        <f>VLOOKUP($A95,'OI(Volume)'!$A$7:$O$440,12)</f>
        <v>615000</v>
      </c>
      <c r="L95" s="103">
        <f>VLOOKUP($A95,'OI(Value)'!$A$7:$O$323,8,0)</f>
        <v>736</v>
      </c>
      <c r="M95" s="103">
        <f>VLOOKUP($A95,'OI(Value)'!$A$7:$O$323,9,0)</f>
        <v>107</v>
      </c>
      <c r="N95" s="103">
        <f>VLOOKUP($A95,'OI(Value)'!$A$7:$O$323,11,0)</f>
        <v>575</v>
      </c>
      <c r="O95" s="103">
        <f>VLOOKUP($A95,'OI(Value)'!$A$7:$O$323,12,0)</f>
        <v>44</v>
      </c>
      <c r="P95" s="179">
        <f>VLOOKUP(A95,'OI(Value)'!A95:O313,8,0)</f>
        <v>736</v>
      </c>
      <c r="Q95" s="179">
        <f>VLOOKUP(A95,'OI(Value)'!A95:O313,9,0)</f>
        <v>107</v>
      </c>
      <c r="R95" s="179">
        <f>VLOOKUP(A95,'OI(Value)'!A95:O313,11,0)</f>
        <v>575</v>
      </c>
      <c r="S95" s="179">
        <f>VLOOKUP(A95,'OI(Value)'!A95:O313,11,0)</f>
        <v>575</v>
      </c>
    </row>
    <row r="96" spans="1:19" x14ac:dyDescent="0.25">
      <c r="A96" s="105" t="str">
        <f>'Data Vlaue (Cr)'!C91</f>
        <v>INDIANB</v>
      </c>
      <c r="B96" s="143">
        <f>VLOOKUP($A96,'Data shares'!$C:$FA,118)</f>
        <v>0.69</v>
      </c>
      <c r="C96" s="143">
        <f>VLOOKUP($A96,'Data shares'!$C:$FA,119)</f>
        <v>0.64</v>
      </c>
      <c r="D96" s="143">
        <f>VLOOKUP($A96,'Data shares'!$C:$FA,121)*100</f>
        <v>7.8100000000000005</v>
      </c>
      <c r="E96" s="143">
        <f>VLOOKUP($A96,'Data shares'!$C:$FA,124)</f>
        <v>0.62</v>
      </c>
      <c r="F96" s="143">
        <f>VLOOKUP($A96,'Data shares'!$C:$FA,125)</f>
        <v>0.42</v>
      </c>
      <c r="G96" s="143">
        <f>VLOOKUP($A96,'Data shares'!$C:$FA,127)*100</f>
        <v>47.620000000000005</v>
      </c>
      <c r="H96" s="103">
        <f>VLOOKUP($A96,'OI(Volume)'!$A$7:$O$440,8)</f>
        <v>5722000</v>
      </c>
      <c r="I96" s="103">
        <f>VLOOKUP($A96,'OI(Volume)'!$A$7:$O$440,9)</f>
        <v>-162000</v>
      </c>
      <c r="J96" s="103">
        <f>VLOOKUP($A96,'OI(Volume)'!$A$7:$O$440,11)</f>
        <v>3941000</v>
      </c>
      <c r="K96" s="103">
        <f>VLOOKUP($A96,'OI(Volume)'!$A$7:$O$440,12)</f>
        <v>160000</v>
      </c>
      <c r="L96" s="103">
        <f>VLOOKUP($A96,'OI(Value)'!$A$7:$O$323,8,0)</f>
        <v>515</v>
      </c>
      <c r="M96" s="103">
        <f>VLOOKUP($A96,'OI(Value)'!$A$7:$O$323,9,0)</f>
        <v>-15</v>
      </c>
      <c r="N96" s="103">
        <f>VLOOKUP($A96,'OI(Value)'!$A$7:$O$323,11,0)</f>
        <v>355</v>
      </c>
      <c r="O96" s="103">
        <f>VLOOKUP($A96,'OI(Value)'!$A$7:$O$323,12,0)</f>
        <v>14</v>
      </c>
      <c r="P96" s="179">
        <f>VLOOKUP(A96,'OI(Value)'!A96:O314,8,0)</f>
        <v>515</v>
      </c>
      <c r="Q96" s="179">
        <f>VLOOKUP(A96,'OI(Value)'!A96:O314,9,0)</f>
        <v>-15</v>
      </c>
      <c r="R96" s="179">
        <f>VLOOKUP(A96,'OI(Value)'!A96:O314,11,0)</f>
        <v>355</v>
      </c>
      <c r="S96" s="179">
        <f>VLOOKUP(A96,'OI(Value)'!A96:O314,11,0)</f>
        <v>355</v>
      </c>
    </row>
    <row r="97" spans="1:19" x14ac:dyDescent="0.25">
      <c r="A97" s="105" t="str">
        <f>'Data Vlaue (Cr)'!C92</f>
        <v>INDIAVIX</v>
      </c>
      <c r="B97" s="143">
        <f>VLOOKUP($A97,'Data shares'!$C:$FA,118)</f>
        <v>0</v>
      </c>
      <c r="C97" s="143">
        <f>VLOOKUP($A97,'Data shares'!$C:$FA,119)</f>
        <v>0</v>
      </c>
      <c r="D97" s="143">
        <f>VLOOKUP($A97,'Data shares'!$C:$FA,121)*100</f>
        <v>0</v>
      </c>
      <c r="E97" s="143">
        <f>VLOOKUP($A97,'Data shares'!$C:$FA,124)</f>
        <v>0</v>
      </c>
      <c r="F97" s="143">
        <f>VLOOKUP($A97,'Data shares'!$C:$FA,125)</f>
        <v>0</v>
      </c>
      <c r="G97" s="143">
        <f>VLOOKUP($A97,'Data shares'!$C:$FA,127)*100</f>
        <v>0</v>
      </c>
      <c r="H97" s="103">
        <f>VLOOKUP($A97,'OI(Volume)'!$A$7:$O$440,8)</f>
        <v>0</v>
      </c>
      <c r="I97" s="103">
        <f>VLOOKUP($A97,'OI(Volume)'!$A$7:$O$440,9)</f>
        <v>0</v>
      </c>
      <c r="J97" s="103">
        <f>VLOOKUP($A97,'OI(Volume)'!$A$7:$O$440,11)</f>
        <v>0</v>
      </c>
      <c r="K97" s="103">
        <f>VLOOKUP($A97,'OI(Volume)'!$A$7:$O$440,12)</f>
        <v>0</v>
      </c>
      <c r="L97" s="103">
        <f>VLOOKUP($A97,'OI(Value)'!$A$7:$O$323,8,0)</f>
        <v>0</v>
      </c>
      <c r="M97" s="103">
        <f>VLOOKUP($A97,'OI(Value)'!$A$7:$O$323,9,0)</f>
        <v>0</v>
      </c>
      <c r="N97" s="103">
        <f>VLOOKUP($A97,'OI(Value)'!$A$7:$O$323,11,0)</f>
        <v>0</v>
      </c>
      <c r="O97" s="103">
        <f>VLOOKUP($A97,'OI(Value)'!$A$7:$O$323,12,0)</f>
        <v>0</v>
      </c>
      <c r="P97" s="179">
        <f>VLOOKUP(A97,'OI(Value)'!A97:O315,8,0)</f>
        <v>0</v>
      </c>
      <c r="Q97" s="179">
        <f>VLOOKUP(A97,'OI(Value)'!A97:O315,9,0)</f>
        <v>0</v>
      </c>
      <c r="R97" s="179">
        <f>VLOOKUP(A97,'OI(Value)'!A97:O315,11,0)</f>
        <v>0</v>
      </c>
      <c r="S97" s="179">
        <f>VLOOKUP(A97,'OI(Value)'!A97:O315,11,0)</f>
        <v>0</v>
      </c>
    </row>
    <row r="98" spans="1:19" x14ac:dyDescent="0.25">
      <c r="A98" s="105" t="str">
        <f>'Data Vlaue (Cr)'!C93</f>
        <v>INDIGO</v>
      </c>
      <c r="B98" s="143">
        <f>VLOOKUP($A98,'Data shares'!$C:$FA,118)</f>
        <v>0.85</v>
      </c>
      <c r="C98" s="143">
        <f>VLOOKUP($A98,'Data shares'!$C:$FA,119)</f>
        <v>0.86</v>
      </c>
      <c r="D98" s="143">
        <f>VLOOKUP($A98,'Data shares'!$C:$FA,121)*100</f>
        <v>-1.1599999999999999</v>
      </c>
      <c r="E98" s="143">
        <f>VLOOKUP($A98,'Data shares'!$C:$FA,124)</f>
        <v>0.47</v>
      </c>
      <c r="F98" s="143">
        <f>VLOOKUP($A98,'Data shares'!$C:$FA,125)</f>
        <v>0.72</v>
      </c>
      <c r="G98" s="143">
        <f>VLOOKUP($A98,'Data shares'!$C:$FA,127)*100</f>
        <v>-34.72</v>
      </c>
      <c r="H98" s="103">
        <f>VLOOKUP($A98,'OI(Volume)'!$A$7:$O$440,8)</f>
        <v>3189900</v>
      </c>
      <c r="I98" s="103">
        <f>VLOOKUP($A98,'OI(Volume)'!$A$7:$O$440,9)</f>
        <v>191700</v>
      </c>
      <c r="J98" s="103">
        <f>VLOOKUP($A98,'OI(Volume)'!$A$7:$O$440,11)</f>
        <v>2721750</v>
      </c>
      <c r="K98" s="103">
        <f>VLOOKUP($A98,'OI(Volume)'!$A$7:$O$440,12)</f>
        <v>139050</v>
      </c>
      <c r="L98" s="103">
        <f>VLOOKUP($A98,'OI(Value)'!$A$7:$O$323,8,0)</f>
        <v>1601</v>
      </c>
      <c r="M98" s="103">
        <f>VLOOKUP($A98,'OI(Value)'!$A$7:$O$323,9,0)</f>
        <v>96</v>
      </c>
      <c r="N98" s="103">
        <f>VLOOKUP($A98,'OI(Value)'!$A$7:$O$323,11,0)</f>
        <v>1366</v>
      </c>
      <c r="O98" s="103">
        <f>VLOOKUP($A98,'OI(Value)'!$A$7:$O$323,12,0)</f>
        <v>70</v>
      </c>
      <c r="P98" s="179">
        <f>VLOOKUP(A98,'OI(Value)'!A98:O316,8,0)</f>
        <v>1601</v>
      </c>
      <c r="Q98" s="179">
        <f>VLOOKUP(A98,'OI(Value)'!A98:O316,9,0)</f>
        <v>96</v>
      </c>
      <c r="R98" s="179">
        <f>VLOOKUP(A98,'OI(Value)'!A98:O316,11,0)</f>
        <v>1366</v>
      </c>
      <c r="S98" s="179">
        <f>VLOOKUP(A98,'OI(Value)'!A98:O316,11,0)</f>
        <v>1366</v>
      </c>
    </row>
    <row r="99" spans="1:19" x14ac:dyDescent="0.25">
      <c r="A99" s="105" t="str">
        <f>'Data Vlaue (Cr)'!C94</f>
        <v>INDUSINDBK</v>
      </c>
      <c r="B99" s="143">
        <f>VLOOKUP($A99,'Data shares'!$C:$FA,118)</f>
        <v>0.72</v>
      </c>
      <c r="C99" s="143">
        <f>VLOOKUP($A99,'Data shares'!$C:$FA,119)</f>
        <v>0.72</v>
      </c>
      <c r="D99" s="143">
        <f>VLOOKUP($A99,'Data shares'!$C:$FA,121)*100</f>
        <v>0</v>
      </c>
      <c r="E99" s="143">
        <f>VLOOKUP($A99,'Data shares'!$C:$FA,124)</f>
        <v>0.49</v>
      </c>
      <c r="F99" s="143">
        <f>VLOOKUP($A99,'Data shares'!$C:$FA,125)</f>
        <v>0.54</v>
      </c>
      <c r="G99" s="143">
        <f>VLOOKUP($A99,'Data shares'!$C:$FA,127)*100</f>
        <v>-9.26</v>
      </c>
      <c r="H99" s="103">
        <f>VLOOKUP($A99,'OI(Volume)'!$A$7:$O$440,8)</f>
        <v>9187500</v>
      </c>
      <c r="I99" s="103">
        <f>VLOOKUP($A99,'OI(Volume)'!$A$7:$O$440,9)</f>
        <v>-161000</v>
      </c>
      <c r="J99" s="103">
        <f>VLOOKUP($A99,'OI(Volume)'!$A$7:$O$440,11)</f>
        <v>6609400</v>
      </c>
      <c r="K99" s="103">
        <f>VLOOKUP($A99,'OI(Volume)'!$A$7:$O$440,12)</f>
        <v>-137900</v>
      </c>
      <c r="L99" s="103">
        <f>VLOOKUP($A99,'OI(Value)'!$A$7:$O$323,8,0)</f>
        <v>848</v>
      </c>
      <c r="M99" s="103">
        <f>VLOOKUP($A99,'OI(Value)'!$A$7:$O$323,9,0)</f>
        <v>-15</v>
      </c>
      <c r="N99" s="103">
        <f>VLOOKUP($A99,'OI(Value)'!$A$7:$O$323,11,0)</f>
        <v>610</v>
      </c>
      <c r="O99" s="103">
        <f>VLOOKUP($A99,'OI(Value)'!$A$7:$O$323,12,0)</f>
        <v>-13</v>
      </c>
      <c r="P99" s="179">
        <f>VLOOKUP(A99,'OI(Value)'!A99:O317,8,0)</f>
        <v>848</v>
      </c>
      <c r="Q99" s="179">
        <f>VLOOKUP(A99,'OI(Value)'!A99:O317,9,0)</f>
        <v>-15</v>
      </c>
      <c r="R99" s="179">
        <f>VLOOKUP(A99,'OI(Value)'!A99:O317,11,0)</f>
        <v>610</v>
      </c>
      <c r="S99" s="179">
        <f>VLOOKUP(A99,'OI(Value)'!A99:O317,11,0)</f>
        <v>610</v>
      </c>
    </row>
    <row r="100" spans="1:19" x14ac:dyDescent="0.25">
      <c r="A100" s="105" t="str">
        <f>'Data Vlaue (Cr)'!C95</f>
        <v>INDUSTOWER</v>
      </c>
      <c r="B100" s="143">
        <f>VLOOKUP($A100,'Data shares'!$C:$FA,118)</f>
        <v>0.69</v>
      </c>
      <c r="C100" s="143">
        <f>VLOOKUP($A100,'Data shares'!$C:$FA,119)</f>
        <v>0.6</v>
      </c>
      <c r="D100" s="143">
        <f>VLOOKUP($A100,'Data shares'!$C:$FA,121)*100</f>
        <v>15</v>
      </c>
      <c r="E100" s="143">
        <f>VLOOKUP($A100,'Data shares'!$C:$FA,124)</f>
        <v>0.41</v>
      </c>
      <c r="F100" s="143">
        <f>VLOOKUP($A100,'Data shares'!$C:$FA,125)</f>
        <v>0.41</v>
      </c>
      <c r="G100" s="143">
        <f>VLOOKUP($A100,'Data shares'!$C:$FA,127)*100</f>
        <v>0</v>
      </c>
      <c r="H100" s="103">
        <f>VLOOKUP($A100,'OI(Volume)'!$A$7:$O$440,8)</f>
        <v>21610400</v>
      </c>
      <c r="I100" s="103">
        <f>VLOOKUP($A100,'OI(Volume)'!$A$7:$O$440,9)</f>
        <v>2371500</v>
      </c>
      <c r="J100" s="103">
        <f>VLOOKUP($A100,'OI(Volume)'!$A$7:$O$440,11)</f>
        <v>14937900</v>
      </c>
      <c r="K100" s="103">
        <f>VLOOKUP($A100,'OI(Volume)'!$A$7:$O$440,12)</f>
        <v>3466300</v>
      </c>
      <c r="L100" s="103">
        <f>VLOOKUP($A100,'OI(Value)'!$A$7:$O$323,8,0)</f>
        <v>1012</v>
      </c>
      <c r="M100" s="103">
        <f>VLOOKUP($A100,'OI(Value)'!$A$7:$O$323,9,0)</f>
        <v>111</v>
      </c>
      <c r="N100" s="103">
        <f>VLOOKUP($A100,'OI(Value)'!$A$7:$O$323,11,0)</f>
        <v>699</v>
      </c>
      <c r="O100" s="103">
        <f>VLOOKUP($A100,'OI(Value)'!$A$7:$O$323,12,0)</f>
        <v>162</v>
      </c>
      <c r="P100" s="179">
        <f>VLOOKUP(A100,'OI(Value)'!A100:O318,8,0)</f>
        <v>1012</v>
      </c>
      <c r="Q100" s="179">
        <f>VLOOKUP(A100,'OI(Value)'!A100:O318,9,0)</f>
        <v>111</v>
      </c>
      <c r="R100" s="179">
        <f>VLOOKUP(A100,'OI(Value)'!A100:O318,11,0)</f>
        <v>699</v>
      </c>
      <c r="S100" s="179">
        <f>VLOOKUP(A100,'OI(Value)'!A100:O318,11,0)</f>
        <v>699</v>
      </c>
    </row>
    <row r="101" spans="1:19" x14ac:dyDescent="0.25">
      <c r="A101" s="105" t="str">
        <f>'Data Vlaue (Cr)'!C96</f>
        <v>INFY</v>
      </c>
      <c r="B101" s="143">
        <f>VLOOKUP($A101,'Data shares'!$C:$FA,118)</f>
        <v>0.44</v>
      </c>
      <c r="C101" s="143">
        <f>VLOOKUP($A101,'Data shares'!$C:$FA,119)</f>
        <v>0.45</v>
      </c>
      <c r="D101" s="143">
        <f>VLOOKUP($A101,'Data shares'!$C:$FA,121)*100</f>
        <v>-2.2200000000000002</v>
      </c>
      <c r="E101" s="143">
        <f>VLOOKUP($A101,'Data shares'!$C:$FA,124)</f>
        <v>0.57999999999999996</v>
      </c>
      <c r="F101" s="143">
        <f>VLOOKUP($A101,'Data shares'!$C:$FA,125)</f>
        <v>0.51</v>
      </c>
      <c r="G101" s="143">
        <f>VLOOKUP($A101,'Data shares'!$C:$FA,127)*100</f>
        <v>13.73</v>
      </c>
      <c r="H101" s="103">
        <f>VLOOKUP($A101,'OI(Volume)'!$A$7:$O$440,8)</f>
        <v>51607200</v>
      </c>
      <c r="I101" s="103">
        <f>VLOOKUP($A101,'OI(Volume)'!$A$7:$O$440,9)</f>
        <v>2198800</v>
      </c>
      <c r="J101" s="103">
        <f>VLOOKUP($A101,'OI(Volume)'!$A$7:$O$440,11)</f>
        <v>22626000</v>
      </c>
      <c r="K101" s="103">
        <f>VLOOKUP($A101,'OI(Volume)'!$A$7:$O$440,12)</f>
        <v>319600</v>
      </c>
      <c r="L101" s="103">
        <f>VLOOKUP($A101,'OI(Value)'!$A$7:$O$323,8,0)</f>
        <v>7599</v>
      </c>
      <c r="M101" s="103">
        <f>VLOOKUP($A101,'OI(Value)'!$A$7:$O$323,9,0)</f>
        <v>324</v>
      </c>
      <c r="N101" s="103">
        <f>VLOOKUP($A101,'OI(Value)'!$A$7:$O$323,11,0)</f>
        <v>3331</v>
      </c>
      <c r="O101" s="103">
        <f>VLOOKUP($A101,'OI(Value)'!$A$7:$O$323,12,0)</f>
        <v>47</v>
      </c>
      <c r="P101" s="179">
        <f>VLOOKUP(A101,'OI(Value)'!A101:O319,8,0)</f>
        <v>7599</v>
      </c>
      <c r="Q101" s="179">
        <f>VLOOKUP(A101,'OI(Value)'!A101:O319,9,0)</f>
        <v>324</v>
      </c>
      <c r="R101" s="179">
        <f>VLOOKUP(A101,'OI(Value)'!A101:O319,11,0)</f>
        <v>3331</v>
      </c>
      <c r="S101" s="179">
        <f>VLOOKUP(A101,'OI(Value)'!A101:O319,11,0)</f>
        <v>3331</v>
      </c>
    </row>
    <row r="102" spans="1:19" x14ac:dyDescent="0.25">
      <c r="A102" s="105" t="str">
        <f>'Data Vlaue (Cr)'!C97</f>
        <v>INOXWIND</v>
      </c>
      <c r="B102" s="143">
        <f>VLOOKUP($A102,'Data shares'!$C:$FA,118)</f>
        <v>0.68</v>
      </c>
      <c r="C102" s="143">
        <f>VLOOKUP($A102,'Data shares'!$C:$FA,119)</f>
        <v>0.76</v>
      </c>
      <c r="D102" s="143">
        <f>VLOOKUP($A102,'Data shares'!$C:$FA,121)*100</f>
        <v>-10.530000000000001</v>
      </c>
      <c r="E102" s="143">
        <f>VLOOKUP($A102,'Data shares'!$C:$FA,124)</f>
        <v>0.28000000000000003</v>
      </c>
      <c r="F102" s="143">
        <f>VLOOKUP($A102,'Data shares'!$C:$FA,125)</f>
        <v>0.3</v>
      </c>
      <c r="G102" s="143">
        <f>VLOOKUP($A102,'Data shares'!$C:$FA,127)*100</f>
        <v>-6.67</v>
      </c>
      <c r="H102" s="103">
        <f>VLOOKUP($A102,'OI(Volume)'!$A$7:$O$440,8)</f>
        <v>28621450</v>
      </c>
      <c r="I102" s="103">
        <f>VLOOKUP($A102,'OI(Volume)'!$A$7:$O$440,9)</f>
        <v>3235375</v>
      </c>
      <c r="J102" s="103">
        <f>VLOOKUP($A102,'OI(Volume)'!$A$7:$O$440,11)</f>
        <v>19376500</v>
      </c>
      <c r="K102" s="103">
        <f>VLOOKUP($A102,'OI(Volume)'!$A$7:$O$440,12)</f>
        <v>132275</v>
      </c>
      <c r="L102" s="103">
        <f>VLOOKUP($A102,'OI(Value)'!$A$7:$O$323,8,0)</f>
        <v>317</v>
      </c>
      <c r="M102" s="103">
        <f>VLOOKUP($A102,'OI(Value)'!$A$7:$O$323,9,0)</f>
        <v>36</v>
      </c>
      <c r="N102" s="103">
        <f>VLOOKUP($A102,'OI(Value)'!$A$7:$O$323,11,0)</f>
        <v>214</v>
      </c>
      <c r="O102" s="103">
        <f>VLOOKUP($A102,'OI(Value)'!$A$7:$O$323,12,0)</f>
        <v>1</v>
      </c>
      <c r="P102" s="179">
        <f>VLOOKUP(A102,'OI(Value)'!A102:O320,8,0)</f>
        <v>317</v>
      </c>
      <c r="Q102" s="179">
        <f>VLOOKUP(A102,'OI(Value)'!A102:O320,9,0)</f>
        <v>36</v>
      </c>
      <c r="R102" s="179">
        <f>VLOOKUP(A102,'OI(Value)'!A102:O320,11,0)</f>
        <v>214</v>
      </c>
      <c r="S102" s="179">
        <f>VLOOKUP(A102,'OI(Value)'!A102:O320,11,0)</f>
        <v>214</v>
      </c>
    </row>
    <row r="103" spans="1:19" x14ac:dyDescent="0.25">
      <c r="A103" s="105" t="str">
        <f>'Data Vlaue (Cr)'!C98</f>
        <v>IOC</v>
      </c>
      <c r="B103" s="143">
        <f>VLOOKUP($A103,'Data shares'!$C:$FA,118)</f>
        <v>0.74</v>
      </c>
      <c r="C103" s="143">
        <f>VLOOKUP($A103,'Data shares'!$C:$FA,119)</f>
        <v>0.66</v>
      </c>
      <c r="D103" s="143">
        <f>VLOOKUP($A103,'Data shares'!$C:$FA,121)*100</f>
        <v>12.120000000000001</v>
      </c>
      <c r="E103" s="143">
        <f>VLOOKUP($A103,'Data shares'!$C:$FA,124)</f>
        <v>0.54</v>
      </c>
      <c r="F103" s="143">
        <f>VLOOKUP($A103,'Data shares'!$C:$FA,125)</f>
        <v>0.64</v>
      </c>
      <c r="G103" s="143">
        <f>VLOOKUP($A103,'Data shares'!$C:$FA,127)*100</f>
        <v>-15.620000000000001</v>
      </c>
      <c r="H103" s="103">
        <f>VLOOKUP($A103,'OI(Volume)'!$A$7:$O$440,8)</f>
        <v>62010000</v>
      </c>
      <c r="I103" s="103">
        <f>VLOOKUP($A103,'OI(Volume)'!$A$7:$O$440,9)</f>
        <v>-4719000</v>
      </c>
      <c r="J103" s="103">
        <f>VLOOKUP($A103,'OI(Volume)'!$A$7:$O$440,11)</f>
        <v>45946875</v>
      </c>
      <c r="K103" s="103">
        <f>VLOOKUP($A103,'OI(Volume)'!$A$7:$O$440,12)</f>
        <v>1906125</v>
      </c>
      <c r="L103" s="103">
        <f>VLOOKUP($A103,'OI(Value)'!$A$7:$O$323,8,0)</f>
        <v>1125</v>
      </c>
      <c r="M103" s="103">
        <f>VLOOKUP($A103,'OI(Value)'!$A$7:$O$323,9,0)</f>
        <v>-86</v>
      </c>
      <c r="N103" s="103">
        <f>VLOOKUP($A103,'OI(Value)'!$A$7:$O$323,11,0)</f>
        <v>833</v>
      </c>
      <c r="O103" s="103">
        <f>VLOOKUP($A103,'OI(Value)'!$A$7:$O$323,12,0)</f>
        <v>35</v>
      </c>
      <c r="P103" s="179">
        <f>VLOOKUP(A103,'OI(Value)'!A103:O321,8,0)</f>
        <v>1125</v>
      </c>
      <c r="Q103" s="179">
        <f>VLOOKUP(A103,'OI(Value)'!A103:O321,9,0)</f>
        <v>-86</v>
      </c>
      <c r="R103" s="179">
        <f>VLOOKUP(A103,'OI(Value)'!A103:O321,11,0)</f>
        <v>833</v>
      </c>
      <c r="S103" s="179">
        <f>VLOOKUP(A103,'OI(Value)'!A103:O321,11,0)</f>
        <v>833</v>
      </c>
    </row>
    <row r="104" spans="1:19" x14ac:dyDescent="0.25">
      <c r="A104" s="105" t="str">
        <f>'Data Vlaue (Cr)'!C99</f>
        <v>IRCTC</v>
      </c>
      <c r="B104" s="143">
        <f>VLOOKUP($A104,'Data shares'!$C:$FA,118)</f>
        <v>0.61</v>
      </c>
      <c r="C104" s="143">
        <f>VLOOKUP($A104,'Data shares'!$C:$FA,119)</f>
        <v>0.65</v>
      </c>
      <c r="D104" s="143">
        <f>VLOOKUP($A104,'Data shares'!$C:$FA,121)*100</f>
        <v>-6.15</v>
      </c>
      <c r="E104" s="143">
        <f>VLOOKUP($A104,'Data shares'!$C:$FA,124)</f>
        <v>0.28999999999999998</v>
      </c>
      <c r="F104" s="143">
        <f>VLOOKUP($A104,'Data shares'!$C:$FA,125)</f>
        <v>0.23</v>
      </c>
      <c r="G104" s="143">
        <f>VLOOKUP($A104,'Data shares'!$C:$FA,127)*100</f>
        <v>26.090000000000003</v>
      </c>
      <c r="H104" s="103">
        <f>VLOOKUP($A104,'OI(Volume)'!$A$7:$O$440,8)</f>
        <v>15045625</v>
      </c>
      <c r="I104" s="103">
        <f>VLOOKUP($A104,'OI(Volume)'!$A$7:$O$440,9)</f>
        <v>1050000</v>
      </c>
      <c r="J104" s="103">
        <f>VLOOKUP($A104,'OI(Volume)'!$A$7:$O$440,11)</f>
        <v>9156000</v>
      </c>
      <c r="K104" s="103">
        <f>VLOOKUP($A104,'OI(Volume)'!$A$7:$O$440,12)</f>
        <v>0</v>
      </c>
      <c r="L104" s="103">
        <f>VLOOKUP($A104,'OI(Value)'!$A$7:$O$323,8,0)</f>
        <v>940</v>
      </c>
      <c r="M104" s="103">
        <f>VLOOKUP($A104,'OI(Value)'!$A$7:$O$323,9,0)</f>
        <v>66</v>
      </c>
      <c r="N104" s="103">
        <f>VLOOKUP($A104,'OI(Value)'!$A$7:$O$323,11,0)</f>
        <v>572</v>
      </c>
      <c r="O104" s="103">
        <f>VLOOKUP($A104,'OI(Value)'!$A$7:$O$323,12,0)</f>
        <v>0</v>
      </c>
      <c r="P104" s="179">
        <f>VLOOKUP(A104,'OI(Value)'!A104:O322,8,0)</f>
        <v>940</v>
      </c>
      <c r="Q104" s="179">
        <f>VLOOKUP(A104,'OI(Value)'!A104:O322,9,0)</f>
        <v>66</v>
      </c>
      <c r="R104" s="179">
        <f>VLOOKUP(A104,'OI(Value)'!A104:O322,11,0)</f>
        <v>572</v>
      </c>
      <c r="S104" s="179">
        <f>VLOOKUP(A104,'OI(Value)'!A104:O322,11,0)</f>
        <v>572</v>
      </c>
    </row>
    <row r="105" spans="1:19" x14ac:dyDescent="0.25">
      <c r="A105" s="105" t="str">
        <f>'Data Vlaue (Cr)'!C100</f>
        <v>IREDA</v>
      </c>
      <c r="B105" s="143">
        <f>VLOOKUP($A105,'Data shares'!$C:$FA,118)</f>
        <v>0.53</v>
      </c>
      <c r="C105" s="143">
        <f>VLOOKUP($A105,'Data shares'!$C:$FA,119)</f>
        <v>0.55000000000000004</v>
      </c>
      <c r="D105" s="143">
        <f>VLOOKUP($A105,'Data shares'!$C:$FA,121)*100</f>
        <v>-3.64</v>
      </c>
      <c r="E105" s="143">
        <f>VLOOKUP($A105,'Data shares'!$C:$FA,124)</f>
        <v>0.39</v>
      </c>
      <c r="F105" s="143">
        <f>VLOOKUP($A105,'Data shares'!$C:$FA,125)</f>
        <v>0.34</v>
      </c>
      <c r="G105" s="143">
        <f>VLOOKUP($A105,'Data shares'!$C:$FA,127)*100</f>
        <v>14.71</v>
      </c>
      <c r="H105" s="103">
        <f>VLOOKUP($A105,'OI(Volume)'!$A$7:$O$440,8)</f>
        <v>42248700</v>
      </c>
      <c r="I105" s="103">
        <f>VLOOKUP($A105,'OI(Volume)'!$A$7:$O$440,9)</f>
        <v>3870900</v>
      </c>
      <c r="J105" s="103">
        <f>VLOOKUP($A105,'OI(Volume)'!$A$7:$O$440,11)</f>
        <v>22224900</v>
      </c>
      <c r="K105" s="103">
        <f>VLOOKUP($A105,'OI(Volume)'!$A$7:$O$440,12)</f>
        <v>983250</v>
      </c>
      <c r="L105" s="103">
        <f>VLOOKUP($A105,'OI(Value)'!$A$7:$O$323,8,0)</f>
        <v>528</v>
      </c>
      <c r="M105" s="103">
        <f>VLOOKUP($A105,'OI(Value)'!$A$7:$O$323,9,0)</f>
        <v>48</v>
      </c>
      <c r="N105" s="103">
        <f>VLOOKUP($A105,'OI(Value)'!$A$7:$O$323,11,0)</f>
        <v>278</v>
      </c>
      <c r="O105" s="103">
        <f>VLOOKUP($A105,'OI(Value)'!$A$7:$O$323,12,0)</f>
        <v>12</v>
      </c>
      <c r="P105" s="179">
        <f>VLOOKUP(A105,'OI(Value)'!A105:O323,8,0)</f>
        <v>528</v>
      </c>
      <c r="Q105" s="179">
        <f>VLOOKUP(A105,'OI(Value)'!A105:O323,9,0)</f>
        <v>48</v>
      </c>
      <c r="R105" s="179">
        <f>VLOOKUP(A105,'OI(Value)'!A105:O323,11,0)</f>
        <v>278</v>
      </c>
      <c r="S105" s="179">
        <f>VLOOKUP(A105,'OI(Value)'!A105:O323,11,0)</f>
        <v>278</v>
      </c>
    </row>
    <row r="106" spans="1:19" x14ac:dyDescent="0.25">
      <c r="A106" s="105" t="str">
        <f>'Data Vlaue (Cr)'!C101</f>
        <v>IRFC</v>
      </c>
      <c r="B106" s="143">
        <f>VLOOKUP($A106,'Data shares'!$C:$FA,118)</f>
        <v>0.38</v>
      </c>
      <c r="C106" s="143">
        <f>VLOOKUP($A106,'Data shares'!$C:$FA,119)</f>
        <v>0.39</v>
      </c>
      <c r="D106" s="143">
        <f>VLOOKUP($A106,'Data shares'!$C:$FA,121)*100</f>
        <v>-2.56</v>
      </c>
      <c r="E106" s="143">
        <f>VLOOKUP($A106,'Data shares'!$C:$FA,124)</f>
        <v>0.25</v>
      </c>
      <c r="F106" s="143">
        <f>VLOOKUP($A106,'Data shares'!$C:$FA,125)</f>
        <v>0.21</v>
      </c>
      <c r="G106" s="143">
        <f>VLOOKUP($A106,'Data shares'!$C:$FA,127)*100</f>
        <v>19.05</v>
      </c>
      <c r="H106" s="103">
        <f>VLOOKUP($A106,'OI(Volume)'!$A$7:$O$440,8)</f>
        <v>104571250</v>
      </c>
      <c r="I106" s="103">
        <f>VLOOKUP($A106,'OI(Volume)'!$A$7:$O$440,9)</f>
        <v>3030250</v>
      </c>
      <c r="J106" s="103">
        <f>VLOOKUP($A106,'OI(Volume)'!$A$7:$O$440,11)</f>
        <v>40175250</v>
      </c>
      <c r="K106" s="103">
        <f>VLOOKUP($A106,'OI(Volume)'!$A$7:$O$440,12)</f>
        <v>765000</v>
      </c>
      <c r="L106" s="103">
        <f>VLOOKUP($A106,'OI(Value)'!$A$7:$O$323,8,0)</f>
        <v>1195</v>
      </c>
      <c r="M106" s="103">
        <f>VLOOKUP($A106,'OI(Value)'!$A$7:$O$323,9,0)</f>
        <v>35</v>
      </c>
      <c r="N106" s="103">
        <f>VLOOKUP($A106,'OI(Value)'!$A$7:$O$323,11,0)</f>
        <v>459</v>
      </c>
      <c r="O106" s="103">
        <f>VLOOKUP($A106,'OI(Value)'!$A$7:$O$323,12,0)</f>
        <v>9</v>
      </c>
      <c r="P106" s="179">
        <f>VLOOKUP(A106,'OI(Value)'!A106:O324,8,0)</f>
        <v>1195</v>
      </c>
      <c r="Q106" s="179">
        <f>VLOOKUP(A106,'OI(Value)'!A106:O324,9,0)</f>
        <v>35</v>
      </c>
      <c r="R106" s="179">
        <f>VLOOKUP(A106,'OI(Value)'!A106:O324,11,0)</f>
        <v>459</v>
      </c>
      <c r="S106" s="179">
        <f>VLOOKUP(A106,'OI(Value)'!A106:O324,11,0)</f>
        <v>459</v>
      </c>
    </row>
    <row r="107" spans="1:19" x14ac:dyDescent="0.25">
      <c r="A107" s="105" t="str">
        <f>'Data Vlaue (Cr)'!C102</f>
        <v>ITC</v>
      </c>
      <c r="B107" s="143">
        <f>VLOOKUP($A107,'Data shares'!$C:$FA,118)</f>
        <v>0.46</v>
      </c>
      <c r="C107" s="143">
        <f>VLOOKUP($A107,'Data shares'!$C:$FA,119)</f>
        <v>0.49</v>
      </c>
      <c r="D107" s="143">
        <f>VLOOKUP($A107,'Data shares'!$C:$FA,121)*100</f>
        <v>-6.12</v>
      </c>
      <c r="E107" s="143">
        <f>VLOOKUP($A107,'Data shares'!$C:$FA,124)</f>
        <v>0.46</v>
      </c>
      <c r="F107" s="143">
        <f>VLOOKUP($A107,'Data shares'!$C:$FA,125)</f>
        <v>0.41</v>
      </c>
      <c r="G107" s="143">
        <f>VLOOKUP($A107,'Data shares'!$C:$FA,127)*100</f>
        <v>12.2</v>
      </c>
      <c r="H107" s="103">
        <f>VLOOKUP($A107,'OI(Volume)'!$A$7:$O$440,8)</f>
        <v>195238400</v>
      </c>
      <c r="I107" s="103">
        <f>VLOOKUP($A107,'OI(Volume)'!$A$7:$O$440,9)</f>
        <v>8070400</v>
      </c>
      <c r="J107" s="103">
        <f>VLOOKUP($A107,'OI(Volume)'!$A$7:$O$440,11)</f>
        <v>90598400</v>
      </c>
      <c r="K107" s="103">
        <f>VLOOKUP($A107,'OI(Volume)'!$A$7:$O$440,12)</f>
        <v>-195200</v>
      </c>
      <c r="L107" s="103">
        <f>VLOOKUP($A107,'OI(Value)'!$A$7:$O$323,8,0)</f>
        <v>6231</v>
      </c>
      <c r="M107" s="103">
        <f>VLOOKUP($A107,'OI(Value)'!$A$7:$O$323,9,0)</f>
        <v>258</v>
      </c>
      <c r="N107" s="103">
        <f>VLOOKUP($A107,'OI(Value)'!$A$7:$O$323,11,0)</f>
        <v>2891</v>
      </c>
      <c r="O107" s="103">
        <f>VLOOKUP($A107,'OI(Value)'!$A$7:$O$323,12,0)</f>
        <v>-6</v>
      </c>
      <c r="P107" s="179">
        <f>VLOOKUP(A107,'OI(Value)'!A107:O325,8,0)</f>
        <v>6231</v>
      </c>
      <c r="Q107" s="179">
        <f>VLOOKUP(A107,'OI(Value)'!A107:O325,9,0)</f>
        <v>258</v>
      </c>
      <c r="R107" s="179">
        <f>VLOOKUP(A107,'OI(Value)'!A107:O325,11,0)</f>
        <v>2891</v>
      </c>
      <c r="S107" s="179">
        <f>VLOOKUP(A107,'OI(Value)'!A107:O325,11,0)</f>
        <v>2891</v>
      </c>
    </row>
    <row r="108" spans="1:19" x14ac:dyDescent="0.25">
      <c r="A108" s="105" t="str">
        <f>'Data Vlaue (Cr)'!C103</f>
        <v>JINDALSTEL</v>
      </c>
      <c r="B108" s="143">
        <f>VLOOKUP($A108,'Data shares'!$C:$FA,118)</f>
        <v>0.92</v>
      </c>
      <c r="C108" s="143">
        <f>VLOOKUP($A108,'Data shares'!$C:$FA,119)</f>
        <v>0.9</v>
      </c>
      <c r="D108" s="143">
        <f>VLOOKUP($A108,'Data shares'!$C:$FA,121)*100</f>
        <v>2.2200000000000002</v>
      </c>
      <c r="E108" s="143">
        <f>VLOOKUP($A108,'Data shares'!$C:$FA,124)</f>
        <v>0.92</v>
      </c>
      <c r="F108" s="143">
        <f>VLOOKUP($A108,'Data shares'!$C:$FA,125)</f>
        <v>0.64</v>
      </c>
      <c r="G108" s="143">
        <f>VLOOKUP($A108,'Data shares'!$C:$FA,127)*100</f>
        <v>43.75</v>
      </c>
      <c r="H108" s="103">
        <f>VLOOKUP($A108,'OI(Volume)'!$A$7:$O$440,8)</f>
        <v>4626875</v>
      </c>
      <c r="I108" s="103">
        <f>VLOOKUP($A108,'OI(Volume)'!$A$7:$O$440,9)</f>
        <v>-100625</v>
      </c>
      <c r="J108" s="103">
        <f>VLOOKUP($A108,'OI(Volume)'!$A$7:$O$440,11)</f>
        <v>4242500</v>
      </c>
      <c r="K108" s="103">
        <f>VLOOKUP($A108,'OI(Volume)'!$A$7:$O$440,12)</f>
        <v>-8750</v>
      </c>
      <c r="L108" s="103">
        <f>VLOOKUP($A108,'OI(Value)'!$A$7:$O$323,8,0)</f>
        <v>553</v>
      </c>
      <c r="M108" s="103">
        <f>VLOOKUP($A108,'OI(Value)'!$A$7:$O$323,9,0)</f>
        <v>-12</v>
      </c>
      <c r="N108" s="103">
        <f>VLOOKUP($A108,'OI(Value)'!$A$7:$O$323,11,0)</f>
        <v>507</v>
      </c>
      <c r="O108" s="103">
        <f>VLOOKUP($A108,'OI(Value)'!$A$7:$O$323,12,0)</f>
        <v>-1</v>
      </c>
      <c r="P108" s="179">
        <f>VLOOKUP(A108,'OI(Value)'!A108:O326,8,0)</f>
        <v>553</v>
      </c>
      <c r="Q108" s="179">
        <f>VLOOKUP(A108,'OI(Value)'!A108:O326,9,0)</f>
        <v>-12</v>
      </c>
      <c r="R108" s="179">
        <f>VLOOKUP(A108,'OI(Value)'!A108:O326,11,0)</f>
        <v>507</v>
      </c>
      <c r="S108" s="179">
        <f>VLOOKUP(A108,'OI(Value)'!A108:O326,11,0)</f>
        <v>507</v>
      </c>
    </row>
    <row r="109" spans="1:19" x14ac:dyDescent="0.25">
      <c r="A109" s="105" t="str">
        <f>'Data Vlaue (Cr)'!C104</f>
        <v>JIOFIN</v>
      </c>
      <c r="B109" s="143">
        <f>VLOOKUP($A109,'Data shares'!$C:$FA,118)</f>
        <v>0.7</v>
      </c>
      <c r="C109" s="143">
        <f>VLOOKUP($A109,'Data shares'!$C:$FA,119)</f>
        <v>0.66</v>
      </c>
      <c r="D109" s="143">
        <f>VLOOKUP($A109,'Data shares'!$C:$FA,121)*100</f>
        <v>6.0600000000000005</v>
      </c>
      <c r="E109" s="143">
        <f>VLOOKUP($A109,'Data shares'!$C:$FA,124)</f>
        <v>0.34</v>
      </c>
      <c r="F109" s="143">
        <f>VLOOKUP($A109,'Data shares'!$C:$FA,125)</f>
        <v>0.38</v>
      </c>
      <c r="G109" s="143">
        <f>VLOOKUP($A109,'Data shares'!$C:$FA,127)*100</f>
        <v>-10.530000000000001</v>
      </c>
      <c r="H109" s="103">
        <f>VLOOKUP($A109,'OI(Volume)'!$A$7:$O$440,8)</f>
        <v>76957800</v>
      </c>
      <c r="I109" s="103">
        <f>VLOOKUP($A109,'OI(Volume)'!$A$7:$O$440,9)</f>
        <v>-4627150</v>
      </c>
      <c r="J109" s="103">
        <f>VLOOKUP($A109,'OI(Volume)'!$A$7:$O$440,11)</f>
        <v>53749200</v>
      </c>
      <c r="K109" s="103">
        <f>VLOOKUP($A109,'OI(Volume)'!$A$7:$O$440,12)</f>
        <v>-218550</v>
      </c>
      <c r="L109" s="103">
        <f>VLOOKUP($A109,'OI(Value)'!$A$7:$O$323,8,0)</f>
        <v>2084</v>
      </c>
      <c r="M109" s="103">
        <f>VLOOKUP($A109,'OI(Value)'!$A$7:$O$323,9,0)</f>
        <v>-125</v>
      </c>
      <c r="N109" s="103">
        <f>VLOOKUP($A109,'OI(Value)'!$A$7:$O$323,11,0)</f>
        <v>1456</v>
      </c>
      <c r="O109" s="103">
        <f>VLOOKUP($A109,'OI(Value)'!$A$7:$O$323,12,0)</f>
        <v>-6</v>
      </c>
      <c r="P109" s="179">
        <f>VLOOKUP(A109,'OI(Value)'!A109:O327,8,0)</f>
        <v>2084</v>
      </c>
      <c r="Q109" s="179">
        <f>VLOOKUP(A109,'OI(Value)'!A109:O327,9,0)</f>
        <v>-125</v>
      </c>
      <c r="R109" s="179">
        <f>VLOOKUP(A109,'OI(Value)'!A109:O327,11,0)</f>
        <v>1456</v>
      </c>
      <c r="S109" s="179">
        <f>VLOOKUP(A109,'OI(Value)'!A109:O327,11,0)</f>
        <v>1456</v>
      </c>
    </row>
    <row r="110" spans="1:19" x14ac:dyDescent="0.25">
      <c r="A110" s="105" t="str">
        <f>'Data Vlaue (Cr)'!C105</f>
        <v>JSWENERGY</v>
      </c>
      <c r="B110" s="143">
        <f>VLOOKUP($A110,'Data shares'!$C:$FA,118)</f>
        <v>0.92</v>
      </c>
      <c r="C110" s="143">
        <f>VLOOKUP($A110,'Data shares'!$C:$FA,119)</f>
        <v>0.98</v>
      </c>
      <c r="D110" s="143">
        <f>VLOOKUP($A110,'Data shares'!$C:$FA,121)*100</f>
        <v>-6.12</v>
      </c>
      <c r="E110" s="143">
        <f>VLOOKUP($A110,'Data shares'!$C:$FA,124)</f>
        <v>0.52</v>
      </c>
      <c r="F110" s="143">
        <f>VLOOKUP($A110,'Data shares'!$C:$FA,125)</f>
        <v>0.5</v>
      </c>
      <c r="G110" s="143">
        <f>VLOOKUP($A110,'Data shares'!$C:$FA,127)*100</f>
        <v>4</v>
      </c>
      <c r="H110" s="103">
        <f>VLOOKUP($A110,'OI(Volume)'!$A$7:$O$440,8)</f>
        <v>7760000</v>
      </c>
      <c r="I110" s="103">
        <f>VLOOKUP($A110,'OI(Volume)'!$A$7:$O$440,9)</f>
        <v>541000</v>
      </c>
      <c r="J110" s="103">
        <f>VLOOKUP($A110,'OI(Volume)'!$A$7:$O$440,11)</f>
        <v>7159000</v>
      </c>
      <c r="K110" s="103">
        <f>VLOOKUP($A110,'OI(Volume)'!$A$7:$O$440,12)</f>
        <v>119000</v>
      </c>
      <c r="L110" s="103">
        <f>VLOOKUP($A110,'OI(Value)'!$A$7:$O$323,8,0)</f>
        <v>375</v>
      </c>
      <c r="M110" s="103">
        <f>VLOOKUP($A110,'OI(Value)'!$A$7:$O$323,9,0)</f>
        <v>26</v>
      </c>
      <c r="N110" s="103">
        <f>VLOOKUP($A110,'OI(Value)'!$A$7:$O$323,11,0)</f>
        <v>346</v>
      </c>
      <c r="O110" s="103">
        <f>VLOOKUP($A110,'OI(Value)'!$A$7:$O$323,12,0)</f>
        <v>6</v>
      </c>
      <c r="P110" s="179">
        <f>VLOOKUP(A110,'OI(Value)'!A110:O328,8,0)</f>
        <v>375</v>
      </c>
      <c r="Q110" s="179">
        <f>VLOOKUP(A110,'OI(Value)'!A110:O328,9,0)</f>
        <v>26</v>
      </c>
      <c r="R110" s="179">
        <f>VLOOKUP(A110,'OI(Value)'!A110:O328,11,0)</f>
        <v>346</v>
      </c>
      <c r="S110" s="179">
        <f>VLOOKUP(A110,'OI(Value)'!A110:O328,11,0)</f>
        <v>346</v>
      </c>
    </row>
    <row r="111" spans="1:19" x14ac:dyDescent="0.25">
      <c r="A111" s="105" t="str">
        <f>'Data Vlaue (Cr)'!C106</f>
        <v>JSWSTEEL</v>
      </c>
      <c r="B111" s="143">
        <f>VLOOKUP($A111,'Data shares'!$C:$FA,118)</f>
        <v>0.72</v>
      </c>
      <c r="C111" s="143">
        <f>VLOOKUP($A111,'Data shares'!$C:$FA,119)</f>
        <v>0.71</v>
      </c>
      <c r="D111" s="143">
        <f>VLOOKUP($A111,'Data shares'!$C:$FA,121)*100</f>
        <v>1.41</v>
      </c>
      <c r="E111" s="143">
        <f>VLOOKUP($A111,'Data shares'!$C:$FA,124)</f>
        <v>0.59</v>
      </c>
      <c r="F111" s="143">
        <f>VLOOKUP($A111,'Data shares'!$C:$FA,125)</f>
        <v>0.38</v>
      </c>
      <c r="G111" s="143">
        <f>VLOOKUP($A111,'Data shares'!$C:$FA,127)*100</f>
        <v>55.26</v>
      </c>
      <c r="H111" s="103">
        <f>VLOOKUP($A111,'OI(Volume)'!$A$7:$O$440,8)</f>
        <v>6637950</v>
      </c>
      <c r="I111" s="103">
        <f>VLOOKUP($A111,'OI(Volume)'!$A$7:$O$440,9)</f>
        <v>-184275</v>
      </c>
      <c r="J111" s="103">
        <f>VLOOKUP($A111,'OI(Volume)'!$A$7:$O$440,11)</f>
        <v>4762125</v>
      </c>
      <c r="K111" s="103">
        <f>VLOOKUP($A111,'OI(Volume)'!$A$7:$O$440,12)</f>
        <v>-88425</v>
      </c>
      <c r="L111" s="103">
        <f>VLOOKUP($A111,'OI(Value)'!$A$7:$O$323,8,0)</f>
        <v>830</v>
      </c>
      <c r="M111" s="103">
        <f>VLOOKUP($A111,'OI(Value)'!$A$7:$O$323,9,0)</f>
        <v>-23</v>
      </c>
      <c r="N111" s="103">
        <f>VLOOKUP($A111,'OI(Value)'!$A$7:$O$323,11,0)</f>
        <v>596</v>
      </c>
      <c r="O111" s="103">
        <f>VLOOKUP($A111,'OI(Value)'!$A$7:$O$323,12,0)</f>
        <v>-11</v>
      </c>
      <c r="P111" s="179">
        <f>VLOOKUP(A111,'OI(Value)'!A111:O329,8,0)</f>
        <v>830</v>
      </c>
      <c r="Q111" s="179">
        <f>VLOOKUP(A111,'OI(Value)'!A111:O329,9,0)</f>
        <v>-23</v>
      </c>
      <c r="R111" s="179">
        <f>VLOOKUP(A111,'OI(Value)'!A111:O329,11,0)</f>
        <v>596</v>
      </c>
      <c r="S111" s="179">
        <f>VLOOKUP(A111,'OI(Value)'!A111:O329,11,0)</f>
        <v>596</v>
      </c>
    </row>
    <row r="112" spans="1:19" x14ac:dyDescent="0.25">
      <c r="A112" s="105" t="str">
        <f>'Data Vlaue (Cr)'!C107</f>
        <v>JUBLFOOD</v>
      </c>
      <c r="B112" s="143">
        <f>VLOOKUP($A112,'Data shares'!$C:$FA,118)</f>
        <v>0.49</v>
      </c>
      <c r="C112" s="143">
        <f>VLOOKUP($A112,'Data shares'!$C:$FA,119)</f>
        <v>0.77</v>
      </c>
      <c r="D112" s="143">
        <f>VLOOKUP($A112,'Data shares'!$C:$FA,121)*100</f>
        <v>-36.36</v>
      </c>
      <c r="E112" s="143">
        <f>VLOOKUP($A112,'Data shares'!$C:$FA,124)</f>
        <v>0.4</v>
      </c>
      <c r="F112" s="143">
        <f>VLOOKUP($A112,'Data shares'!$C:$FA,125)</f>
        <v>0.4</v>
      </c>
      <c r="G112" s="143">
        <f>VLOOKUP($A112,'Data shares'!$C:$FA,127)*100</f>
        <v>0</v>
      </c>
      <c r="H112" s="103">
        <f>VLOOKUP($A112,'OI(Volume)'!$A$7:$O$440,8)</f>
        <v>17876250</v>
      </c>
      <c r="I112" s="103">
        <f>VLOOKUP($A112,'OI(Volume)'!$A$7:$O$440,9)</f>
        <v>9426250</v>
      </c>
      <c r="J112" s="103">
        <f>VLOOKUP($A112,'OI(Volume)'!$A$7:$O$440,11)</f>
        <v>8801250</v>
      </c>
      <c r="K112" s="103">
        <f>VLOOKUP($A112,'OI(Volume)'!$A$7:$O$440,12)</f>
        <v>2320000</v>
      </c>
      <c r="L112" s="103">
        <f>VLOOKUP($A112,'OI(Value)'!$A$7:$O$323,8,0)</f>
        <v>974</v>
      </c>
      <c r="M112" s="103">
        <f>VLOOKUP($A112,'OI(Value)'!$A$7:$O$323,9,0)</f>
        <v>514</v>
      </c>
      <c r="N112" s="103">
        <f>VLOOKUP($A112,'OI(Value)'!$A$7:$O$323,11,0)</f>
        <v>480</v>
      </c>
      <c r="O112" s="103">
        <f>VLOOKUP($A112,'OI(Value)'!$A$7:$O$323,12,0)</f>
        <v>126</v>
      </c>
      <c r="P112" s="179">
        <f>VLOOKUP(A112,'OI(Value)'!A112:O330,8,0)</f>
        <v>974</v>
      </c>
      <c r="Q112" s="179">
        <f>VLOOKUP(A112,'OI(Value)'!A112:O330,9,0)</f>
        <v>514</v>
      </c>
      <c r="R112" s="179">
        <f>VLOOKUP(A112,'OI(Value)'!A112:O330,11,0)</f>
        <v>480</v>
      </c>
      <c r="S112" s="179">
        <f>VLOOKUP(A112,'OI(Value)'!A112:O330,11,0)</f>
        <v>480</v>
      </c>
    </row>
    <row r="113" spans="1:19" x14ac:dyDescent="0.25">
      <c r="A113" s="105" t="str">
        <f>'Data Vlaue (Cr)'!C108</f>
        <v>KALYANKJIL</v>
      </c>
      <c r="B113" s="143">
        <f>VLOOKUP($A113,'Data shares'!$C:$FA,118)</f>
        <v>0.8</v>
      </c>
      <c r="C113" s="143">
        <f>VLOOKUP($A113,'Data shares'!$C:$FA,119)</f>
        <v>0.78</v>
      </c>
      <c r="D113" s="143">
        <f>VLOOKUP($A113,'Data shares'!$C:$FA,121)*100</f>
        <v>2.56</v>
      </c>
      <c r="E113" s="143">
        <f>VLOOKUP($A113,'Data shares'!$C:$FA,124)</f>
        <v>0.72</v>
      </c>
      <c r="F113" s="143">
        <f>VLOOKUP($A113,'Data shares'!$C:$FA,125)</f>
        <v>0.56999999999999995</v>
      </c>
      <c r="G113" s="143">
        <f>VLOOKUP($A113,'Data shares'!$C:$FA,127)*100</f>
        <v>26.32</v>
      </c>
      <c r="H113" s="103">
        <f>VLOOKUP($A113,'OI(Volume)'!$A$7:$O$440,8)</f>
        <v>22812625</v>
      </c>
      <c r="I113" s="103">
        <f>VLOOKUP($A113,'OI(Volume)'!$A$7:$O$440,9)</f>
        <v>-1630900</v>
      </c>
      <c r="J113" s="103">
        <f>VLOOKUP($A113,'OI(Volume)'!$A$7:$O$440,11)</f>
        <v>18181950</v>
      </c>
      <c r="K113" s="103">
        <f>VLOOKUP($A113,'OI(Volume)'!$A$7:$O$440,12)</f>
        <v>-978775</v>
      </c>
      <c r="L113" s="103">
        <f>VLOOKUP($A113,'OI(Value)'!$A$7:$O$323,8,0)</f>
        <v>975</v>
      </c>
      <c r="M113" s="103">
        <f>VLOOKUP($A113,'OI(Value)'!$A$7:$O$323,9,0)</f>
        <v>-70</v>
      </c>
      <c r="N113" s="103">
        <f>VLOOKUP($A113,'OI(Value)'!$A$7:$O$323,11,0)</f>
        <v>777</v>
      </c>
      <c r="O113" s="103">
        <f>VLOOKUP($A113,'OI(Value)'!$A$7:$O$323,12,0)</f>
        <v>-42</v>
      </c>
      <c r="P113" s="179">
        <f>VLOOKUP(A113,'OI(Value)'!A113:O331,8,0)</f>
        <v>975</v>
      </c>
      <c r="Q113" s="179">
        <f>VLOOKUP(A113,'OI(Value)'!A113:O331,9,0)</f>
        <v>-70</v>
      </c>
      <c r="R113" s="179">
        <f>VLOOKUP(A113,'OI(Value)'!A113:O331,11,0)</f>
        <v>777</v>
      </c>
      <c r="S113" s="179">
        <f>VLOOKUP(A113,'OI(Value)'!A113:O331,11,0)</f>
        <v>777</v>
      </c>
    </row>
    <row r="114" spans="1:19" x14ac:dyDescent="0.25">
      <c r="A114" s="105" t="str">
        <f>'Data Vlaue (Cr)'!C109</f>
        <v>KAYNES</v>
      </c>
      <c r="B114" s="143">
        <f>VLOOKUP($A114,'Data shares'!$C:$FA,118)</f>
        <v>0.89</v>
      </c>
      <c r="C114" s="143">
        <f>VLOOKUP($A114,'Data shares'!$C:$FA,119)</f>
        <v>0.97</v>
      </c>
      <c r="D114" s="143">
        <f>VLOOKUP($A114,'Data shares'!$C:$FA,121)*100</f>
        <v>-8.25</v>
      </c>
      <c r="E114" s="143">
        <f>VLOOKUP($A114,'Data shares'!$C:$FA,124)</f>
        <v>0.36</v>
      </c>
      <c r="F114" s="143">
        <f>VLOOKUP($A114,'Data shares'!$C:$FA,125)</f>
        <v>0.56999999999999995</v>
      </c>
      <c r="G114" s="143">
        <f>VLOOKUP($A114,'Data shares'!$C:$FA,127)*100</f>
        <v>-36.840000000000003</v>
      </c>
      <c r="H114" s="103">
        <f>VLOOKUP($A114,'OI(Volume)'!$A$7:$O$440,8)</f>
        <v>2431600</v>
      </c>
      <c r="I114" s="103">
        <f>VLOOKUP($A114,'OI(Volume)'!$A$7:$O$440,9)</f>
        <v>418300</v>
      </c>
      <c r="J114" s="103">
        <f>VLOOKUP($A114,'OI(Volume)'!$A$7:$O$440,11)</f>
        <v>2153300</v>
      </c>
      <c r="K114" s="103">
        <f>VLOOKUP($A114,'OI(Volume)'!$A$7:$O$440,12)</f>
        <v>203300</v>
      </c>
      <c r="L114" s="103">
        <f>VLOOKUP($A114,'OI(Value)'!$A$7:$O$323,8,0)</f>
        <v>1014</v>
      </c>
      <c r="M114" s="103">
        <f>VLOOKUP($A114,'OI(Value)'!$A$7:$O$323,9,0)</f>
        <v>174</v>
      </c>
      <c r="N114" s="103">
        <f>VLOOKUP($A114,'OI(Value)'!$A$7:$O$323,11,0)</f>
        <v>898</v>
      </c>
      <c r="O114" s="103">
        <f>VLOOKUP($A114,'OI(Value)'!$A$7:$O$323,12,0)</f>
        <v>85</v>
      </c>
      <c r="P114" s="179">
        <f>VLOOKUP(A114,'OI(Value)'!A114:O332,8,0)</f>
        <v>1014</v>
      </c>
      <c r="Q114" s="179">
        <f>VLOOKUP(A114,'OI(Value)'!A114:O332,9,0)</f>
        <v>174</v>
      </c>
      <c r="R114" s="179">
        <f>VLOOKUP(A114,'OI(Value)'!A114:O332,11,0)</f>
        <v>898</v>
      </c>
      <c r="S114" s="179">
        <f>VLOOKUP(A114,'OI(Value)'!A114:O332,11,0)</f>
        <v>898</v>
      </c>
    </row>
    <row r="115" spans="1:19" x14ac:dyDescent="0.25">
      <c r="A115" s="105" t="str">
        <f>'Data Vlaue (Cr)'!C110</f>
        <v>KEI</v>
      </c>
      <c r="B115" s="143">
        <f>VLOOKUP($A115,'Data shares'!$C:$FA,118)</f>
        <v>0.95</v>
      </c>
      <c r="C115" s="143">
        <f>VLOOKUP($A115,'Data shares'!$C:$FA,119)</f>
        <v>0.89</v>
      </c>
      <c r="D115" s="143">
        <f>VLOOKUP($A115,'Data shares'!$C:$FA,121)*100</f>
        <v>6.74</v>
      </c>
      <c r="E115" s="143">
        <f>VLOOKUP($A115,'Data shares'!$C:$FA,124)</f>
        <v>0.41</v>
      </c>
      <c r="F115" s="143">
        <f>VLOOKUP($A115,'Data shares'!$C:$FA,125)</f>
        <v>0.24</v>
      </c>
      <c r="G115" s="143">
        <f>VLOOKUP($A115,'Data shares'!$C:$FA,127)*100</f>
        <v>70.83</v>
      </c>
      <c r="H115" s="103">
        <f>VLOOKUP($A115,'OI(Volume)'!$A$7:$O$440,8)</f>
        <v>580300</v>
      </c>
      <c r="I115" s="103">
        <f>VLOOKUP($A115,'OI(Volume)'!$A$7:$O$440,9)</f>
        <v>-25375</v>
      </c>
      <c r="J115" s="103">
        <f>VLOOKUP($A115,'OI(Volume)'!$A$7:$O$440,11)</f>
        <v>548625</v>
      </c>
      <c r="K115" s="103">
        <f>VLOOKUP($A115,'OI(Volume)'!$A$7:$O$440,12)</f>
        <v>7525</v>
      </c>
      <c r="L115" s="103">
        <f>VLOOKUP($A115,'OI(Value)'!$A$7:$O$323,8,0)</f>
        <v>268</v>
      </c>
      <c r="M115" s="103">
        <f>VLOOKUP($A115,'OI(Value)'!$A$7:$O$323,9,0)</f>
        <v>-12</v>
      </c>
      <c r="N115" s="103">
        <f>VLOOKUP($A115,'OI(Value)'!$A$7:$O$323,11,0)</f>
        <v>253</v>
      </c>
      <c r="O115" s="103">
        <f>VLOOKUP($A115,'OI(Value)'!$A$7:$O$323,12,0)</f>
        <v>3</v>
      </c>
      <c r="P115" s="179">
        <f>VLOOKUP(A115,'OI(Value)'!A115:O333,8,0)</f>
        <v>268</v>
      </c>
      <c r="Q115" s="179">
        <f>VLOOKUP(A115,'OI(Value)'!A115:O333,9,0)</f>
        <v>-12</v>
      </c>
      <c r="R115" s="179">
        <f>VLOOKUP(A115,'OI(Value)'!A115:O333,11,0)</f>
        <v>253</v>
      </c>
      <c r="S115" s="179">
        <f>VLOOKUP(A115,'OI(Value)'!A115:O333,11,0)</f>
        <v>253</v>
      </c>
    </row>
    <row r="116" spans="1:19" x14ac:dyDescent="0.25">
      <c r="A116" s="105" t="str">
        <f>'Data Vlaue (Cr)'!C111</f>
        <v>KFINTECH</v>
      </c>
      <c r="B116" s="143">
        <f>VLOOKUP($A116,'Data shares'!$C:$FA,118)</f>
        <v>0.76</v>
      </c>
      <c r="C116" s="143">
        <f>VLOOKUP($A116,'Data shares'!$C:$FA,119)</f>
        <v>0.76</v>
      </c>
      <c r="D116" s="143">
        <f>VLOOKUP($A116,'Data shares'!$C:$FA,121)*100</f>
        <v>0</v>
      </c>
      <c r="E116" s="143">
        <f>VLOOKUP($A116,'Data shares'!$C:$FA,124)</f>
        <v>0.39</v>
      </c>
      <c r="F116" s="143">
        <f>VLOOKUP($A116,'Data shares'!$C:$FA,125)</f>
        <v>0.35</v>
      </c>
      <c r="G116" s="143">
        <f>VLOOKUP($A116,'Data shares'!$C:$FA,127)*100</f>
        <v>11.43</v>
      </c>
      <c r="H116" s="103">
        <f>VLOOKUP($A116,'OI(Volume)'!$A$7:$O$440,8)</f>
        <v>1448500</v>
      </c>
      <c r="I116" s="103">
        <f>VLOOKUP($A116,'OI(Volume)'!$A$7:$O$440,9)</f>
        <v>138000</v>
      </c>
      <c r="J116" s="103">
        <f>VLOOKUP($A116,'OI(Volume)'!$A$7:$O$440,11)</f>
        <v>1099000</v>
      </c>
      <c r="K116" s="103">
        <f>VLOOKUP($A116,'OI(Volume)'!$A$7:$O$440,12)</f>
        <v>105500</v>
      </c>
      <c r="L116" s="103">
        <f>VLOOKUP($A116,'OI(Value)'!$A$7:$O$323,8,0)</f>
        <v>148</v>
      </c>
      <c r="M116" s="103">
        <f>VLOOKUP($A116,'OI(Value)'!$A$7:$O$323,9,0)</f>
        <v>14</v>
      </c>
      <c r="N116" s="103">
        <f>VLOOKUP($A116,'OI(Value)'!$A$7:$O$323,11,0)</f>
        <v>112</v>
      </c>
      <c r="O116" s="103">
        <f>VLOOKUP($A116,'OI(Value)'!$A$7:$O$323,12,0)</f>
        <v>11</v>
      </c>
      <c r="P116" s="179">
        <f>VLOOKUP(A116,'OI(Value)'!A116:O334,8,0)</f>
        <v>148</v>
      </c>
      <c r="Q116" s="179">
        <f>VLOOKUP(A116,'OI(Value)'!A116:O334,9,0)</f>
        <v>14</v>
      </c>
      <c r="R116" s="179">
        <f>VLOOKUP(A116,'OI(Value)'!A116:O334,11,0)</f>
        <v>112</v>
      </c>
      <c r="S116" s="179">
        <f>VLOOKUP(A116,'OI(Value)'!A116:O334,11,0)</f>
        <v>112</v>
      </c>
    </row>
    <row r="117" spans="1:19" x14ac:dyDescent="0.25">
      <c r="A117" s="105" t="str">
        <f>'Data Vlaue (Cr)'!C112</f>
        <v>KOTAKBANK</v>
      </c>
      <c r="B117" s="143">
        <f>VLOOKUP($A117,'Data shares'!$C:$FA,118)</f>
        <v>0.97</v>
      </c>
      <c r="C117" s="143">
        <f>VLOOKUP($A117,'Data shares'!$C:$FA,119)</f>
        <v>0.98</v>
      </c>
      <c r="D117" s="143">
        <f>VLOOKUP($A117,'Data shares'!$C:$FA,121)*100</f>
        <v>-1.02</v>
      </c>
      <c r="E117" s="143">
        <f>VLOOKUP($A117,'Data shares'!$C:$FA,124)</f>
        <v>0.74</v>
      </c>
      <c r="F117" s="143">
        <f>VLOOKUP($A117,'Data shares'!$C:$FA,125)</f>
        <v>0.71</v>
      </c>
      <c r="G117" s="143">
        <f>VLOOKUP($A117,'Data shares'!$C:$FA,127)*100</f>
        <v>4.2299999999999995</v>
      </c>
      <c r="H117" s="103">
        <f>VLOOKUP($A117,'OI(Volume)'!$A$7:$O$440,8)</f>
        <v>37068000</v>
      </c>
      <c r="I117" s="103">
        <f>VLOOKUP($A117,'OI(Volume)'!$A$7:$O$440,9)</f>
        <v>-264000</v>
      </c>
      <c r="J117" s="103">
        <f>VLOOKUP($A117,'OI(Volume)'!$A$7:$O$440,11)</f>
        <v>35904000</v>
      </c>
      <c r="K117" s="103">
        <f>VLOOKUP($A117,'OI(Volume)'!$A$7:$O$440,12)</f>
        <v>-866000</v>
      </c>
      <c r="L117" s="103">
        <f>VLOOKUP($A117,'OI(Value)'!$A$7:$O$323,8,0)</f>
        <v>1594</v>
      </c>
      <c r="M117" s="103">
        <f>VLOOKUP($A117,'OI(Value)'!$A$7:$O$323,9,0)</f>
        <v>-11</v>
      </c>
      <c r="N117" s="103">
        <f>VLOOKUP($A117,'OI(Value)'!$A$7:$O$323,11,0)</f>
        <v>1544</v>
      </c>
      <c r="O117" s="103">
        <f>VLOOKUP($A117,'OI(Value)'!$A$7:$O$323,12,0)</f>
        <v>-37</v>
      </c>
      <c r="P117" s="179">
        <f>VLOOKUP(A117,'OI(Value)'!A117:O335,8,0)</f>
        <v>1594</v>
      </c>
      <c r="Q117" s="179">
        <f>VLOOKUP(A117,'OI(Value)'!A117:O335,9,0)</f>
        <v>-11</v>
      </c>
      <c r="R117" s="179">
        <f>VLOOKUP(A117,'OI(Value)'!A117:O335,11,0)</f>
        <v>1544</v>
      </c>
      <c r="S117" s="179">
        <f>VLOOKUP(A117,'OI(Value)'!A117:O335,11,0)</f>
        <v>1544</v>
      </c>
    </row>
    <row r="118" spans="1:19" x14ac:dyDescent="0.25">
      <c r="A118" s="105" t="str">
        <f>'Data Vlaue (Cr)'!C113</f>
        <v>KPITTECH</v>
      </c>
      <c r="B118" s="143">
        <f>VLOOKUP($A118,'Data shares'!$C:$FA,118)</f>
        <v>0.41</v>
      </c>
      <c r="C118" s="143">
        <f>VLOOKUP($A118,'Data shares'!$C:$FA,119)</f>
        <v>0.39</v>
      </c>
      <c r="D118" s="143">
        <f>VLOOKUP($A118,'Data shares'!$C:$FA,121)*100</f>
        <v>5.13</v>
      </c>
      <c r="E118" s="143">
        <f>VLOOKUP($A118,'Data shares'!$C:$FA,124)</f>
        <v>0.26</v>
      </c>
      <c r="F118" s="143">
        <f>VLOOKUP($A118,'Data shares'!$C:$FA,125)</f>
        <v>0.17</v>
      </c>
      <c r="G118" s="143">
        <f>VLOOKUP($A118,'Data shares'!$C:$FA,127)*100</f>
        <v>52.94</v>
      </c>
      <c r="H118" s="103">
        <f>VLOOKUP($A118,'OI(Volume)'!$A$7:$O$440,8)</f>
        <v>5842900</v>
      </c>
      <c r="I118" s="103">
        <f>VLOOKUP($A118,'OI(Volume)'!$A$7:$O$440,9)</f>
        <v>96900</v>
      </c>
      <c r="J118" s="103">
        <f>VLOOKUP($A118,'OI(Volume)'!$A$7:$O$440,11)</f>
        <v>2395725</v>
      </c>
      <c r="K118" s="103">
        <f>VLOOKUP($A118,'OI(Volume)'!$A$7:$O$440,12)</f>
        <v>136850</v>
      </c>
      <c r="L118" s="103">
        <f>VLOOKUP($A118,'OI(Value)'!$A$7:$O$323,8,0)</f>
        <v>562</v>
      </c>
      <c r="M118" s="103">
        <f>VLOOKUP($A118,'OI(Value)'!$A$7:$O$323,9,0)</f>
        <v>9</v>
      </c>
      <c r="N118" s="103">
        <f>VLOOKUP($A118,'OI(Value)'!$A$7:$O$323,11,0)</f>
        <v>230</v>
      </c>
      <c r="O118" s="103">
        <f>VLOOKUP($A118,'OI(Value)'!$A$7:$O$323,12,0)</f>
        <v>13</v>
      </c>
      <c r="P118" s="179">
        <f>VLOOKUP(A118,'OI(Value)'!A118:O336,8,0)</f>
        <v>562</v>
      </c>
      <c r="Q118" s="179">
        <f>VLOOKUP(A118,'OI(Value)'!A118:O336,9,0)</f>
        <v>9</v>
      </c>
      <c r="R118" s="179">
        <f>VLOOKUP(A118,'OI(Value)'!A118:O336,11,0)</f>
        <v>230</v>
      </c>
      <c r="S118" s="179">
        <f>VLOOKUP(A118,'OI(Value)'!A118:O336,11,0)</f>
        <v>230</v>
      </c>
    </row>
    <row r="119" spans="1:19" x14ac:dyDescent="0.25">
      <c r="A119" s="105" t="str">
        <f>'Data Vlaue (Cr)'!C114</f>
        <v>LAURUSLABS</v>
      </c>
      <c r="B119" s="143">
        <f>VLOOKUP($A119,'Data shares'!$C:$FA,118)</f>
        <v>0.51</v>
      </c>
      <c r="C119" s="143">
        <f>VLOOKUP($A119,'Data shares'!$C:$FA,119)</f>
        <v>0.49</v>
      </c>
      <c r="D119" s="143">
        <f>VLOOKUP($A119,'Data shares'!$C:$FA,121)*100</f>
        <v>4.08</v>
      </c>
      <c r="E119" s="143">
        <f>VLOOKUP($A119,'Data shares'!$C:$FA,124)</f>
        <v>0.28999999999999998</v>
      </c>
      <c r="F119" s="143">
        <f>VLOOKUP($A119,'Data shares'!$C:$FA,125)</f>
        <v>0.54</v>
      </c>
      <c r="G119" s="143">
        <f>VLOOKUP($A119,'Data shares'!$C:$FA,127)*100</f>
        <v>-46.300000000000004</v>
      </c>
      <c r="H119" s="103">
        <f>VLOOKUP($A119,'OI(Volume)'!$A$7:$O$440,8)</f>
        <v>12003700</v>
      </c>
      <c r="I119" s="103">
        <f>VLOOKUP($A119,'OI(Volume)'!$A$7:$O$440,9)</f>
        <v>147050</v>
      </c>
      <c r="J119" s="103">
        <f>VLOOKUP($A119,'OI(Volume)'!$A$7:$O$440,11)</f>
        <v>6081750</v>
      </c>
      <c r="K119" s="103">
        <f>VLOOKUP($A119,'OI(Volume)'!$A$7:$O$440,12)</f>
        <v>327250</v>
      </c>
      <c r="L119" s="103">
        <f>VLOOKUP($A119,'OI(Value)'!$A$7:$O$323,8,0)</f>
        <v>1219</v>
      </c>
      <c r="M119" s="103">
        <f>VLOOKUP($A119,'OI(Value)'!$A$7:$O$323,9,0)</f>
        <v>15</v>
      </c>
      <c r="N119" s="103">
        <f>VLOOKUP($A119,'OI(Value)'!$A$7:$O$323,11,0)</f>
        <v>618</v>
      </c>
      <c r="O119" s="103">
        <f>VLOOKUP($A119,'OI(Value)'!$A$7:$O$323,12,0)</f>
        <v>33</v>
      </c>
      <c r="P119" s="179">
        <f>VLOOKUP(A119,'OI(Value)'!A119:O337,8,0)</f>
        <v>1219</v>
      </c>
      <c r="Q119" s="179">
        <f>VLOOKUP(A119,'OI(Value)'!A119:O337,9,0)</f>
        <v>15</v>
      </c>
      <c r="R119" s="179">
        <f>VLOOKUP(A119,'OI(Value)'!A119:O337,11,0)</f>
        <v>618</v>
      </c>
      <c r="S119" s="179">
        <f>VLOOKUP(A119,'OI(Value)'!A119:O337,11,0)</f>
        <v>618</v>
      </c>
    </row>
    <row r="120" spans="1:19" x14ac:dyDescent="0.25">
      <c r="A120" s="105" t="str">
        <f>'Data Vlaue (Cr)'!C115</f>
        <v>LICHSGFIN</v>
      </c>
      <c r="B120" s="143">
        <f>VLOOKUP($A120,'Data shares'!$C:$FA,118)</f>
        <v>0.78</v>
      </c>
      <c r="C120" s="143">
        <f>VLOOKUP($A120,'Data shares'!$C:$FA,119)</f>
        <v>0.79</v>
      </c>
      <c r="D120" s="143">
        <f>VLOOKUP($A120,'Data shares'!$C:$FA,121)*100</f>
        <v>-1.27</v>
      </c>
      <c r="E120" s="143">
        <f>VLOOKUP($A120,'Data shares'!$C:$FA,124)</f>
        <v>0.39</v>
      </c>
      <c r="F120" s="143">
        <f>VLOOKUP($A120,'Data shares'!$C:$FA,125)</f>
        <v>0.36</v>
      </c>
      <c r="G120" s="143">
        <f>VLOOKUP($A120,'Data shares'!$C:$FA,127)*100</f>
        <v>8.33</v>
      </c>
      <c r="H120" s="103">
        <f>VLOOKUP($A120,'OI(Volume)'!$A$7:$O$440,8)</f>
        <v>10660000</v>
      </c>
      <c r="I120" s="103">
        <f>VLOOKUP($A120,'OI(Volume)'!$A$7:$O$440,9)</f>
        <v>400000</v>
      </c>
      <c r="J120" s="103">
        <f>VLOOKUP($A120,'OI(Volume)'!$A$7:$O$440,11)</f>
        <v>8303000</v>
      </c>
      <c r="K120" s="103">
        <f>VLOOKUP($A120,'OI(Volume)'!$A$7:$O$440,12)</f>
        <v>154000</v>
      </c>
      <c r="L120" s="103">
        <f>VLOOKUP($A120,'OI(Value)'!$A$7:$O$323,8,0)</f>
        <v>561</v>
      </c>
      <c r="M120" s="103">
        <f>VLOOKUP($A120,'OI(Value)'!$A$7:$O$323,9,0)</f>
        <v>21</v>
      </c>
      <c r="N120" s="103">
        <f>VLOOKUP($A120,'OI(Value)'!$A$7:$O$323,11,0)</f>
        <v>437</v>
      </c>
      <c r="O120" s="103">
        <f>VLOOKUP($A120,'OI(Value)'!$A$7:$O$323,12,0)</f>
        <v>8</v>
      </c>
      <c r="P120" s="179">
        <f>VLOOKUP(A120,'OI(Value)'!A120:O338,8,0)</f>
        <v>561</v>
      </c>
      <c r="Q120" s="179">
        <f>VLOOKUP(A120,'OI(Value)'!A120:O338,9,0)</f>
        <v>21</v>
      </c>
      <c r="R120" s="179">
        <f>VLOOKUP(A120,'OI(Value)'!A120:O338,11,0)</f>
        <v>437</v>
      </c>
      <c r="S120" s="179">
        <f>VLOOKUP(A120,'OI(Value)'!A120:O338,11,0)</f>
        <v>437</v>
      </c>
    </row>
    <row r="121" spans="1:19" x14ac:dyDescent="0.25">
      <c r="A121" s="105" t="str">
        <f>'Data Vlaue (Cr)'!C116</f>
        <v>LICI</v>
      </c>
      <c r="B121" s="143">
        <f>VLOOKUP($A121,'Data shares'!$C:$FA,118)</f>
        <v>0.47</v>
      </c>
      <c r="C121" s="143">
        <f>VLOOKUP($A121,'Data shares'!$C:$FA,119)</f>
        <v>0.54</v>
      </c>
      <c r="D121" s="143">
        <f>VLOOKUP($A121,'Data shares'!$C:$FA,121)*100</f>
        <v>-12.959999999999999</v>
      </c>
      <c r="E121" s="143">
        <f>VLOOKUP($A121,'Data shares'!$C:$FA,124)</f>
        <v>0.61</v>
      </c>
      <c r="F121" s="143">
        <f>VLOOKUP($A121,'Data shares'!$C:$FA,125)</f>
        <v>0.55000000000000004</v>
      </c>
      <c r="G121" s="143">
        <f>VLOOKUP($A121,'Data shares'!$C:$FA,127)*100</f>
        <v>10.91</v>
      </c>
      <c r="H121" s="103">
        <f>VLOOKUP($A121,'OI(Volume)'!$A$7:$O$440,8)</f>
        <v>12051900</v>
      </c>
      <c r="I121" s="103">
        <f>VLOOKUP($A121,'OI(Volume)'!$A$7:$O$440,9)</f>
        <v>499100</v>
      </c>
      <c r="J121" s="103">
        <f>VLOOKUP($A121,'OI(Volume)'!$A$7:$O$440,11)</f>
        <v>5715500</v>
      </c>
      <c r="K121" s="103">
        <f>VLOOKUP($A121,'OI(Volume)'!$A$7:$O$440,12)</f>
        <v>-533400</v>
      </c>
      <c r="L121" s="103">
        <f>VLOOKUP($A121,'OI(Value)'!$A$7:$O$323,8,0)</f>
        <v>1055</v>
      </c>
      <c r="M121" s="103">
        <f>VLOOKUP($A121,'OI(Value)'!$A$7:$O$323,9,0)</f>
        <v>44</v>
      </c>
      <c r="N121" s="103">
        <f>VLOOKUP($A121,'OI(Value)'!$A$7:$O$323,11,0)</f>
        <v>500</v>
      </c>
      <c r="O121" s="103">
        <f>VLOOKUP($A121,'OI(Value)'!$A$7:$O$323,12,0)</f>
        <v>-47</v>
      </c>
      <c r="P121" s="179">
        <f>VLOOKUP(A121,'OI(Value)'!A121:O339,8,0)</f>
        <v>1055</v>
      </c>
      <c r="Q121" s="179">
        <f>VLOOKUP(A121,'OI(Value)'!A121:O339,9,0)</f>
        <v>44</v>
      </c>
      <c r="R121" s="179">
        <f>VLOOKUP(A121,'OI(Value)'!A121:O339,11,0)</f>
        <v>500</v>
      </c>
      <c r="S121" s="179">
        <f>VLOOKUP(A121,'OI(Value)'!A121:O339,11,0)</f>
        <v>500</v>
      </c>
    </row>
    <row r="122" spans="1:19" x14ac:dyDescent="0.25">
      <c r="A122" s="105" t="str">
        <f>'Data Vlaue (Cr)'!C117</f>
        <v>LODHA</v>
      </c>
      <c r="B122" s="143">
        <f>VLOOKUP($A122,'Data shares'!$C:$FA,118)</f>
        <v>1.04</v>
      </c>
      <c r="C122" s="143">
        <f>VLOOKUP($A122,'Data shares'!$C:$FA,119)</f>
        <v>1.0900000000000001</v>
      </c>
      <c r="D122" s="143">
        <f>VLOOKUP($A122,'Data shares'!$C:$FA,121)*100</f>
        <v>-4.5900000000000007</v>
      </c>
      <c r="E122" s="143">
        <f>VLOOKUP($A122,'Data shares'!$C:$FA,124)</f>
        <v>0.78</v>
      </c>
      <c r="F122" s="143">
        <f>VLOOKUP($A122,'Data shares'!$C:$FA,125)</f>
        <v>0.57999999999999996</v>
      </c>
      <c r="G122" s="143">
        <f>VLOOKUP($A122,'Data shares'!$C:$FA,127)*100</f>
        <v>34.479999999999997</v>
      </c>
      <c r="H122" s="103">
        <f>VLOOKUP($A122,'OI(Volume)'!$A$7:$O$440,8)</f>
        <v>2962800</v>
      </c>
      <c r="I122" s="103">
        <f>VLOOKUP($A122,'OI(Volume)'!$A$7:$O$440,9)</f>
        <v>88200</v>
      </c>
      <c r="J122" s="103">
        <f>VLOOKUP($A122,'OI(Volume)'!$A$7:$O$440,11)</f>
        <v>3069900</v>
      </c>
      <c r="K122" s="103">
        <f>VLOOKUP($A122,'OI(Volume)'!$A$7:$O$440,12)</f>
        <v>-69300</v>
      </c>
      <c r="L122" s="103">
        <f>VLOOKUP($A122,'OI(Value)'!$A$7:$O$323,8,0)</f>
        <v>325</v>
      </c>
      <c r="M122" s="103">
        <f>VLOOKUP($A122,'OI(Value)'!$A$7:$O$323,9,0)</f>
        <v>10</v>
      </c>
      <c r="N122" s="103">
        <f>VLOOKUP($A122,'OI(Value)'!$A$7:$O$323,11,0)</f>
        <v>336</v>
      </c>
      <c r="O122" s="103">
        <f>VLOOKUP($A122,'OI(Value)'!$A$7:$O$323,12,0)</f>
        <v>-8</v>
      </c>
      <c r="P122" s="179">
        <f>VLOOKUP(A122,'OI(Value)'!A122:O340,8,0)</f>
        <v>325</v>
      </c>
      <c r="Q122" s="179">
        <f>VLOOKUP(A122,'OI(Value)'!A122:O340,9,0)</f>
        <v>10</v>
      </c>
      <c r="R122" s="179">
        <f>VLOOKUP(A122,'OI(Value)'!A122:O340,11,0)</f>
        <v>336</v>
      </c>
      <c r="S122" s="179">
        <f>VLOOKUP(A122,'OI(Value)'!A122:O340,11,0)</f>
        <v>336</v>
      </c>
    </row>
    <row r="123" spans="1:19" x14ac:dyDescent="0.25">
      <c r="A123" s="105" t="str">
        <f>'Data Vlaue (Cr)'!C118</f>
        <v>LT</v>
      </c>
      <c r="B123" s="143">
        <f>VLOOKUP($A123,'Data shares'!$C:$FA,118)</f>
        <v>0.83</v>
      </c>
      <c r="C123" s="143">
        <f>VLOOKUP($A123,'Data shares'!$C:$FA,119)</f>
        <v>0.85</v>
      </c>
      <c r="D123" s="143">
        <f>VLOOKUP($A123,'Data shares'!$C:$FA,121)*100</f>
        <v>-2.35</v>
      </c>
      <c r="E123" s="143">
        <f>VLOOKUP($A123,'Data shares'!$C:$FA,124)</f>
        <v>1.29</v>
      </c>
      <c r="F123" s="143">
        <f>VLOOKUP($A123,'Data shares'!$C:$FA,125)</f>
        <v>0.66</v>
      </c>
      <c r="G123" s="143">
        <f>VLOOKUP($A123,'Data shares'!$C:$FA,127)*100</f>
        <v>95.45</v>
      </c>
      <c r="H123" s="103">
        <f>VLOOKUP($A123,'OI(Volume)'!$A$7:$O$440,8)</f>
        <v>8380050</v>
      </c>
      <c r="I123" s="103">
        <f>VLOOKUP($A123,'OI(Volume)'!$A$7:$O$440,9)</f>
        <v>298025</v>
      </c>
      <c r="J123" s="103">
        <f>VLOOKUP($A123,'OI(Volume)'!$A$7:$O$440,11)</f>
        <v>6931050</v>
      </c>
      <c r="K123" s="103">
        <f>VLOOKUP($A123,'OI(Volume)'!$A$7:$O$440,12)</f>
        <v>70700</v>
      </c>
      <c r="L123" s="103">
        <f>VLOOKUP($A123,'OI(Value)'!$A$7:$O$323,8,0)</f>
        <v>3495</v>
      </c>
      <c r="M123" s="103">
        <f>VLOOKUP($A123,'OI(Value)'!$A$7:$O$323,9,0)</f>
        <v>124</v>
      </c>
      <c r="N123" s="103">
        <f>VLOOKUP($A123,'OI(Value)'!$A$7:$O$323,11,0)</f>
        <v>2891</v>
      </c>
      <c r="O123" s="103">
        <f>VLOOKUP($A123,'OI(Value)'!$A$7:$O$323,12,0)</f>
        <v>29</v>
      </c>
      <c r="P123" s="179">
        <f>VLOOKUP(A123,'OI(Value)'!A123:O341,8,0)</f>
        <v>3495</v>
      </c>
      <c r="Q123" s="179">
        <f>VLOOKUP(A123,'OI(Value)'!A123:O341,9,0)</f>
        <v>124</v>
      </c>
      <c r="R123" s="179">
        <f>VLOOKUP(A123,'OI(Value)'!A123:O341,11,0)</f>
        <v>2891</v>
      </c>
      <c r="S123" s="179">
        <f>VLOOKUP(A123,'OI(Value)'!A123:O341,11,0)</f>
        <v>2891</v>
      </c>
    </row>
    <row r="124" spans="1:19" x14ac:dyDescent="0.25">
      <c r="A124" s="105" t="str">
        <f>'Data Vlaue (Cr)'!C119</f>
        <v>LTF</v>
      </c>
      <c r="B124" s="143">
        <f>VLOOKUP($A124,'Data shares'!$C:$FA,118)</f>
        <v>0.6</v>
      </c>
      <c r="C124" s="143">
        <f>VLOOKUP($A124,'Data shares'!$C:$FA,119)</f>
        <v>0.67</v>
      </c>
      <c r="D124" s="143">
        <f>VLOOKUP($A124,'Data shares'!$C:$FA,121)*100</f>
        <v>-10.45</v>
      </c>
      <c r="E124" s="143">
        <f>VLOOKUP($A124,'Data shares'!$C:$FA,124)</f>
        <v>0.43</v>
      </c>
      <c r="F124" s="143">
        <f>VLOOKUP($A124,'Data shares'!$C:$FA,125)</f>
        <v>0.42</v>
      </c>
      <c r="G124" s="143">
        <f>VLOOKUP($A124,'Data shares'!$C:$FA,127)*100</f>
        <v>2.3800000000000003</v>
      </c>
      <c r="H124" s="103">
        <f>VLOOKUP($A124,'OI(Volume)'!$A$7:$O$440,8)</f>
        <v>34906500</v>
      </c>
      <c r="I124" s="103">
        <f>VLOOKUP($A124,'OI(Volume)'!$A$7:$O$440,9)</f>
        <v>6720750</v>
      </c>
      <c r="J124" s="103">
        <f>VLOOKUP($A124,'OI(Volume)'!$A$7:$O$440,11)</f>
        <v>20832750</v>
      </c>
      <c r="K124" s="103">
        <f>VLOOKUP($A124,'OI(Volume)'!$A$7:$O$440,12)</f>
        <v>1818000</v>
      </c>
      <c r="L124" s="103">
        <f>VLOOKUP($A124,'OI(Value)'!$A$7:$O$323,8,0)</f>
        <v>1005</v>
      </c>
      <c r="M124" s="103">
        <f>VLOOKUP($A124,'OI(Value)'!$A$7:$O$323,9,0)</f>
        <v>194</v>
      </c>
      <c r="N124" s="103">
        <f>VLOOKUP($A124,'OI(Value)'!$A$7:$O$323,11,0)</f>
        <v>600</v>
      </c>
      <c r="O124" s="103">
        <f>VLOOKUP($A124,'OI(Value)'!$A$7:$O$323,12,0)</f>
        <v>52</v>
      </c>
      <c r="P124" s="179">
        <f>VLOOKUP(A124,'OI(Value)'!A124:O342,8,0)</f>
        <v>1005</v>
      </c>
      <c r="Q124" s="179">
        <f>VLOOKUP(A124,'OI(Value)'!A124:O342,9,0)</f>
        <v>194</v>
      </c>
      <c r="R124" s="179">
        <f>VLOOKUP(A124,'OI(Value)'!A124:O342,11,0)</f>
        <v>600</v>
      </c>
      <c r="S124" s="179">
        <f>VLOOKUP(A124,'OI(Value)'!A124:O342,11,0)</f>
        <v>600</v>
      </c>
    </row>
    <row r="125" spans="1:19" x14ac:dyDescent="0.25">
      <c r="A125" s="105" t="str">
        <f>'Data Vlaue (Cr)'!C120</f>
        <v>LTIM</v>
      </c>
      <c r="B125" s="143">
        <f>VLOOKUP($A125,'Data shares'!$C:$FA,118)</f>
        <v>0.7</v>
      </c>
      <c r="C125" s="143">
        <f>VLOOKUP($A125,'Data shares'!$C:$FA,119)</f>
        <v>0.73</v>
      </c>
      <c r="D125" s="143">
        <f>VLOOKUP($A125,'Data shares'!$C:$FA,121)*100</f>
        <v>-4.1099999999999994</v>
      </c>
      <c r="E125" s="143">
        <f>VLOOKUP($A125,'Data shares'!$C:$FA,124)</f>
        <v>0.66</v>
      </c>
      <c r="F125" s="143">
        <f>VLOOKUP($A125,'Data shares'!$C:$FA,125)</f>
        <v>0.57999999999999996</v>
      </c>
      <c r="G125" s="143">
        <f>VLOOKUP($A125,'Data shares'!$C:$FA,127)*100</f>
        <v>13.79</v>
      </c>
      <c r="H125" s="103">
        <f>VLOOKUP($A125,'OI(Volume)'!$A$7:$O$440,8)</f>
        <v>1438500</v>
      </c>
      <c r="I125" s="103">
        <f>VLOOKUP($A125,'OI(Volume)'!$A$7:$O$440,9)</f>
        <v>187200</v>
      </c>
      <c r="J125" s="103">
        <f>VLOOKUP($A125,'OI(Volume)'!$A$7:$O$440,11)</f>
        <v>1005150</v>
      </c>
      <c r="K125" s="103">
        <f>VLOOKUP($A125,'OI(Volume)'!$A$7:$O$440,12)</f>
        <v>96300</v>
      </c>
      <c r="L125" s="103">
        <f>VLOOKUP($A125,'OI(Value)'!$A$7:$O$323,8,0)</f>
        <v>796</v>
      </c>
      <c r="M125" s="103">
        <f>VLOOKUP($A125,'OI(Value)'!$A$7:$O$323,9,0)</f>
        <v>104</v>
      </c>
      <c r="N125" s="103">
        <f>VLOOKUP($A125,'OI(Value)'!$A$7:$O$323,11,0)</f>
        <v>556</v>
      </c>
      <c r="O125" s="103">
        <f>VLOOKUP($A125,'OI(Value)'!$A$7:$O$323,12,0)</f>
        <v>53</v>
      </c>
      <c r="P125" s="179">
        <f>VLOOKUP(A125,'OI(Value)'!A125:O343,8,0)</f>
        <v>796</v>
      </c>
      <c r="Q125" s="179">
        <f>VLOOKUP(A125,'OI(Value)'!A125:O343,9,0)</f>
        <v>104</v>
      </c>
      <c r="R125" s="179">
        <f>VLOOKUP(A125,'OI(Value)'!A125:O343,11,0)</f>
        <v>556</v>
      </c>
      <c r="S125" s="179">
        <f>VLOOKUP(A125,'OI(Value)'!A125:O343,11,0)</f>
        <v>556</v>
      </c>
    </row>
    <row r="126" spans="1:19" x14ac:dyDescent="0.25">
      <c r="A126" s="105" t="str">
        <f>'Data Vlaue (Cr)'!C121</f>
        <v>LUPIN</v>
      </c>
      <c r="B126" s="143">
        <f>VLOOKUP($A126,'Data shares'!$C:$FA,118)</f>
        <v>0.54</v>
      </c>
      <c r="C126" s="143">
        <f>VLOOKUP($A126,'Data shares'!$C:$FA,119)</f>
        <v>0.55000000000000004</v>
      </c>
      <c r="D126" s="143">
        <f>VLOOKUP($A126,'Data shares'!$C:$FA,121)*100</f>
        <v>-1.82</v>
      </c>
      <c r="E126" s="143">
        <f>VLOOKUP($A126,'Data shares'!$C:$FA,124)</f>
        <v>0.33</v>
      </c>
      <c r="F126" s="143">
        <f>VLOOKUP($A126,'Data shares'!$C:$FA,125)</f>
        <v>0.39</v>
      </c>
      <c r="G126" s="143">
        <f>VLOOKUP($A126,'Data shares'!$C:$FA,127)*100</f>
        <v>-15.379999999999999</v>
      </c>
      <c r="H126" s="103">
        <f>VLOOKUP($A126,'OI(Volume)'!$A$7:$O$440,8)</f>
        <v>4159475</v>
      </c>
      <c r="I126" s="103">
        <f>VLOOKUP($A126,'OI(Volume)'!$A$7:$O$440,9)</f>
        <v>542300</v>
      </c>
      <c r="J126" s="103">
        <f>VLOOKUP($A126,'OI(Volume)'!$A$7:$O$440,11)</f>
        <v>2254200</v>
      </c>
      <c r="K126" s="103">
        <f>VLOOKUP($A126,'OI(Volume)'!$A$7:$O$440,12)</f>
        <v>258825</v>
      </c>
      <c r="L126" s="103">
        <f>VLOOKUP($A126,'OI(Value)'!$A$7:$O$323,8,0)</f>
        <v>921</v>
      </c>
      <c r="M126" s="103">
        <f>VLOOKUP($A126,'OI(Value)'!$A$7:$O$323,9,0)</f>
        <v>120</v>
      </c>
      <c r="N126" s="103">
        <f>VLOOKUP($A126,'OI(Value)'!$A$7:$O$323,11,0)</f>
        <v>499</v>
      </c>
      <c r="O126" s="103">
        <f>VLOOKUP($A126,'OI(Value)'!$A$7:$O$323,12,0)</f>
        <v>57</v>
      </c>
      <c r="P126" s="179">
        <f>VLOOKUP(A126,'OI(Value)'!A126:O344,8,0)</f>
        <v>921</v>
      </c>
      <c r="Q126" s="179">
        <f>VLOOKUP(A126,'OI(Value)'!A126:O344,9,0)</f>
        <v>120</v>
      </c>
      <c r="R126" s="179">
        <f>VLOOKUP(A126,'OI(Value)'!A126:O344,11,0)</f>
        <v>499</v>
      </c>
      <c r="S126" s="179">
        <f>VLOOKUP(A126,'OI(Value)'!A126:O344,11,0)</f>
        <v>499</v>
      </c>
    </row>
    <row r="127" spans="1:19" x14ac:dyDescent="0.25">
      <c r="A127" s="105" t="str">
        <f>'Data Vlaue (Cr)'!C122</f>
        <v>M&amp;M</v>
      </c>
      <c r="B127" s="143">
        <f>VLOOKUP($A127,'Data shares'!$C:$FA,118)</f>
        <v>0.47</v>
      </c>
      <c r="C127" s="143">
        <f>VLOOKUP($A127,'Data shares'!$C:$FA,119)</f>
        <v>0.66</v>
      </c>
      <c r="D127" s="143">
        <f>VLOOKUP($A127,'Data shares'!$C:$FA,121)*100</f>
        <v>-28.79</v>
      </c>
      <c r="E127" s="143">
        <f>VLOOKUP($A127,'Data shares'!$C:$FA,124)</f>
        <v>0.4</v>
      </c>
      <c r="F127" s="143">
        <f>VLOOKUP($A127,'Data shares'!$C:$FA,125)</f>
        <v>0.35</v>
      </c>
      <c r="G127" s="143">
        <f>VLOOKUP($A127,'Data shares'!$C:$FA,127)*100</f>
        <v>14.29</v>
      </c>
      <c r="H127" s="103">
        <f>VLOOKUP($A127,'OI(Volume)'!$A$7:$O$440,8)</f>
        <v>9578800</v>
      </c>
      <c r="I127" s="103">
        <f>VLOOKUP($A127,'OI(Volume)'!$A$7:$O$440,9)</f>
        <v>4395200</v>
      </c>
      <c r="J127" s="103">
        <f>VLOOKUP($A127,'OI(Volume)'!$A$7:$O$440,11)</f>
        <v>4494200</v>
      </c>
      <c r="K127" s="103">
        <f>VLOOKUP($A127,'OI(Volume)'!$A$7:$O$440,12)</f>
        <v>1055600</v>
      </c>
      <c r="L127" s="103">
        <f>VLOOKUP($A127,'OI(Value)'!$A$7:$O$323,8,0)</f>
        <v>3526</v>
      </c>
      <c r="M127" s="103">
        <f>VLOOKUP($A127,'OI(Value)'!$A$7:$O$323,9,0)</f>
        <v>1618</v>
      </c>
      <c r="N127" s="103">
        <f>VLOOKUP($A127,'OI(Value)'!$A$7:$O$323,11,0)</f>
        <v>1654</v>
      </c>
      <c r="O127" s="103">
        <f>VLOOKUP($A127,'OI(Value)'!$A$7:$O$323,12,0)</f>
        <v>389</v>
      </c>
      <c r="P127" s="179">
        <f>VLOOKUP(A127,'OI(Value)'!A127:O345,8,0)</f>
        <v>3526</v>
      </c>
      <c r="Q127" s="179">
        <f>VLOOKUP(A127,'OI(Value)'!A127:O345,9,0)</f>
        <v>1618</v>
      </c>
      <c r="R127" s="179">
        <f>VLOOKUP(A127,'OI(Value)'!A127:O345,11,0)</f>
        <v>1654</v>
      </c>
      <c r="S127" s="179">
        <f>VLOOKUP(A127,'OI(Value)'!A127:O345,11,0)</f>
        <v>1654</v>
      </c>
    </row>
    <row r="128" spans="1:19" x14ac:dyDescent="0.25">
      <c r="A128" s="105" t="str">
        <f>'Data Vlaue (Cr)'!C123</f>
        <v>MANAPPURAM</v>
      </c>
      <c r="B128" s="143">
        <f>VLOOKUP($A128,'Data shares'!$C:$FA,118)</f>
        <v>0.96</v>
      </c>
      <c r="C128" s="143">
        <f>VLOOKUP($A128,'Data shares'!$C:$FA,119)</f>
        <v>0.79</v>
      </c>
      <c r="D128" s="143">
        <f>VLOOKUP($A128,'Data shares'!$C:$FA,121)*100</f>
        <v>21.52</v>
      </c>
      <c r="E128" s="143">
        <f>VLOOKUP($A128,'Data shares'!$C:$FA,124)</f>
        <v>0.78</v>
      </c>
      <c r="F128" s="143">
        <f>VLOOKUP($A128,'Data shares'!$C:$FA,125)</f>
        <v>0.53</v>
      </c>
      <c r="G128" s="143">
        <f>VLOOKUP($A128,'Data shares'!$C:$FA,127)*100</f>
        <v>47.17</v>
      </c>
      <c r="H128" s="103">
        <f>VLOOKUP($A128,'OI(Volume)'!$A$7:$O$440,8)</f>
        <v>22245000</v>
      </c>
      <c r="I128" s="103">
        <f>VLOOKUP($A128,'OI(Volume)'!$A$7:$O$440,9)</f>
        <v>-585000</v>
      </c>
      <c r="J128" s="103">
        <f>VLOOKUP($A128,'OI(Volume)'!$A$7:$O$440,11)</f>
        <v>21354000</v>
      </c>
      <c r="K128" s="103">
        <f>VLOOKUP($A128,'OI(Volume)'!$A$7:$O$440,12)</f>
        <v>3258000</v>
      </c>
      <c r="L128" s="103">
        <f>VLOOKUP($A128,'OI(Value)'!$A$7:$O$323,8,0)</f>
        <v>674</v>
      </c>
      <c r="M128" s="103">
        <f>VLOOKUP($A128,'OI(Value)'!$A$7:$O$323,9,0)</f>
        <v>-18</v>
      </c>
      <c r="N128" s="103">
        <f>VLOOKUP($A128,'OI(Value)'!$A$7:$O$323,11,0)</f>
        <v>647</v>
      </c>
      <c r="O128" s="103">
        <f>VLOOKUP($A128,'OI(Value)'!$A$7:$O$323,12,0)</f>
        <v>99</v>
      </c>
      <c r="P128" s="179">
        <f>VLOOKUP(A128,'OI(Value)'!A128:O346,8,0)</f>
        <v>674</v>
      </c>
      <c r="Q128" s="179">
        <f>VLOOKUP(A128,'OI(Value)'!A128:O346,9,0)</f>
        <v>-18</v>
      </c>
      <c r="R128" s="179">
        <f>VLOOKUP(A128,'OI(Value)'!A128:O346,11,0)</f>
        <v>647</v>
      </c>
      <c r="S128" s="179">
        <f>VLOOKUP(A128,'OI(Value)'!A128:O346,11,0)</f>
        <v>647</v>
      </c>
    </row>
    <row r="129" spans="1:19" x14ac:dyDescent="0.25">
      <c r="A129" s="105" t="str">
        <f>'Data Vlaue (Cr)'!C124</f>
        <v>MANKIND</v>
      </c>
      <c r="B129" s="143">
        <f>VLOOKUP($A129,'Data shares'!$C:$FA,118)</f>
        <v>0.38</v>
      </c>
      <c r="C129" s="143">
        <f>VLOOKUP($A129,'Data shares'!$C:$FA,119)</f>
        <v>0.37</v>
      </c>
      <c r="D129" s="143">
        <f>VLOOKUP($A129,'Data shares'!$C:$FA,121)*100</f>
        <v>2.7</v>
      </c>
      <c r="E129" s="143">
        <f>VLOOKUP($A129,'Data shares'!$C:$FA,124)</f>
        <v>0.2</v>
      </c>
      <c r="F129" s="143">
        <f>VLOOKUP($A129,'Data shares'!$C:$FA,125)</f>
        <v>0.24</v>
      </c>
      <c r="G129" s="143">
        <f>VLOOKUP($A129,'Data shares'!$C:$FA,127)*100</f>
        <v>-16.669999999999998</v>
      </c>
      <c r="H129" s="103">
        <f>VLOOKUP($A129,'OI(Volume)'!$A$7:$O$440,8)</f>
        <v>1732725</v>
      </c>
      <c r="I129" s="103">
        <f>VLOOKUP($A129,'OI(Volume)'!$A$7:$O$440,9)</f>
        <v>-34650</v>
      </c>
      <c r="J129" s="103">
        <f>VLOOKUP($A129,'OI(Volume)'!$A$7:$O$440,11)</f>
        <v>657450</v>
      </c>
      <c r="K129" s="103">
        <f>VLOOKUP($A129,'OI(Volume)'!$A$7:$O$440,12)</f>
        <v>-3600</v>
      </c>
      <c r="L129" s="103">
        <f>VLOOKUP($A129,'OI(Value)'!$A$7:$O$323,8,0)</f>
        <v>361</v>
      </c>
      <c r="M129" s="103">
        <f>VLOOKUP($A129,'OI(Value)'!$A$7:$O$323,9,0)</f>
        <v>-7</v>
      </c>
      <c r="N129" s="103">
        <f>VLOOKUP($A129,'OI(Value)'!$A$7:$O$323,11,0)</f>
        <v>137</v>
      </c>
      <c r="O129" s="103">
        <f>VLOOKUP($A129,'OI(Value)'!$A$7:$O$323,12,0)</f>
        <v>-1</v>
      </c>
      <c r="P129" s="179">
        <f>VLOOKUP(A129,'OI(Value)'!A129:O347,8,0)</f>
        <v>361</v>
      </c>
      <c r="Q129" s="179">
        <f>VLOOKUP(A129,'OI(Value)'!A129:O347,9,0)</f>
        <v>-7</v>
      </c>
      <c r="R129" s="179">
        <f>VLOOKUP(A129,'OI(Value)'!A129:O347,11,0)</f>
        <v>137</v>
      </c>
      <c r="S129" s="179">
        <f>VLOOKUP(A129,'OI(Value)'!A129:O347,11,0)</f>
        <v>137</v>
      </c>
    </row>
    <row r="130" spans="1:19" x14ac:dyDescent="0.25">
      <c r="A130" s="105" t="str">
        <f>'Data Vlaue (Cr)'!C125</f>
        <v>MARICO</v>
      </c>
      <c r="B130" s="143">
        <f>VLOOKUP($A130,'Data shares'!$C:$FA,118)</f>
        <v>0.84</v>
      </c>
      <c r="C130" s="143">
        <f>VLOOKUP($A130,'Data shares'!$C:$FA,119)</f>
        <v>0.77</v>
      </c>
      <c r="D130" s="143">
        <f>VLOOKUP($A130,'Data shares'!$C:$FA,121)*100</f>
        <v>9.09</v>
      </c>
      <c r="E130" s="143">
        <f>VLOOKUP($A130,'Data shares'!$C:$FA,124)</f>
        <v>0.44</v>
      </c>
      <c r="F130" s="143">
        <f>VLOOKUP($A130,'Data shares'!$C:$FA,125)</f>
        <v>0.43</v>
      </c>
      <c r="G130" s="143">
        <f>VLOOKUP($A130,'Data shares'!$C:$FA,127)*100</f>
        <v>2.33</v>
      </c>
      <c r="H130" s="103">
        <f>VLOOKUP($A130,'OI(Volume)'!$A$7:$O$440,8)</f>
        <v>5157600</v>
      </c>
      <c r="I130" s="103">
        <f>VLOOKUP($A130,'OI(Volume)'!$A$7:$O$440,9)</f>
        <v>-86400</v>
      </c>
      <c r="J130" s="103">
        <f>VLOOKUP($A130,'OI(Volume)'!$A$7:$O$440,11)</f>
        <v>4314000</v>
      </c>
      <c r="K130" s="103">
        <f>VLOOKUP($A130,'OI(Volume)'!$A$7:$O$440,12)</f>
        <v>294000</v>
      </c>
      <c r="L130" s="103">
        <f>VLOOKUP($A130,'OI(Value)'!$A$7:$O$323,8,0)</f>
        <v>398</v>
      </c>
      <c r="M130" s="103">
        <f>VLOOKUP($A130,'OI(Value)'!$A$7:$O$323,9,0)</f>
        <v>-7</v>
      </c>
      <c r="N130" s="103">
        <f>VLOOKUP($A130,'OI(Value)'!$A$7:$O$323,11,0)</f>
        <v>333</v>
      </c>
      <c r="O130" s="103">
        <f>VLOOKUP($A130,'OI(Value)'!$A$7:$O$323,12,0)</f>
        <v>23</v>
      </c>
      <c r="P130" s="179">
        <f>VLOOKUP(A130,'OI(Value)'!A130:O348,8,0)</f>
        <v>398</v>
      </c>
      <c r="Q130" s="179">
        <f>VLOOKUP(A130,'OI(Value)'!A130:O348,9,0)</f>
        <v>-7</v>
      </c>
      <c r="R130" s="179">
        <f>VLOOKUP(A130,'OI(Value)'!A130:O348,11,0)</f>
        <v>333</v>
      </c>
      <c r="S130" s="179">
        <f>VLOOKUP(A130,'OI(Value)'!A130:O348,11,0)</f>
        <v>333</v>
      </c>
    </row>
    <row r="131" spans="1:19" x14ac:dyDescent="0.25">
      <c r="A131" s="105" t="str">
        <f>'Data Vlaue (Cr)'!C126</f>
        <v>MARUTI</v>
      </c>
      <c r="B131" s="143">
        <f>VLOOKUP($A131,'Data shares'!$C:$FA,118)</f>
        <v>0.57999999999999996</v>
      </c>
      <c r="C131" s="143">
        <f>VLOOKUP($A131,'Data shares'!$C:$FA,119)</f>
        <v>0.49</v>
      </c>
      <c r="D131" s="143">
        <f>VLOOKUP($A131,'Data shares'!$C:$FA,121)*100</f>
        <v>18.37</v>
      </c>
      <c r="E131" s="143">
        <f>VLOOKUP($A131,'Data shares'!$C:$FA,124)</f>
        <v>0.43</v>
      </c>
      <c r="F131" s="143">
        <f>VLOOKUP($A131,'Data shares'!$C:$FA,125)</f>
        <v>0.42</v>
      </c>
      <c r="G131" s="143">
        <f>VLOOKUP($A131,'Data shares'!$C:$FA,127)*100</f>
        <v>2.3800000000000003</v>
      </c>
      <c r="H131" s="103">
        <f>VLOOKUP($A131,'OI(Volume)'!$A$7:$O$440,8)</f>
        <v>2839200</v>
      </c>
      <c r="I131" s="103">
        <f>VLOOKUP($A131,'OI(Volume)'!$A$7:$O$440,9)</f>
        <v>-164250</v>
      </c>
      <c r="J131" s="103">
        <f>VLOOKUP($A131,'OI(Volume)'!$A$7:$O$440,11)</f>
        <v>1655950</v>
      </c>
      <c r="K131" s="103">
        <f>VLOOKUP($A131,'OI(Volume)'!$A$7:$O$440,12)</f>
        <v>187300</v>
      </c>
      <c r="L131" s="103">
        <f>VLOOKUP($A131,'OI(Value)'!$A$7:$O$323,8,0)</f>
        <v>4377</v>
      </c>
      <c r="M131" s="103">
        <f>VLOOKUP($A131,'OI(Value)'!$A$7:$O$323,9,0)</f>
        <v>-253</v>
      </c>
      <c r="N131" s="103">
        <f>VLOOKUP($A131,'OI(Value)'!$A$7:$O$323,11,0)</f>
        <v>2553</v>
      </c>
      <c r="O131" s="103">
        <f>VLOOKUP($A131,'OI(Value)'!$A$7:$O$323,12,0)</f>
        <v>289</v>
      </c>
      <c r="P131" s="179">
        <f>VLOOKUP(A131,'OI(Value)'!A131:O349,8,0)</f>
        <v>4377</v>
      </c>
      <c r="Q131" s="179">
        <f>VLOOKUP(A131,'OI(Value)'!A131:O349,9,0)</f>
        <v>-253</v>
      </c>
      <c r="R131" s="179">
        <f>VLOOKUP(A131,'OI(Value)'!A131:O349,11,0)</f>
        <v>2553</v>
      </c>
      <c r="S131" s="179">
        <f>VLOOKUP(A131,'OI(Value)'!A131:O349,11,0)</f>
        <v>2553</v>
      </c>
    </row>
    <row r="132" spans="1:19" x14ac:dyDescent="0.25">
      <c r="A132" s="105" t="str">
        <f>'Data Vlaue (Cr)'!C127</f>
        <v>MAXHEALTH</v>
      </c>
      <c r="B132" s="143">
        <f>VLOOKUP($A132,'Data shares'!$C:$FA,118)</f>
        <v>0.79</v>
      </c>
      <c r="C132" s="143">
        <f>VLOOKUP($A132,'Data shares'!$C:$FA,119)</f>
        <v>0.95</v>
      </c>
      <c r="D132" s="143">
        <f>VLOOKUP($A132,'Data shares'!$C:$FA,121)*100</f>
        <v>-16.84</v>
      </c>
      <c r="E132" s="143">
        <f>VLOOKUP($A132,'Data shares'!$C:$FA,124)</f>
        <v>0.27</v>
      </c>
      <c r="F132" s="143">
        <f>VLOOKUP($A132,'Data shares'!$C:$FA,125)</f>
        <v>0.47</v>
      </c>
      <c r="G132" s="143">
        <f>VLOOKUP($A132,'Data shares'!$C:$FA,127)*100</f>
        <v>-42.55</v>
      </c>
      <c r="H132" s="103">
        <f>VLOOKUP($A132,'OI(Volume)'!$A$7:$O$440,8)</f>
        <v>4279800</v>
      </c>
      <c r="I132" s="103">
        <f>VLOOKUP($A132,'OI(Volume)'!$A$7:$O$440,9)</f>
        <v>1100925</v>
      </c>
      <c r="J132" s="103">
        <f>VLOOKUP($A132,'OI(Volume)'!$A$7:$O$440,11)</f>
        <v>3399375</v>
      </c>
      <c r="K132" s="103">
        <f>VLOOKUP($A132,'OI(Volume)'!$A$7:$O$440,12)</f>
        <v>367500</v>
      </c>
      <c r="L132" s="103">
        <f>VLOOKUP($A132,'OI(Value)'!$A$7:$O$323,8,0)</f>
        <v>452</v>
      </c>
      <c r="M132" s="103">
        <f>VLOOKUP($A132,'OI(Value)'!$A$7:$O$323,9,0)</f>
        <v>116</v>
      </c>
      <c r="N132" s="103">
        <f>VLOOKUP($A132,'OI(Value)'!$A$7:$O$323,11,0)</f>
        <v>359</v>
      </c>
      <c r="O132" s="103">
        <f>VLOOKUP($A132,'OI(Value)'!$A$7:$O$323,12,0)</f>
        <v>39</v>
      </c>
      <c r="P132" s="179">
        <f>VLOOKUP(A132,'OI(Value)'!A132:O350,8,0)</f>
        <v>452</v>
      </c>
      <c r="Q132" s="179">
        <f>VLOOKUP(A132,'OI(Value)'!A132:O350,9,0)</f>
        <v>116</v>
      </c>
      <c r="R132" s="179">
        <f>VLOOKUP(A132,'OI(Value)'!A132:O350,11,0)</f>
        <v>359</v>
      </c>
      <c r="S132" s="179">
        <f>VLOOKUP(A132,'OI(Value)'!A132:O350,11,0)</f>
        <v>359</v>
      </c>
    </row>
    <row r="133" spans="1:19" x14ac:dyDescent="0.25">
      <c r="A133" s="105" t="str">
        <f>'Data Vlaue (Cr)'!C128</f>
        <v>MAZDOCK</v>
      </c>
      <c r="B133" s="143">
        <f>VLOOKUP($A133,'Data shares'!$C:$FA,118)</f>
        <v>0.42</v>
      </c>
      <c r="C133" s="143">
        <f>VLOOKUP($A133,'Data shares'!$C:$FA,119)</f>
        <v>0.42</v>
      </c>
      <c r="D133" s="143">
        <f>VLOOKUP($A133,'Data shares'!$C:$FA,121)*100</f>
        <v>0</v>
      </c>
      <c r="E133" s="143">
        <f>VLOOKUP($A133,'Data shares'!$C:$FA,124)</f>
        <v>0.27</v>
      </c>
      <c r="F133" s="143">
        <f>VLOOKUP($A133,'Data shares'!$C:$FA,125)</f>
        <v>0.24</v>
      </c>
      <c r="G133" s="143">
        <f>VLOOKUP($A133,'Data shares'!$C:$FA,127)*100</f>
        <v>12.5</v>
      </c>
      <c r="H133" s="103">
        <f>VLOOKUP($A133,'OI(Volume)'!$A$7:$O$440,8)</f>
        <v>4344400</v>
      </c>
      <c r="I133" s="103">
        <f>VLOOKUP($A133,'OI(Volume)'!$A$7:$O$440,9)</f>
        <v>21400</v>
      </c>
      <c r="J133" s="103">
        <f>VLOOKUP($A133,'OI(Volume)'!$A$7:$O$440,11)</f>
        <v>1814200</v>
      </c>
      <c r="K133" s="103">
        <f>VLOOKUP($A133,'OI(Volume)'!$A$7:$O$440,12)</f>
        <v>-1200</v>
      </c>
      <c r="L133" s="103">
        <f>VLOOKUP($A133,'OI(Value)'!$A$7:$O$323,8,0)</f>
        <v>1057</v>
      </c>
      <c r="M133" s="103">
        <f>VLOOKUP($A133,'OI(Value)'!$A$7:$O$323,9,0)</f>
        <v>5</v>
      </c>
      <c r="N133" s="103">
        <f>VLOOKUP($A133,'OI(Value)'!$A$7:$O$323,11,0)</f>
        <v>441</v>
      </c>
      <c r="O133" s="103">
        <f>VLOOKUP($A133,'OI(Value)'!$A$7:$O$323,12,0)</f>
        <v>0</v>
      </c>
      <c r="P133" s="179">
        <f>VLOOKUP(A133,'OI(Value)'!A133:O351,8,0)</f>
        <v>1057</v>
      </c>
      <c r="Q133" s="179">
        <f>VLOOKUP(A133,'OI(Value)'!A133:O351,9,0)</f>
        <v>5</v>
      </c>
      <c r="R133" s="179">
        <f>VLOOKUP(A133,'OI(Value)'!A133:O351,11,0)</f>
        <v>441</v>
      </c>
      <c r="S133" s="179">
        <f>VLOOKUP(A133,'OI(Value)'!A133:O351,11,0)</f>
        <v>441</v>
      </c>
    </row>
    <row r="134" spans="1:19" x14ac:dyDescent="0.25">
      <c r="A134" s="105" t="str">
        <f>'Data Vlaue (Cr)'!C129</f>
        <v>MCX</v>
      </c>
      <c r="B134" s="143">
        <f>VLOOKUP($A134,'Data shares'!$C:$FA,118)</f>
        <v>0.67</v>
      </c>
      <c r="C134" s="143">
        <f>VLOOKUP($A134,'Data shares'!$C:$FA,119)</f>
        <v>0.74</v>
      </c>
      <c r="D134" s="143">
        <f>VLOOKUP($A134,'Data shares'!$C:$FA,121)*100</f>
        <v>-9.4600000000000009</v>
      </c>
      <c r="E134" s="143">
        <f>VLOOKUP($A134,'Data shares'!$C:$FA,124)</f>
        <v>0.54</v>
      </c>
      <c r="F134" s="143">
        <f>VLOOKUP($A134,'Data shares'!$C:$FA,125)</f>
        <v>0.47</v>
      </c>
      <c r="G134" s="143">
        <f>VLOOKUP($A134,'Data shares'!$C:$FA,127)*100</f>
        <v>14.89</v>
      </c>
      <c r="H134" s="103">
        <f>VLOOKUP($A134,'OI(Volume)'!$A$7:$O$440,8)</f>
        <v>17214375</v>
      </c>
      <c r="I134" s="103">
        <f>VLOOKUP($A134,'OI(Volume)'!$A$7:$O$440,9)</f>
        <v>2405000</v>
      </c>
      <c r="J134" s="103">
        <f>VLOOKUP($A134,'OI(Volume)'!$A$7:$O$440,11)</f>
        <v>11483750</v>
      </c>
      <c r="K134" s="103">
        <f>VLOOKUP($A134,'OI(Volume)'!$A$7:$O$440,12)</f>
        <v>530000</v>
      </c>
      <c r="L134" s="103">
        <f>VLOOKUP($A134,'OI(Value)'!$A$7:$O$323,8,0)</f>
        <v>4083</v>
      </c>
      <c r="M134" s="103">
        <f>VLOOKUP($A134,'OI(Value)'!$A$7:$O$323,9,0)</f>
        <v>570</v>
      </c>
      <c r="N134" s="103">
        <f>VLOOKUP($A134,'OI(Value)'!$A$7:$O$323,11,0)</f>
        <v>2724</v>
      </c>
      <c r="O134" s="103">
        <f>VLOOKUP($A134,'OI(Value)'!$A$7:$O$323,12,0)</f>
        <v>126</v>
      </c>
      <c r="P134" s="179">
        <f>VLOOKUP(A134,'OI(Value)'!A134:O352,8,0)</f>
        <v>4083</v>
      </c>
      <c r="Q134" s="179">
        <f>VLOOKUP(A134,'OI(Value)'!A134:O352,9,0)</f>
        <v>570</v>
      </c>
      <c r="R134" s="179">
        <f>VLOOKUP(A134,'OI(Value)'!A134:O352,11,0)</f>
        <v>2724</v>
      </c>
      <c r="S134" s="179">
        <f>VLOOKUP(A134,'OI(Value)'!A134:O352,11,0)</f>
        <v>2724</v>
      </c>
    </row>
    <row r="135" spans="1:19" x14ac:dyDescent="0.25">
      <c r="A135" s="105" t="str">
        <f>'Data Vlaue (Cr)'!C130</f>
        <v>MFSL</v>
      </c>
      <c r="B135" s="143">
        <f>VLOOKUP($A135,'Data shares'!$C:$FA,118)</f>
        <v>0.57999999999999996</v>
      </c>
      <c r="C135" s="143">
        <f>VLOOKUP($A135,'Data shares'!$C:$FA,119)</f>
        <v>0.62</v>
      </c>
      <c r="D135" s="143">
        <f>VLOOKUP($A135,'Data shares'!$C:$FA,121)*100</f>
        <v>-6.45</v>
      </c>
      <c r="E135" s="143">
        <f>VLOOKUP($A135,'Data shares'!$C:$FA,124)</f>
        <v>0.52</v>
      </c>
      <c r="F135" s="143">
        <f>VLOOKUP($A135,'Data shares'!$C:$FA,125)</f>
        <v>0.42</v>
      </c>
      <c r="G135" s="143">
        <f>VLOOKUP($A135,'Data shares'!$C:$FA,127)*100</f>
        <v>23.810000000000002</v>
      </c>
      <c r="H135" s="103">
        <f>VLOOKUP($A135,'OI(Volume)'!$A$7:$O$440,8)</f>
        <v>2754000</v>
      </c>
      <c r="I135" s="103">
        <f>VLOOKUP($A135,'OI(Volume)'!$A$7:$O$440,9)</f>
        <v>785200</v>
      </c>
      <c r="J135" s="103">
        <f>VLOOKUP($A135,'OI(Volume)'!$A$7:$O$440,11)</f>
        <v>1603600</v>
      </c>
      <c r="K135" s="103">
        <f>VLOOKUP($A135,'OI(Volume)'!$A$7:$O$440,12)</f>
        <v>377600</v>
      </c>
      <c r="L135" s="103">
        <f>VLOOKUP($A135,'OI(Value)'!$A$7:$O$323,8,0)</f>
        <v>479</v>
      </c>
      <c r="M135" s="103">
        <f>VLOOKUP($A135,'OI(Value)'!$A$7:$O$323,9,0)</f>
        <v>136</v>
      </c>
      <c r="N135" s="103">
        <f>VLOOKUP($A135,'OI(Value)'!$A$7:$O$323,11,0)</f>
        <v>279</v>
      </c>
      <c r="O135" s="103">
        <f>VLOOKUP($A135,'OI(Value)'!$A$7:$O$323,12,0)</f>
        <v>66</v>
      </c>
      <c r="P135" s="179">
        <f>VLOOKUP(A135,'OI(Value)'!A135:O353,8,0)</f>
        <v>479</v>
      </c>
      <c r="Q135" s="179">
        <f>VLOOKUP(A135,'OI(Value)'!A135:O353,9,0)</f>
        <v>136</v>
      </c>
      <c r="R135" s="179">
        <f>VLOOKUP(A135,'OI(Value)'!A135:O353,11,0)</f>
        <v>279</v>
      </c>
      <c r="S135" s="179">
        <f>VLOOKUP(A135,'OI(Value)'!A135:O353,11,0)</f>
        <v>279</v>
      </c>
    </row>
    <row r="136" spans="1:19" x14ac:dyDescent="0.25">
      <c r="A136" s="105" t="str">
        <f>'Data Vlaue (Cr)'!C131</f>
        <v>MIDCPNIFTY</v>
      </c>
      <c r="B136" s="143">
        <f>VLOOKUP($A136,'Data shares'!$C:$FA,118)</f>
        <v>1.18</v>
      </c>
      <c r="C136" s="143">
        <f>VLOOKUP($A136,'Data shares'!$C:$FA,119)</f>
        <v>1.22</v>
      </c>
      <c r="D136" s="143">
        <f>VLOOKUP($A136,'Data shares'!$C:$FA,121)*100</f>
        <v>-3.2800000000000002</v>
      </c>
      <c r="E136" s="143">
        <f>VLOOKUP($A136,'Data shares'!$C:$FA,124)</f>
        <v>0.98</v>
      </c>
      <c r="F136" s="143">
        <f>VLOOKUP($A136,'Data shares'!$C:$FA,125)</f>
        <v>0.92</v>
      </c>
      <c r="G136" s="143">
        <f>VLOOKUP($A136,'Data shares'!$C:$FA,127)*100</f>
        <v>6.52</v>
      </c>
      <c r="H136" s="103">
        <f>VLOOKUP($A136,'OI(Volume)'!$A$7:$O$440,8)</f>
        <v>6898680</v>
      </c>
      <c r="I136" s="103">
        <f>VLOOKUP($A136,'OI(Volume)'!$A$7:$O$440,9)</f>
        <v>326400</v>
      </c>
      <c r="J136" s="103">
        <f>VLOOKUP($A136,'OI(Volume)'!$A$7:$O$440,11)</f>
        <v>8162880</v>
      </c>
      <c r="K136" s="103">
        <f>VLOOKUP($A136,'OI(Volume)'!$A$7:$O$440,12)</f>
        <v>174360</v>
      </c>
      <c r="L136" s="103">
        <f>VLOOKUP($A136,'OI(Value)'!$A$7:$O$323,8,0)</f>
        <v>9624</v>
      </c>
      <c r="M136" s="103">
        <f>VLOOKUP($A136,'OI(Value)'!$A$7:$O$323,9,0)</f>
        <v>455</v>
      </c>
      <c r="N136" s="103">
        <f>VLOOKUP($A136,'OI(Value)'!$A$7:$O$323,11,0)</f>
        <v>11387</v>
      </c>
      <c r="O136" s="103">
        <f>VLOOKUP($A136,'OI(Value)'!$A$7:$O$323,12,0)</f>
        <v>243</v>
      </c>
      <c r="P136" s="179">
        <f>VLOOKUP(A136,'OI(Value)'!A136:O354,8,0)</f>
        <v>9624</v>
      </c>
      <c r="Q136" s="179">
        <f>VLOOKUP(A136,'OI(Value)'!A136:O354,9,0)</f>
        <v>455</v>
      </c>
      <c r="R136" s="179">
        <f>VLOOKUP(A136,'OI(Value)'!A136:O354,11,0)</f>
        <v>11387</v>
      </c>
      <c r="S136" s="179">
        <f>VLOOKUP(A136,'OI(Value)'!A136:O354,11,0)</f>
        <v>11387</v>
      </c>
    </row>
    <row r="137" spans="1:19" x14ac:dyDescent="0.25">
      <c r="A137" s="105" t="str">
        <f>'Data Vlaue (Cr)'!C132</f>
        <v>MOTHERSON</v>
      </c>
      <c r="B137" s="143">
        <f>VLOOKUP($A137,'Data shares'!$C:$FA,118)</f>
        <v>0.86</v>
      </c>
      <c r="C137" s="143">
        <f>VLOOKUP($A137,'Data shares'!$C:$FA,119)</f>
        <v>0.83</v>
      </c>
      <c r="D137" s="143">
        <f>VLOOKUP($A137,'Data shares'!$C:$FA,121)*100</f>
        <v>3.61</v>
      </c>
      <c r="E137" s="143">
        <f>VLOOKUP($A137,'Data shares'!$C:$FA,124)</f>
        <v>0.54</v>
      </c>
      <c r="F137" s="143">
        <f>VLOOKUP($A137,'Data shares'!$C:$FA,125)</f>
        <v>0.33</v>
      </c>
      <c r="G137" s="143">
        <f>VLOOKUP($A137,'Data shares'!$C:$FA,127)*100</f>
        <v>63.639999999999993</v>
      </c>
      <c r="H137" s="103">
        <f>VLOOKUP($A137,'OI(Volume)'!$A$7:$O$440,8)</f>
        <v>73289550</v>
      </c>
      <c r="I137" s="103">
        <f>VLOOKUP($A137,'OI(Volume)'!$A$7:$O$440,9)</f>
        <v>4833900</v>
      </c>
      <c r="J137" s="103">
        <f>VLOOKUP($A137,'OI(Volume)'!$A$7:$O$440,11)</f>
        <v>63160500</v>
      </c>
      <c r="K137" s="103">
        <f>VLOOKUP($A137,'OI(Volume)'!$A$7:$O$440,12)</f>
        <v>6568200</v>
      </c>
      <c r="L137" s="103">
        <f>VLOOKUP($A137,'OI(Value)'!$A$7:$O$323,8,0)</f>
        <v>955</v>
      </c>
      <c r="M137" s="103">
        <f>VLOOKUP($A137,'OI(Value)'!$A$7:$O$323,9,0)</f>
        <v>63</v>
      </c>
      <c r="N137" s="103">
        <f>VLOOKUP($A137,'OI(Value)'!$A$7:$O$323,11,0)</f>
        <v>823</v>
      </c>
      <c r="O137" s="103">
        <f>VLOOKUP($A137,'OI(Value)'!$A$7:$O$323,12,0)</f>
        <v>86</v>
      </c>
      <c r="P137" s="179">
        <f>VLOOKUP(A137,'OI(Value)'!A137:O355,8,0)</f>
        <v>955</v>
      </c>
      <c r="Q137" s="179">
        <f>VLOOKUP(A137,'OI(Value)'!A137:O355,9,0)</f>
        <v>63</v>
      </c>
      <c r="R137" s="179">
        <f>VLOOKUP(A137,'OI(Value)'!A137:O355,11,0)</f>
        <v>823</v>
      </c>
      <c r="S137" s="179">
        <f>VLOOKUP(A137,'OI(Value)'!A137:O355,11,0)</f>
        <v>823</v>
      </c>
    </row>
    <row r="138" spans="1:19" x14ac:dyDescent="0.25">
      <c r="A138" s="105" t="str">
        <f>'Data Vlaue (Cr)'!C133</f>
        <v>MPHASIS</v>
      </c>
      <c r="B138" s="143">
        <f>VLOOKUP($A138,'Data shares'!$C:$FA,118)</f>
        <v>0.54</v>
      </c>
      <c r="C138" s="143">
        <f>VLOOKUP($A138,'Data shares'!$C:$FA,119)</f>
        <v>0.52</v>
      </c>
      <c r="D138" s="143">
        <f>VLOOKUP($A138,'Data shares'!$C:$FA,121)*100</f>
        <v>3.85</v>
      </c>
      <c r="E138" s="143">
        <f>VLOOKUP($A138,'Data shares'!$C:$FA,124)</f>
        <v>0.73</v>
      </c>
      <c r="F138" s="143">
        <f>VLOOKUP($A138,'Data shares'!$C:$FA,125)</f>
        <v>0.33</v>
      </c>
      <c r="G138" s="143">
        <f>VLOOKUP($A138,'Data shares'!$C:$FA,127)*100</f>
        <v>121.21</v>
      </c>
      <c r="H138" s="103">
        <f>VLOOKUP($A138,'OI(Volume)'!$A$7:$O$440,8)</f>
        <v>1562825</v>
      </c>
      <c r="I138" s="103">
        <f>VLOOKUP($A138,'OI(Volume)'!$A$7:$O$440,9)</f>
        <v>90200</v>
      </c>
      <c r="J138" s="103">
        <f>VLOOKUP($A138,'OI(Volume)'!$A$7:$O$440,11)</f>
        <v>846450</v>
      </c>
      <c r="K138" s="103">
        <f>VLOOKUP($A138,'OI(Volume)'!$A$7:$O$440,12)</f>
        <v>83600</v>
      </c>
      <c r="L138" s="103">
        <f>VLOOKUP($A138,'OI(Value)'!$A$7:$O$323,8,0)</f>
        <v>405</v>
      </c>
      <c r="M138" s="103">
        <f>VLOOKUP($A138,'OI(Value)'!$A$7:$O$323,9,0)</f>
        <v>23</v>
      </c>
      <c r="N138" s="103">
        <f>VLOOKUP($A138,'OI(Value)'!$A$7:$O$323,11,0)</f>
        <v>220</v>
      </c>
      <c r="O138" s="103">
        <f>VLOOKUP($A138,'OI(Value)'!$A$7:$O$323,12,0)</f>
        <v>22</v>
      </c>
      <c r="P138" s="179">
        <f>VLOOKUP(A138,'OI(Value)'!A138:O356,8,0)</f>
        <v>405</v>
      </c>
      <c r="Q138" s="179">
        <f>VLOOKUP(A138,'OI(Value)'!A138:O356,9,0)</f>
        <v>23</v>
      </c>
      <c r="R138" s="179">
        <f>VLOOKUP(A138,'OI(Value)'!A138:O356,11,0)</f>
        <v>220</v>
      </c>
      <c r="S138" s="179">
        <f>VLOOKUP(A138,'OI(Value)'!A138:O356,11,0)</f>
        <v>220</v>
      </c>
    </row>
    <row r="139" spans="1:19" x14ac:dyDescent="0.25">
      <c r="A139" s="105" t="str">
        <f>'Data Vlaue (Cr)'!C134</f>
        <v>MUTHOOTFIN</v>
      </c>
      <c r="B139" s="143">
        <f>VLOOKUP($A139,'Data shares'!$C:$FA,118)</f>
        <v>0.47</v>
      </c>
      <c r="C139" s="143">
        <f>VLOOKUP($A139,'Data shares'!$C:$FA,119)</f>
        <v>0.54</v>
      </c>
      <c r="D139" s="143">
        <f>VLOOKUP($A139,'Data shares'!$C:$FA,121)*100</f>
        <v>-12.959999999999999</v>
      </c>
      <c r="E139" s="143">
        <f>VLOOKUP($A139,'Data shares'!$C:$FA,124)</f>
        <v>0.22</v>
      </c>
      <c r="F139" s="143">
        <f>VLOOKUP($A139,'Data shares'!$C:$FA,125)</f>
        <v>0.27</v>
      </c>
      <c r="G139" s="143">
        <f>VLOOKUP($A139,'Data shares'!$C:$FA,127)*100</f>
        <v>-18.52</v>
      </c>
      <c r="H139" s="103">
        <f>VLOOKUP($A139,'OI(Volume)'!$A$7:$O$440,8)</f>
        <v>4269100</v>
      </c>
      <c r="I139" s="103">
        <f>VLOOKUP($A139,'OI(Volume)'!$A$7:$O$440,9)</f>
        <v>889075</v>
      </c>
      <c r="J139" s="103">
        <f>VLOOKUP($A139,'OI(Volume)'!$A$7:$O$440,11)</f>
        <v>2001725</v>
      </c>
      <c r="K139" s="103">
        <f>VLOOKUP($A139,'OI(Volume)'!$A$7:$O$440,12)</f>
        <v>178750</v>
      </c>
      <c r="L139" s="103">
        <f>VLOOKUP($A139,'OI(Value)'!$A$7:$O$323,8,0)</f>
        <v>1680</v>
      </c>
      <c r="M139" s="103">
        <f>VLOOKUP($A139,'OI(Value)'!$A$7:$O$323,9,0)</f>
        <v>350</v>
      </c>
      <c r="N139" s="103">
        <f>VLOOKUP($A139,'OI(Value)'!$A$7:$O$323,11,0)</f>
        <v>788</v>
      </c>
      <c r="O139" s="103">
        <f>VLOOKUP($A139,'OI(Value)'!$A$7:$O$323,12,0)</f>
        <v>70</v>
      </c>
      <c r="P139" s="179">
        <f>VLOOKUP(A139,'OI(Value)'!A139:O357,8,0)</f>
        <v>1680</v>
      </c>
      <c r="Q139" s="179">
        <f>VLOOKUP(A139,'OI(Value)'!A139:O357,9,0)</f>
        <v>350</v>
      </c>
      <c r="R139" s="179">
        <f>VLOOKUP(A139,'OI(Value)'!A139:O357,11,0)</f>
        <v>788</v>
      </c>
      <c r="S139" s="179">
        <f>VLOOKUP(A139,'OI(Value)'!A139:O357,11,0)</f>
        <v>788</v>
      </c>
    </row>
    <row r="140" spans="1:19" x14ac:dyDescent="0.25">
      <c r="A140" s="105" t="str">
        <f>'Data Vlaue (Cr)'!C135</f>
        <v>NATIONALUM</v>
      </c>
      <c r="B140" s="143">
        <f>VLOOKUP($A140,'Data shares'!$C:$FA,118)</f>
        <v>0.67</v>
      </c>
      <c r="C140" s="143">
        <f>VLOOKUP($A140,'Data shares'!$C:$FA,119)</f>
        <v>0.67</v>
      </c>
      <c r="D140" s="143">
        <f>VLOOKUP($A140,'Data shares'!$C:$FA,121)*100</f>
        <v>0</v>
      </c>
      <c r="E140" s="143">
        <f>VLOOKUP($A140,'Data shares'!$C:$FA,124)</f>
        <v>0.61</v>
      </c>
      <c r="F140" s="143">
        <f>VLOOKUP($A140,'Data shares'!$C:$FA,125)</f>
        <v>0.57999999999999996</v>
      </c>
      <c r="G140" s="143">
        <f>VLOOKUP($A140,'Data shares'!$C:$FA,127)*100</f>
        <v>5.17</v>
      </c>
      <c r="H140" s="103">
        <f>VLOOKUP($A140,'OI(Volume)'!$A$7:$O$440,8)</f>
        <v>55128750</v>
      </c>
      <c r="I140" s="103">
        <f>VLOOKUP($A140,'OI(Volume)'!$A$7:$O$440,9)</f>
        <v>-1556250</v>
      </c>
      <c r="J140" s="103">
        <f>VLOOKUP($A140,'OI(Volume)'!$A$7:$O$440,11)</f>
        <v>36941250</v>
      </c>
      <c r="K140" s="103">
        <f>VLOOKUP($A140,'OI(Volume)'!$A$7:$O$440,12)</f>
        <v>-780000</v>
      </c>
      <c r="L140" s="103">
        <f>VLOOKUP($A140,'OI(Value)'!$A$7:$O$323,8,0)</f>
        <v>2035</v>
      </c>
      <c r="M140" s="103">
        <f>VLOOKUP($A140,'OI(Value)'!$A$7:$O$323,9,0)</f>
        <v>-57</v>
      </c>
      <c r="N140" s="103">
        <f>VLOOKUP($A140,'OI(Value)'!$A$7:$O$323,11,0)</f>
        <v>1364</v>
      </c>
      <c r="O140" s="103">
        <f>VLOOKUP($A140,'OI(Value)'!$A$7:$O$323,12,0)</f>
        <v>-29</v>
      </c>
      <c r="P140" s="179">
        <f>VLOOKUP(A140,'OI(Value)'!A140:O358,8,0)</f>
        <v>2035</v>
      </c>
      <c r="Q140" s="179">
        <f>VLOOKUP(A140,'OI(Value)'!A140:O358,9,0)</f>
        <v>-57</v>
      </c>
      <c r="R140" s="179">
        <f>VLOOKUP(A140,'OI(Value)'!A140:O358,11,0)</f>
        <v>1364</v>
      </c>
      <c r="S140" s="179">
        <f>VLOOKUP(A140,'OI(Value)'!A140:O358,11,0)</f>
        <v>1364</v>
      </c>
    </row>
    <row r="141" spans="1:19" x14ac:dyDescent="0.25">
      <c r="A141" s="105" t="str">
        <f>'Data Vlaue (Cr)'!C136</f>
        <v>NAUKRI</v>
      </c>
      <c r="B141" s="143">
        <f>VLOOKUP($A141,'Data shares'!$C:$FA,118)</f>
        <v>0.64</v>
      </c>
      <c r="C141" s="143">
        <f>VLOOKUP($A141,'Data shares'!$C:$FA,119)</f>
        <v>0.64</v>
      </c>
      <c r="D141" s="143">
        <f>VLOOKUP($A141,'Data shares'!$C:$FA,121)*100</f>
        <v>0</v>
      </c>
      <c r="E141" s="143">
        <f>VLOOKUP($A141,'Data shares'!$C:$FA,124)</f>
        <v>0.66</v>
      </c>
      <c r="F141" s="143">
        <f>VLOOKUP($A141,'Data shares'!$C:$FA,125)</f>
        <v>0.32</v>
      </c>
      <c r="G141" s="143">
        <f>VLOOKUP($A141,'Data shares'!$C:$FA,127)*100</f>
        <v>106.25</v>
      </c>
      <c r="H141" s="103">
        <f>VLOOKUP($A141,'OI(Volume)'!$A$7:$O$440,8)</f>
        <v>4099500</v>
      </c>
      <c r="I141" s="103">
        <f>VLOOKUP($A141,'OI(Volume)'!$A$7:$O$440,9)</f>
        <v>366000</v>
      </c>
      <c r="J141" s="103">
        <f>VLOOKUP($A141,'OI(Volume)'!$A$7:$O$440,11)</f>
        <v>2616375</v>
      </c>
      <c r="K141" s="103">
        <f>VLOOKUP($A141,'OI(Volume)'!$A$7:$O$440,12)</f>
        <v>209250</v>
      </c>
      <c r="L141" s="103">
        <f>VLOOKUP($A141,'OI(Value)'!$A$7:$O$323,8,0)</f>
        <v>481</v>
      </c>
      <c r="M141" s="103">
        <f>VLOOKUP($A141,'OI(Value)'!$A$7:$O$323,9,0)</f>
        <v>43</v>
      </c>
      <c r="N141" s="103">
        <f>VLOOKUP($A141,'OI(Value)'!$A$7:$O$323,11,0)</f>
        <v>307</v>
      </c>
      <c r="O141" s="103">
        <f>VLOOKUP($A141,'OI(Value)'!$A$7:$O$323,12,0)</f>
        <v>25</v>
      </c>
      <c r="P141" s="179">
        <f>VLOOKUP(A141,'OI(Value)'!A141:O359,8,0)</f>
        <v>481</v>
      </c>
      <c r="Q141" s="179">
        <f>VLOOKUP(A141,'OI(Value)'!A141:O359,9,0)</f>
        <v>43</v>
      </c>
      <c r="R141" s="179">
        <f>VLOOKUP(A141,'OI(Value)'!A141:O359,11,0)</f>
        <v>307</v>
      </c>
      <c r="S141" s="179">
        <f>VLOOKUP(A141,'OI(Value)'!A141:O359,11,0)</f>
        <v>307</v>
      </c>
    </row>
    <row r="142" spans="1:19" x14ac:dyDescent="0.25">
      <c r="A142" s="105" t="str">
        <f>'Data Vlaue (Cr)'!C137</f>
        <v>NBCC</v>
      </c>
      <c r="B142" s="143">
        <f>VLOOKUP($A142,'Data shares'!$C:$FA,118)</f>
        <v>0.57999999999999996</v>
      </c>
      <c r="C142" s="143">
        <f>VLOOKUP($A142,'Data shares'!$C:$FA,119)</f>
        <v>0.59</v>
      </c>
      <c r="D142" s="143">
        <f>VLOOKUP($A142,'Data shares'!$C:$FA,121)*100</f>
        <v>-1.69</v>
      </c>
      <c r="E142" s="143">
        <f>VLOOKUP($A142,'Data shares'!$C:$FA,124)</f>
        <v>0.34</v>
      </c>
      <c r="F142" s="143">
        <f>VLOOKUP($A142,'Data shares'!$C:$FA,125)</f>
        <v>0.32</v>
      </c>
      <c r="G142" s="143">
        <f>VLOOKUP($A142,'Data shares'!$C:$FA,127)*100</f>
        <v>6.25</v>
      </c>
      <c r="H142" s="103">
        <f>VLOOKUP($A142,'OI(Volume)'!$A$7:$O$440,8)</f>
        <v>38512500</v>
      </c>
      <c r="I142" s="103">
        <f>VLOOKUP($A142,'OI(Volume)'!$A$7:$O$440,9)</f>
        <v>1209000</v>
      </c>
      <c r="J142" s="103">
        <f>VLOOKUP($A142,'OI(Volume)'!$A$7:$O$440,11)</f>
        <v>22496500</v>
      </c>
      <c r="K142" s="103">
        <f>VLOOKUP($A142,'OI(Volume)'!$A$7:$O$440,12)</f>
        <v>448500</v>
      </c>
      <c r="L142" s="103">
        <f>VLOOKUP($A142,'OI(Value)'!$A$7:$O$323,8,0)</f>
        <v>393</v>
      </c>
      <c r="M142" s="103">
        <f>VLOOKUP($A142,'OI(Value)'!$A$7:$O$323,9,0)</f>
        <v>12</v>
      </c>
      <c r="N142" s="103">
        <f>VLOOKUP($A142,'OI(Value)'!$A$7:$O$323,11,0)</f>
        <v>229</v>
      </c>
      <c r="O142" s="103">
        <f>VLOOKUP($A142,'OI(Value)'!$A$7:$O$323,12,0)</f>
        <v>5</v>
      </c>
      <c r="P142" s="179">
        <f>VLOOKUP(A142,'OI(Value)'!A142:O360,8,0)</f>
        <v>393</v>
      </c>
      <c r="Q142" s="179">
        <f>VLOOKUP(A142,'OI(Value)'!A142:O360,9,0)</f>
        <v>12</v>
      </c>
      <c r="R142" s="179">
        <f>VLOOKUP(A142,'OI(Value)'!A142:O360,11,0)</f>
        <v>229</v>
      </c>
      <c r="S142" s="179">
        <f>VLOOKUP(A142,'OI(Value)'!A142:O360,11,0)</f>
        <v>229</v>
      </c>
    </row>
    <row r="143" spans="1:19" x14ac:dyDescent="0.25">
      <c r="A143" s="105" t="str">
        <f>'Data Vlaue (Cr)'!C138</f>
        <v>NESTLEIND</v>
      </c>
      <c r="B143" s="143">
        <f>VLOOKUP($A143,'Data shares'!$C:$FA,118)</f>
        <v>0.47</v>
      </c>
      <c r="C143" s="143">
        <f>VLOOKUP($A143,'Data shares'!$C:$FA,119)</f>
        <v>0.47</v>
      </c>
      <c r="D143" s="143">
        <f>VLOOKUP($A143,'Data shares'!$C:$FA,121)*100</f>
        <v>0</v>
      </c>
      <c r="E143" s="143">
        <f>VLOOKUP($A143,'Data shares'!$C:$FA,124)</f>
        <v>0.36</v>
      </c>
      <c r="F143" s="143">
        <f>VLOOKUP($A143,'Data shares'!$C:$FA,125)</f>
        <v>0.25</v>
      </c>
      <c r="G143" s="143">
        <f>VLOOKUP($A143,'Data shares'!$C:$FA,127)*100</f>
        <v>44</v>
      </c>
      <c r="H143" s="103">
        <f>VLOOKUP($A143,'OI(Volume)'!$A$7:$O$440,8)</f>
        <v>5612500</v>
      </c>
      <c r="I143" s="103">
        <f>VLOOKUP($A143,'OI(Volume)'!$A$7:$O$440,9)</f>
        <v>13000</v>
      </c>
      <c r="J143" s="103">
        <f>VLOOKUP($A143,'OI(Volume)'!$A$7:$O$440,11)</f>
        <v>2664500</v>
      </c>
      <c r="K143" s="103">
        <f>VLOOKUP($A143,'OI(Volume)'!$A$7:$O$440,12)</f>
        <v>48000</v>
      </c>
      <c r="L143" s="103">
        <f>VLOOKUP($A143,'OI(Value)'!$A$7:$O$323,8,0)</f>
        <v>733</v>
      </c>
      <c r="M143" s="103">
        <f>VLOOKUP($A143,'OI(Value)'!$A$7:$O$323,9,0)</f>
        <v>2</v>
      </c>
      <c r="N143" s="103">
        <f>VLOOKUP($A143,'OI(Value)'!$A$7:$O$323,11,0)</f>
        <v>348</v>
      </c>
      <c r="O143" s="103">
        <f>VLOOKUP($A143,'OI(Value)'!$A$7:$O$323,12,0)</f>
        <v>6</v>
      </c>
      <c r="P143" s="179">
        <f>VLOOKUP(A143,'OI(Value)'!A143:O361,8,0)</f>
        <v>733</v>
      </c>
      <c r="Q143" s="179">
        <f>VLOOKUP(A143,'OI(Value)'!A143:O361,9,0)</f>
        <v>2</v>
      </c>
      <c r="R143" s="179">
        <f>VLOOKUP(A143,'OI(Value)'!A143:O361,11,0)</f>
        <v>348</v>
      </c>
      <c r="S143" s="179">
        <f>VLOOKUP(A143,'OI(Value)'!A143:O361,11,0)</f>
        <v>348</v>
      </c>
    </row>
    <row r="144" spans="1:19" x14ac:dyDescent="0.25">
      <c r="A144" s="105" t="str">
        <f>'Data Vlaue (Cr)'!C139</f>
        <v>NHPC</v>
      </c>
      <c r="B144" s="143">
        <f>VLOOKUP($A144,'Data shares'!$C:$FA,118)</f>
        <v>0.47</v>
      </c>
      <c r="C144" s="143">
        <f>VLOOKUP($A144,'Data shares'!$C:$FA,119)</f>
        <v>0.55000000000000004</v>
      </c>
      <c r="D144" s="143">
        <f>VLOOKUP($A144,'Data shares'!$C:$FA,121)*100</f>
        <v>-14.549999999999999</v>
      </c>
      <c r="E144" s="143">
        <f>VLOOKUP($A144,'Data shares'!$C:$FA,124)</f>
        <v>0.49</v>
      </c>
      <c r="F144" s="143">
        <f>VLOOKUP($A144,'Data shares'!$C:$FA,125)</f>
        <v>0.49</v>
      </c>
      <c r="G144" s="143">
        <f>VLOOKUP($A144,'Data shares'!$C:$FA,127)*100</f>
        <v>0</v>
      </c>
      <c r="H144" s="103">
        <f>VLOOKUP($A144,'OI(Volume)'!$A$7:$O$440,8)</f>
        <v>52806400</v>
      </c>
      <c r="I144" s="103">
        <f>VLOOKUP($A144,'OI(Volume)'!$A$7:$O$440,9)</f>
        <v>2163200</v>
      </c>
      <c r="J144" s="103">
        <f>VLOOKUP($A144,'OI(Volume)'!$A$7:$O$440,11)</f>
        <v>24985600</v>
      </c>
      <c r="K144" s="103">
        <f>VLOOKUP($A144,'OI(Volume)'!$A$7:$O$440,12)</f>
        <v>-2732800</v>
      </c>
      <c r="L144" s="103">
        <f>VLOOKUP($A144,'OI(Value)'!$A$7:$O$323,8,0)</f>
        <v>411</v>
      </c>
      <c r="M144" s="103">
        <f>VLOOKUP($A144,'OI(Value)'!$A$7:$O$323,9,0)</f>
        <v>17</v>
      </c>
      <c r="N144" s="103">
        <f>VLOOKUP($A144,'OI(Value)'!$A$7:$O$323,11,0)</f>
        <v>194</v>
      </c>
      <c r="O144" s="103">
        <f>VLOOKUP($A144,'OI(Value)'!$A$7:$O$323,12,0)</f>
        <v>-21</v>
      </c>
      <c r="P144" s="179">
        <f>VLOOKUP(A144,'OI(Value)'!A144:O362,8,0)</f>
        <v>411</v>
      </c>
      <c r="Q144" s="179">
        <f>VLOOKUP(A144,'OI(Value)'!A144:O362,9,0)</f>
        <v>17</v>
      </c>
      <c r="R144" s="179">
        <f>VLOOKUP(A144,'OI(Value)'!A144:O362,11,0)</f>
        <v>194</v>
      </c>
      <c r="S144" s="179">
        <f>VLOOKUP(A144,'OI(Value)'!A144:O362,11,0)</f>
        <v>194</v>
      </c>
    </row>
    <row r="145" spans="1:19" x14ac:dyDescent="0.25">
      <c r="A145" s="105" t="str">
        <f>'Data Vlaue (Cr)'!C140</f>
        <v>NIFTY</v>
      </c>
      <c r="B145" s="143">
        <f>VLOOKUP($A145,'Data shares'!$C:$FA,118)</f>
        <v>1.06</v>
      </c>
      <c r="C145" s="143">
        <f>VLOOKUP($A145,'Data shares'!$C:$FA,119)</f>
        <v>1.17</v>
      </c>
      <c r="D145" s="143">
        <f>VLOOKUP($A145,'Data shares'!$C:$FA,121)*100</f>
        <v>-9.4</v>
      </c>
      <c r="E145" s="143">
        <f>VLOOKUP($A145,'Data shares'!$C:$FA,124)</f>
        <v>1.07</v>
      </c>
      <c r="F145" s="143">
        <f>VLOOKUP($A145,'Data shares'!$C:$FA,125)</f>
        <v>1.05</v>
      </c>
      <c r="G145" s="143">
        <f>VLOOKUP($A145,'Data shares'!$C:$FA,127)*100</f>
        <v>1.9</v>
      </c>
      <c r="H145" s="103">
        <f>VLOOKUP($A145,'OI(Volume)'!$A$7:$O$440,8)</f>
        <v>195031925</v>
      </c>
      <c r="I145" s="103">
        <f>VLOOKUP($A145,'OI(Volume)'!$A$7:$O$440,9)</f>
        <v>53081245</v>
      </c>
      <c r="J145" s="103">
        <f>VLOOKUP($A145,'OI(Volume)'!$A$7:$O$440,11)</f>
        <v>205773420</v>
      </c>
      <c r="K145" s="103">
        <f>VLOOKUP($A145,'OI(Volume)'!$A$7:$O$440,12)</f>
        <v>39816785</v>
      </c>
      <c r="L145" s="103">
        <f>VLOOKUP($A145,'OI(Value)'!$A$7:$O$323,8,0)</f>
        <v>506970</v>
      </c>
      <c r="M145" s="103">
        <f>VLOOKUP($A145,'OI(Value)'!$A$7:$O$323,9,0)</f>
        <v>137980</v>
      </c>
      <c r="N145" s="103">
        <f>VLOOKUP($A145,'OI(Value)'!$A$7:$O$323,11,0)</f>
        <v>534892</v>
      </c>
      <c r="O145" s="103">
        <f>VLOOKUP($A145,'OI(Value)'!$A$7:$O$323,12,0)</f>
        <v>103501</v>
      </c>
      <c r="P145" s="179">
        <f>VLOOKUP(A145,'OI(Value)'!A145:O363,8,0)</f>
        <v>506970</v>
      </c>
      <c r="Q145" s="179">
        <f>VLOOKUP(A145,'OI(Value)'!A145:O363,9,0)</f>
        <v>137980</v>
      </c>
      <c r="R145" s="179">
        <f>VLOOKUP(A145,'OI(Value)'!A145:O363,11,0)</f>
        <v>534892</v>
      </c>
      <c r="S145" s="179">
        <f>VLOOKUP(A145,'OI(Value)'!A145:O363,11,0)</f>
        <v>534892</v>
      </c>
    </row>
    <row r="146" spans="1:19" x14ac:dyDescent="0.25">
      <c r="A146" s="105" t="str">
        <f>'Data Vlaue (Cr)'!C141</f>
        <v>NIFTYNXT50</v>
      </c>
      <c r="B146" s="143">
        <f>VLOOKUP($A146,'Data shares'!$C:$FA,118)</f>
        <v>0.89</v>
      </c>
      <c r="C146" s="143">
        <f>VLOOKUP($A146,'Data shares'!$C:$FA,119)</f>
        <v>0.72</v>
      </c>
      <c r="D146" s="143">
        <f>VLOOKUP($A146,'Data shares'!$C:$FA,121)*100</f>
        <v>23.61</v>
      </c>
      <c r="E146" s="143">
        <f>VLOOKUP($A146,'Data shares'!$C:$FA,124)</f>
        <v>0.91</v>
      </c>
      <c r="F146" s="143">
        <f>VLOOKUP($A146,'Data shares'!$C:$FA,125)</f>
        <v>1.1000000000000001</v>
      </c>
      <c r="G146" s="143">
        <f>VLOOKUP($A146,'Data shares'!$C:$FA,127)*100</f>
        <v>-17.27</v>
      </c>
      <c r="H146" s="103">
        <f>VLOOKUP($A146,'OI(Volume)'!$A$7:$O$440,8)</f>
        <v>12725</v>
      </c>
      <c r="I146" s="103">
        <f>VLOOKUP($A146,'OI(Volume)'!$A$7:$O$440,9)</f>
        <v>550</v>
      </c>
      <c r="J146" s="103">
        <f>VLOOKUP($A146,'OI(Volume)'!$A$7:$O$440,11)</f>
        <v>11350</v>
      </c>
      <c r="K146" s="103">
        <f>VLOOKUP($A146,'OI(Volume)'!$A$7:$O$440,12)</f>
        <v>2550</v>
      </c>
      <c r="L146" s="103">
        <f>VLOOKUP($A146,'OI(Value)'!$A$7:$O$323,8,0)</f>
        <v>89</v>
      </c>
      <c r="M146" s="103">
        <f>VLOOKUP($A146,'OI(Value)'!$A$7:$O$323,9,0)</f>
        <v>4</v>
      </c>
      <c r="N146" s="103">
        <f>VLOOKUP($A146,'OI(Value)'!$A$7:$O$323,11,0)</f>
        <v>80</v>
      </c>
      <c r="O146" s="103">
        <f>VLOOKUP($A146,'OI(Value)'!$A$7:$O$323,12,0)</f>
        <v>18</v>
      </c>
      <c r="P146" s="179">
        <f>VLOOKUP(A146,'OI(Value)'!A146:O364,8,0)</f>
        <v>89</v>
      </c>
      <c r="Q146" s="179">
        <f>VLOOKUP(A146,'OI(Value)'!A146:O364,9,0)</f>
        <v>4</v>
      </c>
      <c r="R146" s="179">
        <f>VLOOKUP(A146,'OI(Value)'!A146:O364,11,0)</f>
        <v>80</v>
      </c>
      <c r="S146" s="179">
        <f>VLOOKUP(A146,'OI(Value)'!A146:O364,11,0)</f>
        <v>80</v>
      </c>
    </row>
    <row r="147" spans="1:19" x14ac:dyDescent="0.25">
      <c r="A147" s="105" t="str">
        <f>'Data Vlaue (Cr)'!C142</f>
        <v>NMDC</v>
      </c>
      <c r="B147" s="143">
        <f>VLOOKUP($A147,'Data shares'!$C:$FA,118)</f>
        <v>0.5</v>
      </c>
      <c r="C147" s="143">
        <f>VLOOKUP($A147,'Data shares'!$C:$FA,119)</f>
        <v>0.48</v>
      </c>
      <c r="D147" s="143">
        <f>VLOOKUP($A147,'Data shares'!$C:$FA,121)*100</f>
        <v>4.17</v>
      </c>
      <c r="E147" s="143">
        <f>VLOOKUP($A147,'Data shares'!$C:$FA,124)</f>
        <v>0.36</v>
      </c>
      <c r="F147" s="143">
        <f>VLOOKUP($A147,'Data shares'!$C:$FA,125)</f>
        <v>0.32</v>
      </c>
      <c r="G147" s="143">
        <f>VLOOKUP($A147,'Data shares'!$C:$FA,127)*100</f>
        <v>12.5</v>
      </c>
      <c r="H147" s="103">
        <f>VLOOKUP($A147,'OI(Volume)'!$A$7:$O$440,8)</f>
        <v>116802000</v>
      </c>
      <c r="I147" s="103">
        <f>VLOOKUP($A147,'OI(Volume)'!$A$7:$O$440,9)</f>
        <v>-3408750</v>
      </c>
      <c r="J147" s="103">
        <f>VLOOKUP($A147,'OI(Volume)'!$A$7:$O$440,11)</f>
        <v>58191750</v>
      </c>
      <c r="K147" s="103">
        <f>VLOOKUP($A147,'OI(Volume)'!$A$7:$O$440,12)</f>
        <v>182250</v>
      </c>
      <c r="L147" s="103">
        <f>VLOOKUP($A147,'OI(Value)'!$A$7:$O$323,8,0)</f>
        <v>1001</v>
      </c>
      <c r="M147" s="103">
        <f>VLOOKUP($A147,'OI(Value)'!$A$7:$O$323,9,0)</f>
        <v>-29</v>
      </c>
      <c r="N147" s="103">
        <f>VLOOKUP($A147,'OI(Value)'!$A$7:$O$323,11,0)</f>
        <v>499</v>
      </c>
      <c r="O147" s="103">
        <f>VLOOKUP($A147,'OI(Value)'!$A$7:$O$323,12,0)</f>
        <v>2</v>
      </c>
      <c r="P147" s="179">
        <f>VLOOKUP(A147,'OI(Value)'!A147:O365,8,0)</f>
        <v>1001</v>
      </c>
      <c r="Q147" s="179">
        <f>VLOOKUP(A147,'OI(Value)'!A147:O365,9,0)</f>
        <v>-29</v>
      </c>
      <c r="R147" s="179">
        <f>VLOOKUP(A147,'OI(Value)'!A147:O365,11,0)</f>
        <v>499</v>
      </c>
      <c r="S147" s="179">
        <f>VLOOKUP(A147,'OI(Value)'!A147:O365,11,0)</f>
        <v>499</v>
      </c>
    </row>
    <row r="148" spans="1:19" x14ac:dyDescent="0.25">
      <c r="A148" s="105" t="str">
        <f>'Data Vlaue (Cr)'!C143</f>
        <v>NTPC</v>
      </c>
      <c r="B148" s="143">
        <f>VLOOKUP($A148,'Data shares'!$C:$FA,118)</f>
        <v>0.45</v>
      </c>
      <c r="C148" s="143">
        <f>VLOOKUP($A148,'Data shares'!$C:$FA,119)</f>
        <v>0.45</v>
      </c>
      <c r="D148" s="143">
        <f>VLOOKUP($A148,'Data shares'!$C:$FA,121)*100</f>
        <v>0</v>
      </c>
      <c r="E148" s="143">
        <f>VLOOKUP($A148,'Data shares'!$C:$FA,124)</f>
        <v>0.44</v>
      </c>
      <c r="F148" s="143">
        <f>VLOOKUP($A148,'Data shares'!$C:$FA,125)</f>
        <v>0.51</v>
      </c>
      <c r="G148" s="143">
        <f>VLOOKUP($A148,'Data shares'!$C:$FA,127)*100</f>
        <v>-13.73</v>
      </c>
      <c r="H148" s="103">
        <f>VLOOKUP($A148,'OI(Volume)'!$A$7:$O$440,8)</f>
        <v>94392000</v>
      </c>
      <c r="I148" s="103">
        <f>VLOOKUP($A148,'OI(Volume)'!$A$7:$O$440,9)</f>
        <v>3679500</v>
      </c>
      <c r="J148" s="103">
        <f>VLOOKUP($A148,'OI(Volume)'!$A$7:$O$440,11)</f>
        <v>42552000</v>
      </c>
      <c r="K148" s="103">
        <f>VLOOKUP($A148,'OI(Volume)'!$A$7:$O$440,12)</f>
        <v>1762500</v>
      </c>
      <c r="L148" s="103">
        <f>VLOOKUP($A148,'OI(Value)'!$A$7:$O$323,8,0)</f>
        <v>3477</v>
      </c>
      <c r="M148" s="103">
        <f>VLOOKUP($A148,'OI(Value)'!$A$7:$O$323,9,0)</f>
        <v>136</v>
      </c>
      <c r="N148" s="103">
        <f>VLOOKUP($A148,'OI(Value)'!$A$7:$O$323,11,0)</f>
        <v>1568</v>
      </c>
      <c r="O148" s="103">
        <f>VLOOKUP($A148,'OI(Value)'!$A$7:$O$323,12,0)</f>
        <v>65</v>
      </c>
      <c r="P148" s="179">
        <f>VLOOKUP(A148,'OI(Value)'!A148:O366,8,0)</f>
        <v>3477</v>
      </c>
      <c r="Q148" s="179">
        <f>VLOOKUP(A148,'OI(Value)'!A148:O366,9,0)</f>
        <v>136</v>
      </c>
      <c r="R148" s="179">
        <f>VLOOKUP(A148,'OI(Value)'!A148:O366,11,0)</f>
        <v>1568</v>
      </c>
      <c r="S148" s="179">
        <f>VLOOKUP(A148,'OI(Value)'!A148:O366,11,0)</f>
        <v>1568</v>
      </c>
    </row>
    <row r="149" spans="1:19" x14ac:dyDescent="0.25">
      <c r="A149" s="105" t="str">
        <f>'Data Vlaue (Cr)'!C144</f>
        <v>NUVAMA</v>
      </c>
      <c r="B149" s="143">
        <f>VLOOKUP($A149,'Data shares'!$C:$FA,118)</f>
        <v>0.76</v>
      </c>
      <c r="C149" s="143">
        <f>VLOOKUP($A149,'Data shares'!$C:$FA,119)</f>
        <v>0.65</v>
      </c>
      <c r="D149" s="143">
        <f>VLOOKUP($A149,'Data shares'!$C:$FA,121)*100</f>
        <v>16.919999999999998</v>
      </c>
      <c r="E149" s="143">
        <f>VLOOKUP($A149,'Data shares'!$C:$FA,124)</f>
        <v>0.71</v>
      </c>
      <c r="F149" s="143">
        <f>VLOOKUP($A149,'Data shares'!$C:$FA,125)</f>
        <v>0.28999999999999998</v>
      </c>
      <c r="G149" s="143">
        <f>VLOOKUP($A149,'Data shares'!$C:$FA,127)*100</f>
        <v>144.82999999999998</v>
      </c>
      <c r="H149" s="103">
        <f>VLOOKUP($A149,'OI(Volume)'!$A$7:$O$440,8)</f>
        <v>1651000</v>
      </c>
      <c r="I149" s="103">
        <f>VLOOKUP($A149,'OI(Volume)'!$A$7:$O$440,9)</f>
        <v>77000</v>
      </c>
      <c r="J149" s="103">
        <f>VLOOKUP($A149,'OI(Volume)'!$A$7:$O$440,11)</f>
        <v>1255500</v>
      </c>
      <c r="K149" s="103">
        <f>VLOOKUP($A149,'OI(Volume)'!$A$7:$O$440,12)</f>
        <v>230500</v>
      </c>
      <c r="L149" s="103">
        <f>VLOOKUP($A149,'OI(Value)'!$A$7:$O$323,8,0)</f>
        <v>219</v>
      </c>
      <c r="M149" s="103">
        <f>VLOOKUP($A149,'OI(Value)'!$A$7:$O$323,9,0)</f>
        <v>10</v>
      </c>
      <c r="N149" s="103">
        <f>VLOOKUP($A149,'OI(Value)'!$A$7:$O$323,11,0)</f>
        <v>166</v>
      </c>
      <c r="O149" s="103">
        <f>VLOOKUP($A149,'OI(Value)'!$A$7:$O$323,12,0)</f>
        <v>31</v>
      </c>
      <c r="P149" s="179">
        <f>VLOOKUP(A149,'OI(Value)'!A149:O367,8,0)</f>
        <v>219</v>
      </c>
      <c r="Q149" s="179">
        <f>VLOOKUP(A149,'OI(Value)'!A149:O367,9,0)</f>
        <v>10</v>
      </c>
      <c r="R149" s="179">
        <f>VLOOKUP(A149,'OI(Value)'!A149:O367,11,0)</f>
        <v>166</v>
      </c>
      <c r="S149" s="179">
        <f>VLOOKUP(A149,'OI(Value)'!A149:O367,11,0)</f>
        <v>166</v>
      </c>
    </row>
    <row r="150" spans="1:19" x14ac:dyDescent="0.25">
      <c r="A150" s="105" t="str">
        <f>'Data Vlaue (Cr)'!C145</f>
        <v>NYKAA</v>
      </c>
      <c r="B150" s="143">
        <f>VLOOKUP($A150,'Data shares'!$C:$FA,118)</f>
        <v>1.23</v>
      </c>
      <c r="C150" s="143">
        <f>VLOOKUP($A150,'Data shares'!$C:$FA,119)</f>
        <v>1.21</v>
      </c>
      <c r="D150" s="143">
        <f>VLOOKUP($A150,'Data shares'!$C:$FA,121)*100</f>
        <v>1.6500000000000001</v>
      </c>
      <c r="E150" s="143">
        <f>VLOOKUP($A150,'Data shares'!$C:$FA,124)</f>
        <v>0.65</v>
      </c>
      <c r="F150" s="143">
        <f>VLOOKUP($A150,'Data shares'!$C:$FA,125)</f>
        <v>0.46</v>
      </c>
      <c r="G150" s="143">
        <f>VLOOKUP($A150,'Data shares'!$C:$FA,127)*100</f>
        <v>41.3</v>
      </c>
      <c r="H150" s="103">
        <f>VLOOKUP($A150,'OI(Volume)'!$A$7:$O$440,8)</f>
        <v>17953125</v>
      </c>
      <c r="I150" s="103">
        <f>VLOOKUP($A150,'OI(Volume)'!$A$7:$O$440,9)</f>
        <v>-575000</v>
      </c>
      <c r="J150" s="103">
        <f>VLOOKUP($A150,'OI(Volume)'!$A$7:$O$440,11)</f>
        <v>22112500</v>
      </c>
      <c r="K150" s="103">
        <f>VLOOKUP($A150,'OI(Volume)'!$A$7:$O$440,12)</f>
        <v>-375000</v>
      </c>
      <c r="L150" s="103">
        <f>VLOOKUP($A150,'OI(Value)'!$A$7:$O$323,8,0)</f>
        <v>500</v>
      </c>
      <c r="M150" s="103">
        <f>VLOOKUP($A150,'OI(Value)'!$A$7:$O$323,9,0)</f>
        <v>-16</v>
      </c>
      <c r="N150" s="103">
        <f>VLOOKUP($A150,'OI(Value)'!$A$7:$O$323,11,0)</f>
        <v>616</v>
      </c>
      <c r="O150" s="103">
        <f>VLOOKUP($A150,'OI(Value)'!$A$7:$O$323,12,0)</f>
        <v>-10</v>
      </c>
      <c r="P150" s="179">
        <f>VLOOKUP(A150,'OI(Value)'!A150:O368,8,0)</f>
        <v>500</v>
      </c>
      <c r="Q150" s="179">
        <f>VLOOKUP(A150,'OI(Value)'!A150:O368,9,0)</f>
        <v>-16</v>
      </c>
      <c r="R150" s="179">
        <f>VLOOKUP(A150,'OI(Value)'!A150:O368,11,0)</f>
        <v>616</v>
      </c>
      <c r="S150" s="179">
        <f>VLOOKUP(A150,'OI(Value)'!A150:O368,11,0)</f>
        <v>616</v>
      </c>
    </row>
    <row r="151" spans="1:19" x14ac:dyDescent="0.25">
      <c r="A151" s="105" t="str">
        <f>'Data Vlaue (Cr)'!C146</f>
        <v>OBEROIRLTY</v>
      </c>
      <c r="B151" s="143">
        <f>VLOOKUP($A151,'Data shares'!$C:$FA,118)</f>
        <v>0.85</v>
      </c>
      <c r="C151" s="143">
        <f>VLOOKUP($A151,'Data shares'!$C:$FA,119)</f>
        <v>0.93</v>
      </c>
      <c r="D151" s="143">
        <f>VLOOKUP($A151,'Data shares'!$C:$FA,121)*100</f>
        <v>-8.6</v>
      </c>
      <c r="E151" s="143">
        <f>VLOOKUP($A151,'Data shares'!$C:$FA,124)</f>
        <v>0.39</v>
      </c>
      <c r="F151" s="143">
        <f>VLOOKUP($A151,'Data shares'!$C:$FA,125)</f>
        <v>0.53</v>
      </c>
      <c r="G151" s="143">
        <f>VLOOKUP($A151,'Data shares'!$C:$FA,127)*100</f>
        <v>-26.419999999999998</v>
      </c>
      <c r="H151" s="103">
        <f>VLOOKUP($A151,'OI(Volume)'!$A$7:$O$440,8)</f>
        <v>2107000</v>
      </c>
      <c r="I151" s="103">
        <f>VLOOKUP($A151,'OI(Volume)'!$A$7:$O$440,9)</f>
        <v>141750</v>
      </c>
      <c r="J151" s="103">
        <f>VLOOKUP($A151,'OI(Volume)'!$A$7:$O$440,11)</f>
        <v>1781500</v>
      </c>
      <c r="K151" s="103">
        <f>VLOOKUP($A151,'OI(Volume)'!$A$7:$O$440,12)</f>
        <v>-45150</v>
      </c>
      <c r="L151" s="103">
        <f>VLOOKUP($A151,'OI(Value)'!$A$7:$O$323,8,0)</f>
        <v>333</v>
      </c>
      <c r="M151" s="103">
        <f>VLOOKUP($A151,'OI(Value)'!$A$7:$O$323,9,0)</f>
        <v>22</v>
      </c>
      <c r="N151" s="103">
        <f>VLOOKUP($A151,'OI(Value)'!$A$7:$O$323,11,0)</f>
        <v>281</v>
      </c>
      <c r="O151" s="103">
        <f>VLOOKUP($A151,'OI(Value)'!$A$7:$O$323,12,0)</f>
        <v>-7</v>
      </c>
      <c r="P151" s="179">
        <f>VLOOKUP(A151,'OI(Value)'!A151:O369,8,0)</f>
        <v>333</v>
      </c>
      <c r="Q151" s="179">
        <f>VLOOKUP(A151,'OI(Value)'!A151:O369,9,0)</f>
        <v>22</v>
      </c>
      <c r="R151" s="179">
        <f>VLOOKUP(A151,'OI(Value)'!A151:O369,11,0)</f>
        <v>281</v>
      </c>
      <c r="S151" s="179">
        <f>VLOOKUP(A151,'OI(Value)'!A151:O369,11,0)</f>
        <v>281</v>
      </c>
    </row>
    <row r="152" spans="1:19" x14ac:dyDescent="0.25">
      <c r="A152" s="105" t="str">
        <f>'Data Vlaue (Cr)'!C147</f>
        <v>OFSS</v>
      </c>
      <c r="B152" s="143">
        <f>VLOOKUP($A152,'Data shares'!$C:$FA,118)</f>
        <v>0.57999999999999996</v>
      </c>
      <c r="C152" s="143">
        <f>VLOOKUP($A152,'Data shares'!$C:$FA,119)</f>
        <v>0.61</v>
      </c>
      <c r="D152" s="143">
        <f>VLOOKUP($A152,'Data shares'!$C:$FA,121)*100</f>
        <v>-4.92</v>
      </c>
      <c r="E152" s="143">
        <f>VLOOKUP($A152,'Data shares'!$C:$FA,124)</f>
        <v>0.48</v>
      </c>
      <c r="F152" s="143">
        <f>VLOOKUP($A152,'Data shares'!$C:$FA,125)</f>
        <v>0.3</v>
      </c>
      <c r="G152" s="143">
        <f>VLOOKUP($A152,'Data shares'!$C:$FA,127)*100</f>
        <v>60</v>
      </c>
      <c r="H152" s="103">
        <f>VLOOKUP($A152,'OI(Volume)'!$A$7:$O$440,8)</f>
        <v>696375</v>
      </c>
      <c r="I152" s="103">
        <f>VLOOKUP($A152,'OI(Volume)'!$A$7:$O$440,9)</f>
        <v>52575</v>
      </c>
      <c r="J152" s="103">
        <f>VLOOKUP($A152,'OI(Volume)'!$A$7:$O$440,11)</f>
        <v>405450</v>
      </c>
      <c r="K152" s="103">
        <f>VLOOKUP($A152,'OI(Volume)'!$A$7:$O$440,12)</f>
        <v>13200</v>
      </c>
      <c r="L152" s="103">
        <f>VLOOKUP($A152,'OI(Value)'!$A$7:$O$323,8,0)</f>
        <v>502</v>
      </c>
      <c r="M152" s="103">
        <f>VLOOKUP($A152,'OI(Value)'!$A$7:$O$323,9,0)</f>
        <v>38</v>
      </c>
      <c r="N152" s="103">
        <f>VLOOKUP($A152,'OI(Value)'!$A$7:$O$323,11,0)</f>
        <v>292</v>
      </c>
      <c r="O152" s="103">
        <f>VLOOKUP($A152,'OI(Value)'!$A$7:$O$323,12,0)</f>
        <v>10</v>
      </c>
      <c r="P152" s="179">
        <f>VLOOKUP(A152,'OI(Value)'!A152:O370,8,0)</f>
        <v>502</v>
      </c>
      <c r="Q152" s="179">
        <f>VLOOKUP(A152,'OI(Value)'!A152:O370,9,0)</f>
        <v>38</v>
      </c>
      <c r="R152" s="179">
        <f>VLOOKUP(A152,'OI(Value)'!A152:O370,11,0)</f>
        <v>292</v>
      </c>
      <c r="S152" s="179">
        <f>VLOOKUP(A152,'OI(Value)'!A152:O370,11,0)</f>
        <v>292</v>
      </c>
    </row>
    <row r="153" spans="1:19" x14ac:dyDescent="0.25">
      <c r="A153" s="105" t="str">
        <f>'Data Vlaue (Cr)'!C148</f>
        <v>OIL</v>
      </c>
      <c r="B153" s="143">
        <f>VLOOKUP($A153,'Data shares'!$C:$FA,118)</f>
        <v>0.5</v>
      </c>
      <c r="C153" s="143">
        <f>VLOOKUP($A153,'Data shares'!$C:$FA,119)</f>
        <v>0.52</v>
      </c>
      <c r="D153" s="143">
        <f>VLOOKUP($A153,'Data shares'!$C:$FA,121)*100</f>
        <v>-3.85</v>
      </c>
      <c r="E153" s="143">
        <f>VLOOKUP($A153,'Data shares'!$C:$FA,124)</f>
        <v>0.42</v>
      </c>
      <c r="F153" s="143">
        <f>VLOOKUP($A153,'Data shares'!$C:$FA,125)</f>
        <v>0.37</v>
      </c>
      <c r="G153" s="143">
        <f>VLOOKUP($A153,'Data shares'!$C:$FA,127)*100</f>
        <v>13.51</v>
      </c>
      <c r="H153" s="103">
        <f>VLOOKUP($A153,'OI(Volume)'!$A$7:$O$440,8)</f>
        <v>15059800</v>
      </c>
      <c r="I153" s="103">
        <f>VLOOKUP($A153,'OI(Volume)'!$A$7:$O$440,9)</f>
        <v>254800</v>
      </c>
      <c r="J153" s="103">
        <f>VLOOKUP($A153,'OI(Volume)'!$A$7:$O$440,11)</f>
        <v>7457800</v>
      </c>
      <c r="K153" s="103">
        <f>VLOOKUP($A153,'OI(Volume)'!$A$7:$O$440,12)</f>
        <v>-309400</v>
      </c>
      <c r="L153" s="103">
        <f>VLOOKUP($A153,'OI(Value)'!$A$7:$O$323,8,0)</f>
        <v>714</v>
      </c>
      <c r="M153" s="103">
        <f>VLOOKUP($A153,'OI(Value)'!$A$7:$O$323,9,0)</f>
        <v>12</v>
      </c>
      <c r="N153" s="103">
        <f>VLOOKUP($A153,'OI(Value)'!$A$7:$O$323,11,0)</f>
        <v>353</v>
      </c>
      <c r="O153" s="103">
        <f>VLOOKUP($A153,'OI(Value)'!$A$7:$O$323,12,0)</f>
        <v>-15</v>
      </c>
      <c r="P153" s="179">
        <f>VLOOKUP(A153,'OI(Value)'!A153:O371,8,0)</f>
        <v>714</v>
      </c>
      <c r="Q153" s="179">
        <f>VLOOKUP(A153,'OI(Value)'!A153:O371,9,0)</f>
        <v>12</v>
      </c>
      <c r="R153" s="179">
        <f>VLOOKUP(A153,'OI(Value)'!A153:O371,11,0)</f>
        <v>353</v>
      </c>
      <c r="S153" s="179">
        <f>VLOOKUP(A153,'OI(Value)'!A153:O371,11,0)</f>
        <v>353</v>
      </c>
    </row>
    <row r="154" spans="1:19" x14ac:dyDescent="0.25">
      <c r="A154" s="105" t="str">
        <f>'Data Vlaue (Cr)'!C149</f>
        <v>ONGC</v>
      </c>
      <c r="B154" s="143">
        <f>VLOOKUP($A154,'Data shares'!$C:$FA,118)</f>
        <v>0.43</v>
      </c>
      <c r="C154" s="143">
        <f>VLOOKUP($A154,'Data shares'!$C:$FA,119)</f>
        <v>0.42</v>
      </c>
      <c r="D154" s="143">
        <f>VLOOKUP($A154,'Data shares'!$C:$FA,121)*100</f>
        <v>2.3800000000000003</v>
      </c>
      <c r="E154" s="143">
        <f>VLOOKUP($A154,'Data shares'!$C:$FA,124)</f>
        <v>0.33</v>
      </c>
      <c r="F154" s="143">
        <f>VLOOKUP($A154,'Data shares'!$C:$FA,125)</f>
        <v>0.33</v>
      </c>
      <c r="G154" s="143">
        <f>VLOOKUP($A154,'Data shares'!$C:$FA,127)*100</f>
        <v>0</v>
      </c>
      <c r="H154" s="103">
        <f>VLOOKUP($A154,'OI(Volume)'!$A$7:$O$440,8)</f>
        <v>93638250</v>
      </c>
      <c r="I154" s="103">
        <f>VLOOKUP($A154,'OI(Volume)'!$A$7:$O$440,9)</f>
        <v>6147000</v>
      </c>
      <c r="J154" s="103">
        <f>VLOOKUP($A154,'OI(Volume)'!$A$7:$O$440,11)</f>
        <v>39872250</v>
      </c>
      <c r="K154" s="103">
        <f>VLOOKUP($A154,'OI(Volume)'!$A$7:$O$440,12)</f>
        <v>3206250</v>
      </c>
      <c r="L154" s="103">
        <f>VLOOKUP($A154,'OI(Value)'!$A$7:$O$323,8,0)</f>
        <v>2547</v>
      </c>
      <c r="M154" s="103">
        <f>VLOOKUP($A154,'OI(Value)'!$A$7:$O$323,9,0)</f>
        <v>167</v>
      </c>
      <c r="N154" s="103">
        <f>VLOOKUP($A154,'OI(Value)'!$A$7:$O$323,11,0)</f>
        <v>1085</v>
      </c>
      <c r="O154" s="103">
        <f>VLOOKUP($A154,'OI(Value)'!$A$7:$O$323,12,0)</f>
        <v>87</v>
      </c>
      <c r="P154" s="179">
        <f>VLOOKUP(A154,'OI(Value)'!A154:O372,8,0)</f>
        <v>2547</v>
      </c>
      <c r="Q154" s="179">
        <f>VLOOKUP(A154,'OI(Value)'!A154:O372,9,0)</f>
        <v>167</v>
      </c>
      <c r="R154" s="179">
        <f>VLOOKUP(A154,'OI(Value)'!A154:O372,11,0)</f>
        <v>1085</v>
      </c>
      <c r="S154" s="179">
        <f>VLOOKUP(A154,'OI(Value)'!A154:O372,11,0)</f>
        <v>1085</v>
      </c>
    </row>
    <row r="155" spans="1:19" x14ac:dyDescent="0.25">
      <c r="A155" s="105" t="str">
        <f>'Data Vlaue (Cr)'!C150</f>
        <v>PAGEIND</v>
      </c>
      <c r="B155" s="143">
        <f>VLOOKUP($A155,'Data shares'!$C:$FA,118)</f>
        <v>0.46</v>
      </c>
      <c r="C155" s="143">
        <f>VLOOKUP($A155,'Data shares'!$C:$FA,119)</f>
        <v>0.48</v>
      </c>
      <c r="D155" s="143">
        <f>VLOOKUP($A155,'Data shares'!$C:$FA,121)*100</f>
        <v>-4.17</v>
      </c>
      <c r="E155" s="143">
        <f>VLOOKUP($A155,'Data shares'!$C:$FA,124)</f>
        <v>0.35</v>
      </c>
      <c r="F155" s="143">
        <f>VLOOKUP($A155,'Data shares'!$C:$FA,125)</f>
        <v>0.34</v>
      </c>
      <c r="G155" s="143">
        <f>VLOOKUP($A155,'Data shares'!$C:$FA,127)*100</f>
        <v>2.94</v>
      </c>
      <c r="H155" s="103">
        <f>VLOOKUP($A155,'OI(Volume)'!$A$7:$O$440,8)</f>
        <v>147120</v>
      </c>
      <c r="I155" s="103">
        <f>VLOOKUP($A155,'OI(Volume)'!$A$7:$O$440,9)</f>
        <v>7305</v>
      </c>
      <c r="J155" s="103">
        <f>VLOOKUP($A155,'OI(Volume)'!$A$7:$O$440,11)</f>
        <v>67515</v>
      </c>
      <c r="K155" s="103">
        <f>VLOOKUP($A155,'OI(Volume)'!$A$7:$O$440,12)</f>
        <v>-150</v>
      </c>
      <c r="L155" s="103">
        <f>VLOOKUP($A155,'OI(Value)'!$A$7:$O$323,8,0)</f>
        <v>507</v>
      </c>
      <c r="M155" s="103">
        <f>VLOOKUP($A155,'OI(Value)'!$A$7:$O$323,9,0)</f>
        <v>25</v>
      </c>
      <c r="N155" s="103">
        <f>VLOOKUP($A155,'OI(Value)'!$A$7:$O$323,11,0)</f>
        <v>233</v>
      </c>
      <c r="O155" s="103">
        <f>VLOOKUP($A155,'OI(Value)'!$A$7:$O$323,12,0)</f>
        <v>-1</v>
      </c>
      <c r="P155" s="179">
        <f>VLOOKUP(A155,'OI(Value)'!A155:O373,8,0)</f>
        <v>507</v>
      </c>
      <c r="Q155" s="179">
        <f>VLOOKUP(A155,'OI(Value)'!A155:O373,9,0)</f>
        <v>25</v>
      </c>
      <c r="R155" s="179">
        <f>VLOOKUP(A155,'OI(Value)'!A155:O373,11,0)</f>
        <v>233</v>
      </c>
      <c r="S155" s="179">
        <f>VLOOKUP(A155,'OI(Value)'!A155:O373,11,0)</f>
        <v>233</v>
      </c>
    </row>
    <row r="156" spans="1:19" x14ac:dyDescent="0.25">
      <c r="A156" s="105" t="str">
        <f>'Data Vlaue (Cr)'!C151</f>
        <v>PATANJALI</v>
      </c>
      <c r="B156" s="143">
        <f>VLOOKUP($A156,'Data shares'!$C:$FA,118)</f>
        <v>1.04</v>
      </c>
      <c r="C156" s="143">
        <f>VLOOKUP($A156,'Data shares'!$C:$FA,119)</f>
        <v>1.17</v>
      </c>
      <c r="D156" s="143">
        <f>VLOOKUP($A156,'Data shares'!$C:$FA,121)*100</f>
        <v>-11.110000000000001</v>
      </c>
      <c r="E156" s="143">
        <f>VLOOKUP($A156,'Data shares'!$C:$FA,124)</f>
        <v>0.53</v>
      </c>
      <c r="F156" s="143">
        <f>VLOOKUP($A156,'Data shares'!$C:$FA,125)</f>
        <v>0.8</v>
      </c>
      <c r="G156" s="143">
        <f>VLOOKUP($A156,'Data shares'!$C:$FA,127)*100</f>
        <v>-33.75</v>
      </c>
      <c r="H156" s="103">
        <f>VLOOKUP($A156,'OI(Volume)'!$A$7:$O$440,8)</f>
        <v>5442300</v>
      </c>
      <c r="I156" s="103">
        <f>VLOOKUP($A156,'OI(Volume)'!$A$7:$O$440,9)</f>
        <v>1635300</v>
      </c>
      <c r="J156" s="103">
        <f>VLOOKUP($A156,'OI(Volume)'!$A$7:$O$440,11)</f>
        <v>5663700</v>
      </c>
      <c r="K156" s="103">
        <f>VLOOKUP($A156,'OI(Volume)'!$A$7:$O$440,12)</f>
        <v>1220400</v>
      </c>
      <c r="L156" s="103">
        <f>VLOOKUP($A156,'OI(Value)'!$A$7:$O$323,8,0)</f>
        <v>284</v>
      </c>
      <c r="M156" s="103">
        <f>VLOOKUP($A156,'OI(Value)'!$A$7:$O$323,9,0)</f>
        <v>85</v>
      </c>
      <c r="N156" s="103">
        <f>VLOOKUP($A156,'OI(Value)'!$A$7:$O$323,11,0)</f>
        <v>296</v>
      </c>
      <c r="O156" s="103">
        <f>VLOOKUP($A156,'OI(Value)'!$A$7:$O$323,12,0)</f>
        <v>64</v>
      </c>
      <c r="P156" s="179">
        <f>VLOOKUP(A156,'OI(Value)'!A156:O374,8,0)</f>
        <v>284</v>
      </c>
      <c r="Q156" s="179">
        <f>VLOOKUP(A156,'OI(Value)'!A156:O374,9,0)</f>
        <v>85</v>
      </c>
      <c r="R156" s="179">
        <f>VLOOKUP(A156,'OI(Value)'!A156:O374,11,0)</f>
        <v>296</v>
      </c>
      <c r="S156" s="179">
        <f>VLOOKUP(A156,'OI(Value)'!A156:O374,11,0)</f>
        <v>296</v>
      </c>
    </row>
    <row r="157" spans="1:19" x14ac:dyDescent="0.25">
      <c r="A157" s="105" t="str">
        <f>'Data Vlaue (Cr)'!C152</f>
        <v>PAYTM</v>
      </c>
      <c r="B157" s="143">
        <f>VLOOKUP($A157,'Data shares'!$C:$FA,118)</f>
        <v>0.48</v>
      </c>
      <c r="C157" s="143">
        <f>VLOOKUP($A157,'Data shares'!$C:$FA,119)</f>
        <v>0.49</v>
      </c>
      <c r="D157" s="143">
        <f>VLOOKUP($A157,'Data shares'!$C:$FA,121)*100</f>
        <v>-2.04</v>
      </c>
      <c r="E157" s="143">
        <f>VLOOKUP($A157,'Data shares'!$C:$FA,124)</f>
        <v>0.35</v>
      </c>
      <c r="F157" s="143">
        <f>VLOOKUP($A157,'Data shares'!$C:$FA,125)</f>
        <v>0.52</v>
      </c>
      <c r="G157" s="143">
        <f>VLOOKUP($A157,'Data shares'!$C:$FA,127)*100</f>
        <v>-32.690000000000005</v>
      </c>
      <c r="H157" s="103">
        <f>VLOOKUP($A157,'OI(Volume)'!$A$7:$O$440,8)</f>
        <v>12724475</v>
      </c>
      <c r="I157" s="103">
        <f>VLOOKUP($A157,'OI(Volume)'!$A$7:$O$440,9)</f>
        <v>468350</v>
      </c>
      <c r="J157" s="103">
        <f>VLOOKUP($A157,'OI(Volume)'!$A$7:$O$440,11)</f>
        <v>6119000</v>
      </c>
      <c r="K157" s="103">
        <f>VLOOKUP($A157,'OI(Volume)'!$A$7:$O$440,12)</f>
        <v>60900</v>
      </c>
      <c r="L157" s="103">
        <f>VLOOKUP($A157,'OI(Value)'!$A$7:$O$323,8,0)</f>
        <v>1480</v>
      </c>
      <c r="M157" s="103">
        <f>VLOOKUP($A157,'OI(Value)'!$A$7:$O$323,9,0)</f>
        <v>54</v>
      </c>
      <c r="N157" s="103">
        <f>VLOOKUP($A157,'OI(Value)'!$A$7:$O$323,11,0)</f>
        <v>712</v>
      </c>
      <c r="O157" s="103">
        <f>VLOOKUP($A157,'OI(Value)'!$A$7:$O$323,12,0)</f>
        <v>7</v>
      </c>
      <c r="P157" s="179">
        <f>VLOOKUP(A157,'OI(Value)'!A157:O375,8,0)</f>
        <v>1480</v>
      </c>
      <c r="Q157" s="179">
        <f>VLOOKUP(A157,'OI(Value)'!A157:O375,9,0)</f>
        <v>54</v>
      </c>
      <c r="R157" s="179">
        <f>VLOOKUP(A157,'OI(Value)'!A157:O375,11,0)</f>
        <v>712</v>
      </c>
      <c r="S157" s="179">
        <f>VLOOKUP(A157,'OI(Value)'!A157:O375,11,0)</f>
        <v>712</v>
      </c>
    </row>
    <row r="158" spans="1:19" x14ac:dyDescent="0.25">
      <c r="A158" s="105" t="str">
        <f>'Data Vlaue (Cr)'!C153</f>
        <v>PERSISTENT</v>
      </c>
      <c r="B158" s="143">
        <f>VLOOKUP($A158,'Data shares'!$C:$FA,118)</f>
        <v>0.51</v>
      </c>
      <c r="C158" s="143">
        <f>VLOOKUP($A158,'Data shares'!$C:$FA,119)</f>
        <v>0.55000000000000004</v>
      </c>
      <c r="D158" s="143">
        <f>VLOOKUP($A158,'Data shares'!$C:$FA,121)*100</f>
        <v>-7.2700000000000005</v>
      </c>
      <c r="E158" s="143">
        <f>VLOOKUP($A158,'Data shares'!$C:$FA,124)</f>
        <v>0.8</v>
      </c>
      <c r="F158" s="143">
        <f>VLOOKUP($A158,'Data shares'!$C:$FA,125)</f>
        <v>0.41</v>
      </c>
      <c r="G158" s="143">
        <f>VLOOKUP($A158,'Data shares'!$C:$FA,127)*100</f>
        <v>95.12</v>
      </c>
      <c r="H158" s="103">
        <f>VLOOKUP($A158,'OI(Volume)'!$A$7:$O$440,8)</f>
        <v>1748300</v>
      </c>
      <c r="I158" s="103">
        <f>VLOOKUP($A158,'OI(Volume)'!$A$7:$O$440,9)</f>
        <v>256100</v>
      </c>
      <c r="J158" s="103">
        <f>VLOOKUP($A158,'OI(Volume)'!$A$7:$O$440,11)</f>
        <v>892600</v>
      </c>
      <c r="K158" s="103">
        <f>VLOOKUP($A158,'OI(Volume)'!$A$7:$O$440,12)</f>
        <v>68600</v>
      </c>
      <c r="L158" s="103">
        <f>VLOOKUP($A158,'OI(Value)'!$A$7:$O$323,8,0)</f>
        <v>999</v>
      </c>
      <c r="M158" s="103">
        <f>VLOOKUP($A158,'OI(Value)'!$A$7:$O$323,9,0)</f>
        <v>146</v>
      </c>
      <c r="N158" s="103">
        <f>VLOOKUP($A158,'OI(Value)'!$A$7:$O$323,11,0)</f>
        <v>510</v>
      </c>
      <c r="O158" s="103">
        <f>VLOOKUP($A158,'OI(Value)'!$A$7:$O$323,12,0)</f>
        <v>39</v>
      </c>
      <c r="P158" s="179">
        <f>VLOOKUP(A158,'OI(Value)'!A158:O376,8,0)</f>
        <v>999</v>
      </c>
      <c r="Q158" s="179">
        <f>VLOOKUP(A158,'OI(Value)'!A158:O376,9,0)</f>
        <v>146</v>
      </c>
      <c r="R158" s="179">
        <f>VLOOKUP(A158,'OI(Value)'!A158:O376,11,0)</f>
        <v>510</v>
      </c>
      <c r="S158" s="179">
        <f>VLOOKUP(A158,'OI(Value)'!A158:O376,11,0)</f>
        <v>510</v>
      </c>
    </row>
    <row r="159" spans="1:19" x14ac:dyDescent="0.25">
      <c r="A159" s="105" t="str">
        <f>'Data Vlaue (Cr)'!C154</f>
        <v>PETRONET</v>
      </c>
      <c r="B159" s="143">
        <f>VLOOKUP($A159,'Data shares'!$C:$FA,118)</f>
        <v>0.75</v>
      </c>
      <c r="C159" s="143">
        <f>VLOOKUP($A159,'Data shares'!$C:$FA,119)</f>
        <v>0.8</v>
      </c>
      <c r="D159" s="143">
        <f>VLOOKUP($A159,'Data shares'!$C:$FA,121)*100</f>
        <v>-6.25</v>
      </c>
      <c r="E159" s="143">
        <f>VLOOKUP($A159,'Data shares'!$C:$FA,124)</f>
        <v>0.46</v>
      </c>
      <c r="F159" s="143">
        <f>VLOOKUP($A159,'Data shares'!$C:$FA,125)</f>
        <v>0.23</v>
      </c>
      <c r="G159" s="143">
        <f>VLOOKUP($A159,'Data shares'!$C:$FA,127)*100</f>
        <v>100</v>
      </c>
      <c r="H159" s="103">
        <f>VLOOKUP($A159,'OI(Volume)'!$A$7:$O$440,8)</f>
        <v>16883400</v>
      </c>
      <c r="I159" s="103">
        <f>VLOOKUP($A159,'OI(Volume)'!$A$7:$O$440,9)</f>
        <v>1233100</v>
      </c>
      <c r="J159" s="103">
        <f>VLOOKUP($A159,'OI(Volume)'!$A$7:$O$440,11)</f>
        <v>12716700</v>
      </c>
      <c r="K159" s="103">
        <f>VLOOKUP($A159,'OI(Volume)'!$A$7:$O$440,12)</f>
        <v>231800</v>
      </c>
      <c r="L159" s="103">
        <f>VLOOKUP($A159,'OI(Value)'!$A$7:$O$323,8,0)</f>
        <v>513</v>
      </c>
      <c r="M159" s="103">
        <f>VLOOKUP($A159,'OI(Value)'!$A$7:$O$323,9,0)</f>
        <v>37</v>
      </c>
      <c r="N159" s="103">
        <f>VLOOKUP($A159,'OI(Value)'!$A$7:$O$323,11,0)</f>
        <v>387</v>
      </c>
      <c r="O159" s="103">
        <f>VLOOKUP($A159,'OI(Value)'!$A$7:$O$323,12,0)</f>
        <v>7</v>
      </c>
      <c r="P159" s="179">
        <f>VLOOKUP(A159,'OI(Value)'!A159:O377,8,0)</f>
        <v>513</v>
      </c>
      <c r="Q159" s="179">
        <f>VLOOKUP(A159,'OI(Value)'!A159:O377,9,0)</f>
        <v>37</v>
      </c>
      <c r="R159" s="179">
        <f>VLOOKUP(A159,'OI(Value)'!A159:O377,11,0)</f>
        <v>387</v>
      </c>
      <c r="S159" s="179">
        <f>VLOOKUP(A159,'OI(Value)'!A159:O377,11,0)</f>
        <v>387</v>
      </c>
    </row>
    <row r="160" spans="1:19" x14ac:dyDescent="0.25">
      <c r="A160" s="105" t="str">
        <f>'Data Vlaue (Cr)'!C155</f>
        <v>PFC</v>
      </c>
      <c r="B160" s="143">
        <f>VLOOKUP($A160,'Data shares'!$C:$FA,118)</f>
        <v>0.69</v>
      </c>
      <c r="C160" s="143">
        <f>VLOOKUP($A160,'Data shares'!$C:$FA,119)</f>
        <v>0.71</v>
      </c>
      <c r="D160" s="143">
        <f>VLOOKUP($A160,'Data shares'!$C:$FA,121)*100</f>
        <v>-2.82</v>
      </c>
      <c r="E160" s="143">
        <f>VLOOKUP($A160,'Data shares'!$C:$FA,124)</f>
        <v>0.5</v>
      </c>
      <c r="F160" s="143">
        <f>VLOOKUP($A160,'Data shares'!$C:$FA,125)</f>
        <v>0.51</v>
      </c>
      <c r="G160" s="143">
        <f>VLOOKUP($A160,'Data shares'!$C:$FA,127)*100</f>
        <v>-1.96</v>
      </c>
      <c r="H160" s="103">
        <f>VLOOKUP($A160,'OI(Volume)'!$A$7:$O$440,8)</f>
        <v>33541300</v>
      </c>
      <c r="I160" s="103">
        <f>VLOOKUP($A160,'OI(Volume)'!$A$7:$O$440,9)</f>
        <v>583700</v>
      </c>
      <c r="J160" s="103">
        <f>VLOOKUP($A160,'OI(Volume)'!$A$7:$O$440,11)</f>
        <v>23091900</v>
      </c>
      <c r="K160" s="103">
        <f>VLOOKUP($A160,'OI(Volume)'!$A$7:$O$440,12)</f>
        <v>-176800</v>
      </c>
      <c r="L160" s="103">
        <f>VLOOKUP($A160,'OI(Value)'!$A$7:$O$323,8,0)</f>
        <v>1387</v>
      </c>
      <c r="M160" s="103">
        <f>VLOOKUP($A160,'OI(Value)'!$A$7:$O$323,9,0)</f>
        <v>24</v>
      </c>
      <c r="N160" s="103">
        <f>VLOOKUP($A160,'OI(Value)'!$A$7:$O$323,11,0)</f>
        <v>955</v>
      </c>
      <c r="O160" s="103">
        <f>VLOOKUP($A160,'OI(Value)'!$A$7:$O$323,12,0)</f>
        <v>-7</v>
      </c>
      <c r="P160" s="179">
        <f>VLOOKUP(A160,'OI(Value)'!A160:O378,8,0)</f>
        <v>1387</v>
      </c>
      <c r="Q160" s="179">
        <f>VLOOKUP(A160,'OI(Value)'!A160:O378,9,0)</f>
        <v>24</v>
      </c>
      <c r="R160" s="179">
        <f>VLOOKUP(A160,'OI(Value)'!A160:O378,11,0)</f>
        <v>955</v>
      </c>
      <c r="S160" s="179">
        <f>VLOOKUP(A160,'OI(Value)'!A160:O378,11,0)</f>
        <v>955</v>
      </c>
    </row>
    <row r="161" spans="1:19" x14ac:dyDescent="0.25">
      <c r="A161" s="105" t="str">
        <f>'Data Vlaue (Cr)'!C156</f>
        <v>PGEL</v>
      </c>
      <c r="B161" s="143">
        <f>VLOOKUP($A161,'Data shares'!$C:$FA,118)</f>
        <v>0.84</v>
      </c>
      <c r="C161" s="143">
        <f>VLOOKUP($A161,'Data shares'!$C:$FA,119)</f>
        <v>0.74</v>
      </c>
      <c r="D161" s="143">
        <f>VLOOKUP($A161,'Data shares'!$C:$FA,121)*100</f>
        <v>13.51</v>
      </c>
      <c r="E161" s="143">
        <f>VLOOKUP($A161,'Data shares'!$C:$FA,124)</f>
        <v>0.41</v>
      </c>
      <c r="F161" s="143">
        <f>VLOOKUP($A161,'Data shares'!$C:$FA,125)</f>
        <v>0.32</v>
      </c>
      <c r="G161" s="143">
        <f>VLOOKUP($A161,'Data shares'!$C:$FA,127)*100</f>
        <v>28.12</v>
      </c>
      <c r="H161" s="103">
        <f>VLOOKUP($A161,'OI(Volume)'!$A$7:$O$440,8)</f>
        <v>6990100</v>
      </c>
      <c r="I161" s="103">
        <f>VLOOKUP($A161,'OI(Volume)'!$A$7:$O$440,9)</f>
        <v>-927200</v>
      </c>
      <c r="J161" s="103">
        <f>VLOOKUP($A161,'OI(Volume)'!$A$7:$O$440,11)</f>
        <v>5893800</v>
      </c>
      <c r="K161" s="103">
        <f>VLOOKUP($A161,'OI(Volume)'!$A$7:$O$440,12)</f>
        <v>-1900</v>
      </c>
      <c r="L161" s="103">
        <f>VLOOKUP($A161,'OI(Value)'!$A$7:$O$323,8,0)</f>
        <v>432</v>
      </c>
      <c r="M161" s="103">
        <f>VLOOKUP($A161,'OI(Value)'!$A$7:$O$323,9,0)</f>
        <v>-57</v>
      </c>
      <c r="N161" s="103">
        <f>VLOOKUP($A161,'OI(Value)'!$A$7:$O$323,11,0)</f>
        <v>364</v>
      </c>
      <c r="O161" s="103">
        <f>VLOOKUP($A161,'OI(Value)'!$A$7:$O$323,12,0)</f>
        <v>0</v>
      </c>
      <c r="P161" s="179">
        <f>VLOOKUP(A161,'OI(Value)'!A161:O379,8,0)</f>
        <v>432</v>
      </c>
      <c r="Q161" s="179">
        <f>VLOOKUP(A161,'OI(Value)'!A161:O379,9,0)</f>
        <v>-57</v>
      </c>
      <c r="R161" s="179">
        <f>VLOOKUP(A161,'OI(Value)'!A161:O379,11,0)</f>
        <v>364</v>
      </c>
      <c r="S161" s="179">
        <f>VLOOKUP(A161,'OI(Value)'!A161:O379,11,0)</f>
        <v>364</v>
      </c>
    </row>
    <row r="162" spans="1:19" x14ac:dyDescent="0.25">
      <c r="A162" s="105" t="str">
        <f>'Data Vlaue (Cr)'!C157</f>
        <v>PHOENIXLTD</v>
      </c>
      <c r="B162" s="143">
        <f>VLOOKUP($A162,'Data shares'!$C:$FA,118)</f>
        <v>0.72</v>
      </c>
      <c r="C162" s="143">
        <f>VLOOKUP($A162,'Data shares'!$C:$FA,119)</f>
        <v>0.56999999999999995</v>
      </c>
      <c r="D162" s="143">
        <f>VLOOKUP($A162,'Data shares'!$C:$FA,121)*100</f>
        <v>26.32</v>
      </c>
      <c r="E162" s="143">
        <f>VLOOKUP($A162,'Data shares'!$C:$FA,124)</f>
        <v>0.55000000000000004</v>
      </c>
      <c r="F162" s="143">
        <f>VLOOKUP($A162,'Data shares'!$C:$FA,125)</f>
        <v>0.44</v>
      </c>
      <c r="G162" s="143">
        <f>VLOOKUP($A162,'Data shares'!$C:$FA,127)*100</f>
        <v>25</v>
      </c>
      <c r="H162" s="103">
        <f>VLOOKUP($A162,'OI(Volume)'!$A$7:$O$440,8)</f>
        <v>1300250</v>
      </c>
      <c r="I162" s="103">
        <f>VLOOKUP($A162,'OI(Volume)'!$A$7:$O$440,9)</f>
        <v>51100</v>
      </c>
      <c r="J162" s="103">
        <f>VLOOKUP($A162,'OI(Volume)'!$A$7:$O$440,11)</f>
        <v>940800</v>
      </c>
      <c r="K162" s="103">
        <f>VLOOKUP($A162,'OI(Volume)'!$A$7:$O$440,12)</f>
        <v>224000</v>
      </c>
      <c r="L162" s="103">
        <f>VLOOKUP($A162,'OI(Value)'!$A$7:$O$323,8,0)</f>
        <v>232</v>
      </c>
      <c r="M162" s="103">
        <f>VLOOKUP($A162,'OI(Value)'!$A$7:$O$323,9,0)</f>
        <v>9</v>
      </c>
      <c r="N162" s="103">
        <f>VLOOKUP($A162,'OI(Value)'!$A$7:$O$323,11,0)</f>
        <v>168</v>
      </c>
      <c r="O162" s="103">
        <f>VLOOKUP($A162,'OI(Value)'!$A$7:$O$323,12,0)</f>
        <v>40</v>
      </c>
      <c r="P162" s="179">
        <f>VLOOKUP(A162,'OI(Value)'!A162:O380,8,0)</f>
        <v>232</v>
      </c>
      <c r="Q162" s="179">
        <f>VLOOKUP(A162,'OI(Value)'!A162:O380,9,0)</f>
        <v>9</v>
      </c>
      <c r="R162" s="179">
        <f>VLOOKUP(A162,'OI(Value)'!A162:O380,11,0)</f>
        <v>168</v>
      </c>
      <c r="S162" s="179">
        <f>VLOOKUP(A162,'OI(Value)'!A162:O380,11,0)</f>
        <v>168</v>
      </c>
    </row>
    <row r="163" spans="1:19" x14ac:dyDescent="0.25">
      <c r="A163" s="105" t="str">
        <f>'Data Vlaue (Cr)'!C158</f>
        <v>PIDILITIND</v>
      </c>
      <c r="B163" s="143">
        <f>VLOOKUP($A163,'Data shares'!$C:$FA,118)</f>
        <v>0.76</v>
      </c>
      <c r="C163" s="143">
        <f>VLOOKUP($A163,'Data shares'!$C:$FA,119)</f>
        <v>0.8</v>
      </c>
      <c r="D163" s="143">
        <f>VLOOKUP($A163,'Data shares'!$C:$FA,121)*100</f>
        <v>-5</v>
      </c>
      <c r="E163" s="143">
        <f>VLOOKUP($A163,'Data shares'!$C:$FA,124)</f>
        <v>0.42</v>
      </c>
      <c r="F163" s="143">
        <f>VLOOKUP($A163,'Data shares'!$C:$FA,125)</f>
        <v>0.61</v>
      </c>
      <c r="G163" s="143">
        <f>VLOOKUP($A163,'Data shares'!$C:$FA,127)*100</f>
        <v>-31.15</v>
      </c>
      <c r="H163" s="103">
        <f>VLOOKUP($A163,'OI(Volume)'!$A$7:$O$440,8)</f>
        <v>1947000</v>
      </c>
      <c r="I163" s="103">
        <f>VLOOKUP($A163,'OI(Volume)'!$A$7:$O$440,9)</f>
        <v>33000</v>
      </c>
      <c r="J163" s="103">
        <f>VLOOKUP($A163,'OI(Volume)'!$A$7:$O$440,11)</f>
        <v>1475500</v>
      </c>
      <c r="K163" s="103">
        <f>VLOOKUP($A163,'OI(Volume)'!$A$7:$O$440,12)</f>
        <v>-54000</v>
      </c>
      <c r="L163" s="103">
        <f>VLOOKUP($A163,'OI(Value)'!$A$7:$O$323,8,0)</f>
        <v>288</v>
      </c>
      <c r="M163" s="103">
        <f>VLOOKUP($A163,'OI(Value)'!$A$7:$O$323,9,0)</f>
        <v>5</v>
      </c>
      <c r="N163" s="103">
        <f>VLOOKUP($A163,'OI(Value)'!$A$7:$O$323,11,0)</f>
        <v>218</v>
      </c>
      <c r="O163" s="103">
        <f>VLOOKUP($A163,'OI(Value)'!$A$7:$O$323,12,0)</f>
        <v>-8</v>
      </c>
      <c r="P163" s="179">
        <f>VLOOKUP(A163,'OI(Value)'!A163:O381,8,0)</f>
        <v>288</v>
      </c>
      <c r="Q163" s="179">
        <f>VLOOKUP(A163,'OI(Value)'!A163:O381,9,0)</f>
        <v>5</v>
      </c>
      <c r="R163" s="179">
        <f>VLOOKUP(A163,'OI(Value)'!A163:O381,11,0)</f>
        <v>218</v>
      </c>
      <c r="S163" s="179">
        <f>VLOOKUP(A163,'OI(Value)'!A163:O381,11,0)</f>
        <v>218</v>
      </c>
    </row>
    <row r="164" spans="1:19" x14ac:dyDescent="0.25">
      <c r="A164" s="105" t="str">
        <f>'Data Vlaue (Cr)'!C159</f>
        <v>PIIND</v>
      </c>
      <c r="B164" s="143">
        <f>VLOOKUP($A164,'Data shares'!$C:$FA,118)</f>
        <v>1.57</v>
      </c>
      <c r="C164" s="143">
        <f>VLOOKUP($A164,'Data shares'!$C:$FA,119)</f>
        <v>1.07</v>
      </c>
      <c r="D164" s="143">
        <f>VLOOKUP($A164,'Data shares'!$C:$FA,121)*100</f>
        <v>46.73</v>
      </c>
      <c r="E164" s="143">
        <f>VLOOKUP($A164,'Data shares'!$C:$FA,124)</f>
        <v>0.65</v>
      </c>
      <c r="F164" s="143">
        <f>VLOOKUP($A164,'Data shares'!$C:$FA,125)</f>
        <v>0.82</v>
      </c>
      <c r="G164" s="143">
        <f>VLOOKUP($A164,'Data shares'!$C:$FA,127)*100</f>
        <v>-20.73</v>
      </c>
      <c r="H164" s="103">
        <f>VLOOKUP($A164,'OI(Volume)'!$A$7:$O$440,8)</f>
        <v>1127525</v>
      </c>
      <c r="I164" s="103">
        <f>VLOOKUP($A164,'OI(Volume)'!$A$7:$O$440,9)</f>
        <v>403900</v>
      </c>
      <c r="J164" s="103">
        <f>VLOOKUP($A164,'OI(Volume)'!$A$7:$O$440,11)</f>
        <v>1768025</v>
      </c>
      <c r="K164" s="103">
        <f>VLOOKUP($A164,'OI(Volume)'!$A$7:$O$440,12)</f>
        <v>994175</v>
      </c>
      <c r="L164" s="103">
        <f>VLOOKUP($A164,'OI(Value)'!$A$7:$O$323,8,0)</f>
        <v>369</v>
      </c>
      <c r="M164" s="103">
        <f>VLOOKUP($A164,'OI(Value)'!$A$7:$O$323,9,0)</f>
        <v>132</v>
      </c>
      <c r="N164" s="103">
        <f>VLOOKUP($A164,'OI(Value)'!$A$7:$O$323,11,0)</f>
        <v>579</v>
      </c>
      <c r="O164" s="103">
        <f>VLOOKUP($A164,'OI(Value)'!$A$7:$O$323,12,0)</f>
        <v>326</v>
      </c>
      <c r="P164" s="179">
        <f>VLOOKUP(A164,'OI(Value)'!A164:O382,8,0)</f>
        <v>369</v>
      </c>
      <c r="Q164" s="179">
        <f>VLOOKUP(A164,'OI(Value)'!A164:O382,9,0)</f>
        <v>132</v>
      </c>
      <c r="R164" s="179">
        <f>VLOOKUP(A164,'OI(Value)'!A164:O382,11,0)</f>
        <v>579</v>
      </c>
      <c r="S164" s="179">
        <f>VLOOKUP(A164,'OI(Value)'!A164:O382,11,0)</f>
        <v>579</v>
      </c>
    </row>
    <row r="165" spans="1:19" x14ac:dyDescent="0.25">
      <c r="A165" s="105" t="str">
        <f>'Data Vlaue (Cr)'!C160</f>
        <v>PNB</v>
      </c>
      <c r="B165" s="143">
        <f>VLOOKUP($A165,'Data shares'!$C:$FA,118)</f>
        <v>0.59</v>
      </c>
      <c r="C165" s="143">
        <f>VLOOKUP($A165,'Data shares'!$C:$FA,119)</f>
        <v>0.56999999999999995</v>
      </c>
      <c r="D165" s="143">
        <f>VLOOKUP($A165,'Data shares'!$C:$FA,121)*100</f>
        <v>3.51</v>
      </c>
      <c r="E165" s="143">
        <f>VLOOKUP($A165,'Data shares'!$C:$FA,124)</f>
        <v>0.47</v>
      </c>
      <c r="F165" s="143">
        <f>VLOOKUP($A165,'Data shares'!$C:$FA,125)</f>
        <v>0.42</v>
      </c>
      <c r="G165" s="143">
        <f>VLOOKUP($A165,'Data shares'!$C:$FA,127)*100</f>
        <v>11.899999999999999</v>
      </c>
      <c r="H165" s="103">
        <f>VLOOKUP($A165,'OI(Volume)'!$A$7:$O$440,8)</f>
        <v>139168000</v>
      </c>
      <c r="I165" s="103">
        <f>VLOOKUP($A165,'OI(Volume)'!$A$7:$O$440,9)</f>
        <v>1112000</v>
      </c>
      <c r="J165" s="103">
        <f>VLOOKUP($A165,'OI(Volume)'!$A$7:$O$440,11)</f>
        <v>82104000</v>
      </c>
      <c r="K165" s="103">
        <f>VLOOKUP($A165,'OI(Volume)'!$A$7:$O$440,12)</f>
        <v>3440000</v>
      </c>
      <c r="L165" s="103">
        <f>VLOOKUP($A165,'OI(Value)'!$A$7:$O$323,8,0)</f>
        <v>1716</v>
      </c>
      <c r="M165" s="103">
        <f>VLOOKUP($A165,'OI(Value)'!$A$7:$O$323,9,0)</f>
        <v>14</v>
      </c>
      <c r="N165" s="103">
        <f>VLOOKUP($A165,'OI(Value)'!$A$7:$O$323,11,0)</f>
        <v>1012</v>
      </c>
      <c r="O165" s="103">
        <f>VLOOKUP($A165,'OI(Value)'!$A$7:$O$323,12,0)</f>
        <v>42</v>
      </c>
      <c r="P165" s="179">
        <f>VLOOKUP(A165,'OI(Value)'!A165:O383,8,0)</f>
        <v>1716</v>
      </c>
      <c r="Q165" s="179">
        <f>VLOOKUP(A165,'OI(Value)'!A165:O383,9,0)</f>
        <v>14</v>
      </c>
      <c r="R165" s="179">
        <f>VLOOKUP(A165,'OI(Value)'!A165:O383,11,0)</f>
        <v>1012</v>
      </c>
      <c r="S165" s="179">
        <f>VLOOKUP(A165,'OI(Value)'!A165:O383,11,0)</f>
        <v>1012</v>
      </c>
    </row>
    <row r="166" spans="1:19" x14ac:dyDescent="0.25">
      <c r="A166" s="105" t="str">
        <f>'Data Vlaue (Cr)'!C161</f>
        <v>PNBHOUSING</v>
      </c>
      <c r="B166" s="143">
        <f>VLOOKUP($A166,'Data shares'!$C:$FA,118)</f>
        <v>0.9</v>
      </c>
      <c r="C166" s="143">
        <f>VLOOKUP($A166,'Data shares'!$C:$FA,119)</f>
        <v>0.9</v>
      </c>
      <c r="D166" s="143">
        <f>VLOOKUP($A166,'Data shares'!$C:$FA,121)*100</f>
        <v>0</v>
      </c>
      <c r="E166" s="143">
        <f>VLOOKUP($A166,'Data shares'!$C:$FA,124)</f>
        <v>0.27</v>
      </c>
      <c r="F166" s="143">
        <f>VLOOKUP($A166,'Data shares'!$C:$FA,125)</f>
        <v>0.34</v>
      </c>
      <c r="G166" s="143">
        <f>VLOOKUP($A166,'Data shares'!$C:$FA,127)*100</f>
        <v>-20.59</v>
      </c>
      <c r="H166" s="103">
        <f>VLOOKUP($A166,'OI(Volume)'!$A$7:$O$440,8)</f>
        <v>2821000</v>
      </c>
      <c r="I166" s="103">
        <f>VLOOKUP($A166,'OI(Volume)'!$A$7:$O$440,9)</f>
        <v>-16250</v>
      </c>
      <c r="J166" s="103">
        <f>VLOOKUP($A166,'OI(Volume)'!$A$7:$O$440,11)</f>
        <v>2535650</v>
      </c>
      <c r="K166" s="103">
        <f>VLOOKUP($A166,'OI(Volume)'!$A$7:$O$440,12)</f>
        <v>-13650</v>
      </c>
      <c r="L166" s="103">
        <f>VLOOKUP($A166,'OI(Value)'!$A$7:$O$323,8,0)</f>
        <v>241</v>
      </c>
      <c r="M166" s="103">
        <f>VLOOKUP($A166,'OI(Value)'!$A$7:$O$323,9,0)</f>
        <v>-1</v>
      </c>
      <c r="N166" s="103">
        <f>VLOOKUP($A166,'OI(Value)'!$A$7:$O$323,11,0)</f>
        <v>217</v>
      </c>
      <c r="O166" s="103">
        <f>VLOOKUP($A166,'OI(Value)'!$A$7:$O$323,12,0)</f>
        <v>-1</v>
      </c>
      <c r="P166" s="179">
        <f>VLOOKUP(A166,'OI(Value)'!A166:O384,8,0)</f>
        <v>241</v>
      </c>
      <c r="Q166" s="179">
        <f>VLOOKUP(A166,'OI(Value)'!A166:O384,9,0)</f>
        <v>-1</v>
      </c>
      <c r="R166" s="179">
        <f>VLOOKUP(A166,'OI(Value)'!A166:O384,11,0)</f>
        <v>217</v>
      </c>
      <c r="S166" s="179">
        <f>VLOOKUP(A166,'OI(Value)'!A166:O384,11,0)</f>
        <v>217</v>
      </c>
    </row>
    <row r="167" spans="1:19" x14ac:dyDescent="0.25">
      <c r="A167" s="105" t="str">
        <f>'Data Vlaue (Cr)'!C162</f>
        <v>POLICYBZR</v>
      </c>
      <c r="B167" s="143">
        <f>VLOOKUP($A167,'Data shares'!$C:$FA,118)</f>
        <v>0.76</v>
      </c>
      <c r="C167" s="143">
        <f>VLOOKUP($A167,'Data shares'!$C:$FA,119)</f>
        <v>0.7</v>
      </c>
      <c r="D167" s="143">
        <f>VLOOKUP($A167,'Data shares'!$C:$FA,121)*100</f>
        <v>8.57</v>
      </c>
      <c r="E167" s="143">
        <f>VLOOKUP($A167,'Data shares'!$C:$FA,124)</f>
        <v>0.42</v>
      </c>
      <c r="F167" s="143">
        <f>VLOOKUP($A167,'Data shares'!$C:$FA,125)</f>
        <v>0.63</v>
      </c>
      <c r="G167" s="143">
        <f>VLOOKUP($A167,'Data shares'!$C:$FA,127)*100</f>
        <v>-33.33</v>
      </c>
      <c r="H167" s="103">
        <f>VLOOKUP($A167,'OI(Volume)'!$A$7:$O$440,8)</f>
        <v>3805550</v>
      </c>
      <c r="I167" s="103">
        <f>VLOOKUP($A167,'OI(Volume)'!$A$7:$O$440,9)</f>
        <v>-350350</v>
      </c>
      <c r="J167" s="103">
        <f>VLOOKUP($A167,'OI(Volume)'!$A$7:$O$440,11)</f>
        <v>2884000</v>
      </c>
      <c r="K167" s="103">
        <f>VLOOKUP($A167,'OI(Volume)'!$A$7:$O$440,12)</f>
        <v>-24850</v>
      </c>
      <c r="L167" s="103">
        <f>VLOOKUP($A167,'OI(Value)'!$A$7:$O$323,8,0)</f>
        <v>592</v>
      </c>
      <c r="M167" s="103">
        <f>VLOOKUP($A167,'OI(Value)'!$A$7:$O$323,9,0)</f>
        <v>-55</v>
      </c>
      <c r="N167" s="103">
        <f>VLOOKUP($A167,'OI(Value)'!$A$7:$O$323,11,0)</f>
        <v>449</v>
      </c>
      <c r="O167" s="103">
        <f>VLOOKUP($A167,'OI(Value)'!$A$7:$O$323,12,0)</f>
        <v>-4</v>
      </c>
      <c r="P167" s="179">
        <f>VLOOKUP(A167,'OI(Value)'!A167:O385,8,0)</f>
        <v>592</v>
      </c>
      <c r="Q167" s="179">
        <f>VLOOKUP(A167,'OI(Value)'!A167:O385,9,0)</f>
        <v>-55</v>
      </c>
      <c r="R167" s="179">
        <f>VLOOKUP(A167,'OI(Value)'!A167:O385,11,0)</f>
        <v>449</v>
      </c>
      <c r="S167" s="179">
        <f>VLOOKUP(A167,'OI(Value)'!A167:O385,11,0)</f>
        <v>449</v>
      </c>
    </row>
    <row r="168" spans="1:19" x14ac:dyDescent="0.25">
      <c r="A168" s="105" t="str">
        <f>'Data Vlaue (Cr)'!C163</f>
        <v>POLYCAB</v>
      </c>
      <c r="B168" s="143">
        <f>VLOOKUP($A168,'Data shares'!$C:$FA,118)</f>
        <v>0.75</v>
      </c>
      <c r="C168" s="143">
        <f>VLOOKUP($A168,'Data shares'!$C:$FA,119)</f>
        <v>0.71</v>
      </c>
      <c r="D168" s="143">
        <f>VLOOKUP($A168,'Data shares'!$C:$FA,121)*100</f>
        <v>5.63</v>
      </c>
      <c r="E168" s="143">
        <f>VLOOKUP($A168,'Data shares'!$C:$FA,124)</f>
        <v>0.71</v>
      </c>
      <c r="F168" s="143">
        <f>VLOOKUP($A168,'Data shares'!$C:$FA,125)</f>
        <v>0.75</v>
      </c>
      <c r="G168" s="143">
        <f>VLOOKUP($A168,'Data shares'!$C:$FA,127)*100</f>
        <v>-5.33</v>
      </c>
      <c r="H168" s="103">
        <f>VLOOKUP($A168,'OI(Volume)'!$A$7:$O$440,8)</f>
        <v>1107000</v>
      </c>
      <c r="I168" s="103">
        <f>VLOOKUP($A168,'OI(Volume)'!$A$7:$O$440,9)</f>
        <v>-17250</v>
      </c>
      <c r="J168" s="103">
        <f>VLOOKUP($A168,'OI(Volume)'!$A$7:$O$440,11)</f>
        <v>833625</v>
      </c>
      <c r="K168" s="103">
        <f>VLOOKUP($A168,'OI(Volume)'!$A$7:$O$440,12)</f>
        <v>41000</v>
      </c>
      <c r="L168" s="103">
        <f>VLOOKUP($A168,'OI(Value)'!$A$7:$O$323,8,0)</f>
        <v>866</v>
      </c>
      <c r="M168" s="103">
        <f>VLOOKUP($A168,'OI(Value)'!$A$7:$O$323,9,0)</f>
        <v>-13</v>
      </c>
      <c r="N168" s="103">
        <f>VLOOKUP($A168,'OI(Value)'!$A$7:$O$323,11,0)</f>
        <v>652</v>
      </c>
      <c r="O168" s="103">
        <f>VLOOKUP($A168,'OI(Value)'!$A$7:$O$323,12,0)</f>
        <v>32</v>
      </c>
      <c r="P168" s="179">
        <f>VLOOKUP(A168,'OI(Value)'!A168:O386,8,0)</f>
        <v>866</v>
      </c>
      <c r="Q168" s="179">
        <f>VLOOKUP(A168,'OI(Value)'!A168:O386,9,0)</f>
        <v>-13</v>
      </c>
      <c r="R168" s="179">
        <f>VLOOKUP(A168,'OI(Value)'!A168:O386,11,0)</f>
        <v>652</v>
      </c>
      <c r="S168" s="179">
        <f>VLOOKUP(A168,'OI(Value)'!A168:O386,11,0)</f>
        <v>652</v>
      </c>
    </row>
    <row r="169" spans="1:19" x14ac:dyDescent="0.25">
      <c r="A169" s="105" t="str">
        <f>'Data Vlaue (Cr)'!C164</f>
        <v>POWERGRID</v>
      </c>
      <c r="B169" s="143">
        <f>VLOOKUP($A169,'Data shares'!$C:$FA,118)</f>
        <v>0.61</v>
      </c>
      <c r="C169" s="143">
        <f>VLOOKUP($A169,'Data shares'!$C:$FA,119)</f>
        <v>0.61</v>
      </c>
      <c r="D169" s="143">
        <f>VLOOKUP($A169,'Data shares'!$C:$FA,121)*100</f>
        <v>0</v>
      </c>
      <c r="E169" s="143">
        <f>VLOOKUP($A169,'Data shares'!$C:$FA,124)</f>
        <v>0.45</v>
      </c>
      <c r="F169" s="143">
        <f>VLOOKUP($A169,'Data shares'!$C:$FA,125)</f>
        <v>0.42</v>
      </c>
      <c r="G169" s="143">
        <f>VLOOKUP($A169,'Data shares'!$C:$FA,127)*100</f>
        <v>7.1400000000000006</v>
      </c>
      <c r="H169" s="103">
        <f>VLOOKUP($A169,'OI(Volume)'!$A$7:$O$440,8)</f>
        <v>68422800</v>
      </c>
      <c r="I169" s="103">
        <f>VLOOKUP($A169,'OI(Volume)'!$A$7:$O$440,9)</f>
        <v>393300</v>
      </c>
      <c r="J169" s="103">
        <f>VLOOKUP($A169,'OI(Volume)'!$A$7:$O$440,11)</f>
        <v>41630900</v>
      </c>
      <c r="K169" s="103">
        <f>VLOOKUP($A169,'OI(Volume)'!$A$7:$O$440,12)</f>
        <v>-159600</v>
      </c>
      <c r="L169" s="103">
        <f>VLOOKUP($A169,'OI(Value)'!$A$7:$O$323,8,0)</f>
        <v>2015</v>
      </c>
      <c r="M169" s="103">
        <f>VLOOKUP($A169,'OI(Value)'!$A$7:$O$323,9,0)</f>
        <v>12</v>
      </c>
      <c r="N169" s="103">
        <f>VLOOKUP($A169,'OI(Value)'!$A$7:$O$323,11,0)</f>
        <v>1226</v>
      </c>
      <c r="O169" s="103">
        <f>VLOOKUP($A169,'OI(Value)'!$A$7:$O$323,12,0)</f>
        <v>-5</v>
      </c>
      <c r="P169" s="179">
        <f>VLOOKUP(A169,'OI(Value)'!A169:O387,8,0)</f>
        <v>2015</v>
      </c>
      <c r="Q169" s="179">
        <f>VLOOKUP(A169,'OI(Value)'!A169:O387,9,0)</f>
        <v>12</v>
      </c>
      <c r="R169" s="179">
        <f>VLOOKUP(A169,'OI(Value)'!A169:O387,11,0)</f>
        <v>1226</v>
      </c>
      <c r="S169" s="179">
        <f>VLOOKUP(A169,'OI(Value)'!A169:O387,11,0)</f>
        <v>1226</v>
      </c>
    </row>
    <row r="170" spans="1:19" x14ac:dyDescent="0.25">
      <c r="A170" s="105" t="str">
        <f>'Data Vlaue (Cr)'!C165</f>
        <v>POWERINDIA</v>
      </c>
      <c r="B170" s="143">
        <f>VLOOKUP($A170,'Data shares'!$C:$FA,118)</f>
        <v>1.23</v>
      </c>
      <c r="C170" s="143">
        <f>VLOOKUP($A170,'Data shares'!$C:$FA,119)</f>
        <v>1.22</v>
      </c>
      <c r="D170" s="143">
        <f>VLOOKUP($A170,'Data shares'!$C:$FA,121)*100</f>
        <v>0.82000000000000006</v>
      </c>
      <c r="E170" s="143">
        <f>VLOOKUP($A170,'Data shares'!$C:$FA,124)</f>
        <v>0.63</v>
      </c>
      <c r="F170" s="143">
        <f>VLOOKUP($A170,'Data shares'!$C:$FA,125)</f>
        <v>1.18</v>
      </c>
      <c r="G170" s="143">
        <f>VLOOKUP($A170,'Data shares'!$C:$FA,127)*100</f>
        <v>-46.61</v>
      </c>
      <c r="H170" s="103">
        <f>VLOOKUP($A170,'OI(Volume)'!$A$7:$O$440,8)</f>
        <v>271200</v>
      </c>
      <c r="I170" s="103">
        <f>VLOOKUP($A170,'OI(Volume)'!$A$7:$O$440,9)</f>
        <v>-3900</v>
      </c>
      <c r="J170" s="103">
        <f>VLOOKUP($A170,'OI(Volume)'!$A$7:$O$440,11)</f>
        <v>333550</v>
      </c>
      <c r="K170" s="103">
        <f>VLOOKUP($A170,'OI(Volume)'!$A$7:$O$440,12)</f>
        <v>-1750</v>
      </c>
      <c r="L170" s="103">
        <f>VLOOKUP($A170,'OI(Value)'!$A$7:$O$323,8,0)</f>
        <v>617</v>
      </c>
      <c r="M170" s="103">
        <f>VLOOKUP($A170,'OI(Value)'!$A$7:$O$323,9,0)</f>
        <v>-9</v>
      </c>
      <c r="N170" s="103">
        <f>VLOOKUP($A170,'OI(Value)'!$A$7:$O$323,11,0)</f>
        <v>759</v>
      </c>
      <c r="O170" s="103">
        <f>VLOOKUP($A170,'OI(Value)'!$A$7:$O$323,12,0)</f>
        <v>-4</v>
      </c>
      <c r="P170" s="179">
        <f>VLOOKUP(A170,'OI(Value)'!A170:O388,8,0)</f>
        <v>617</v>
      </c>
      <c r="Q170" s="179">
        <f>VLOOKUP(A170,'OI(Value)'!A170:O388,9,0)</f>
        <v>-9</v>
      </c>
      <c r="R170" s="179">
        <f>VLOOKUP(A170,'OI(Value)'!A170:O388,11,0)</f>
        <v>759</v>
      </c>
      <c r="S170" s="179">
        <f>VLOOKUP(A170,'OI(Value)'!A170:O388,11,0)</f>
        <v>759</v>
      </c>
    </row>
    <row r="171" spans="1:19" x14ac:dyDescent="0.25">
      <c r="A171" s="105" t="str">
        <f>'Data Vlaue (Cr)'!C166</f>
        <v>PPLPHARMA</v>
      </c>
      <c r="B171" s="143">
        <f>VLOOKUP($A171,'Data shares'!$C:$FA,118)</f>
        <v>0.63</v>
      </c>
      <c r="C171" s="143">
        <f>VLOOKUP($A171,'Data shares'!$C:$FA,119)</f>
        <v>0.65</v>
      </c>
      <c r="D171" s="143">
        <f>VLOOKUP($A171,'Data shares'!$C:$FA,121)*100</f>
        <v>-3.08</v>
      </c>
      <c r="E171" s="143">
        <f>VLOOKUP($A171,'Data shares'!$C:$FA,124)</f>
        <v>0.28000000000000003</v>
      </c>
      <c r="F171" s="143">
        <f>VLOOKUP($A171,'Data shares'!$C:$FA,125)</f>
        <v>0.34</v>
      </c>
      <c r="G171" s="143">
        <f>VLOOKUP($A171,'Data shares'!$C:$FA,127)*100</f>
        <v>-17.649999999999999</v>
      </c>
      <c r="H171" s="103">
        <f>VLOOKUP($A171,'OI(Volume)'!$A$7:$O$440,8)</f>
        <v>10610250</v>
      </c>
      <c r="I171" s="103">
        <f>VLOOKUP($A171,'OI(Volume)'!$A$7:$O$440,9)</f>
        <v>152250</v>
      </c>
      <c r="J171" s="103">
        <f>VLOOKUP($A171,'OI(Volume)'!$A$7:$O$440,11)</f>
        <v>6733125</v>
      </c>
      <c r="K171" s="103">
        <f>VLOOKUP($A171,'OI(Volume)'!$A$7:$O$440,12)</f>
        <v>-94500</v>
      </c>
      <c r="L171" s="103">
        <f>VLOOKUP($A171,'OI(Value)'!$A$7:$O$323,8,0)</f>
        <v>174</v>
      </c>
      <c r="M171" s="103">
        <f>VLOOKUP($A171,'OI(Value)'!$A$7:$O$323,9,0)</f>
        <v>2</v>
      </c>
      <c r="N171" s="103">
        <f>VLOOKUP($A171,'OI(Value)'!$A$7:$O$323,11,0)</f>
        <v>110</v>
      </c>
      <c r="O171" s="103">
        <f>VLOOKUP($A171,'OI(Value)'!$A$7:$O$323,12,0)</f>
        <v>-2</v>
      </c>
      <c r="P171" s="179">
        <f>VLOOKUP(A171,'OI(Value)'!A171:O389,8,0)</f>
        <v>174</v>
      </c>
      <c r="Q171" s="179">
        <f>VLOOKUP(A171,'OI(Value)'!A171:O389,9,0)</f>
        <v>2</v>
      </c>
      <c r="R171" s="179">
        <f>VLOOKUP(A171,'OI(Value)'!A171:O389,11,0)</f>
        <v>110</v>
      </c>
      <c r="S171" s="179">
        <f>VLOOKUP(A171,'OI(Value)'!A171:O389,11,0)</f>
        <v>110</v>
      </c>
    </row>
    <row r="172" spans="1:19" x14ac:dyDescent="0.25">
      <c r="A172" s="105" t="str">
        <f>'Data Vlaue (Cr)'!C167</f>
        <v>PREMIERENE</v>
      </c>
      <c r="B172" s="143">
        <f>VLOOKUP($A172,'Data shares'!$C:$FA,118)</f>
        <v>0.46</v>
      </c>
      <c r="C172" s="143">
        <f>VLOOKUP($A172,'Data shares'!$C:$FA,119)</f>
        <v>0.47</v>
      </c>
      <c r="D172" s="143">
        <f>VLOOKUP($A172,'Data shares'!$C:$FA,121)*100</f>
        <v>-2.13</v>
      </c>
      <c r="E172" s="143">
        <f>VLOOKUP($A172,'Data shares'!$C:$FA,124)</f>
        <v>0.59</v>
      </c>
      <c r="F172" s="143">
        <f>VLOOKUP($A172,'Data shares'!$C:$FA,125)</f>
        <v>0.25</v>
      </c>
      <c r="G172" s="143">
        <f>VLOOKUP($A172,'Data shares'!$C:$FA,127)*100</f>
        <v>136</v>
      </c>
      <c r="H172" s="103">
        <f>VLOOKUP($A172,'OI(Volume)'!$A$7:$O$440,8)</f>
        <v>3839275</v>
      </c>
      <c r="I172" s="103">
        <f>VLOOKUP($A172,'OI(Volume)'!$A$7:$O$440,9)</f>
        <v>522675</v>
      </c>
      <c r="J172" s="103">
        <f>VLOOKUP($A172,'OI(Volume)'!$A$7:$O$440,11)</f>
        <v>1756050</v>
      </c>
      <c r="K172" s="103">
        <f>VLOOKUP($A172,'OI(Volume)'!$A$7:$O$440,12)</f>
        <v>184000</v>
      </c>
      <c r="L172" s="103">
        <f>VLOOKUP($A172,'OI(Value)'!$A$7:$O$323,8,0)</f>
        <v>300</v>
      </c>
      <c r="M172" s="103">
        <f>VLOOKUP($A172,'OI(Value)'!$A$7:$O$323,9,0)</f>
        <v>41</v>
      </c>
      <c r="N172" s="103">
        <f>VLOOKUP($A172,'OI(Value)'!$A$7:$O$323,11,0)</f>
        <v>137</v>
      </c>
      <c r="O172" s="103">
        <f>VLOOKUP($A172,'OI(Value)'!$A$7:$O$323,12,0)</f>
        <v>14</v>
      </c>
      <c r="P172" s="179">
        <f>VLOOKUP(A172,'OI(Value)'!A172:O390,8,0)</f>
        <v>300</v>
      </c>
      <c r="Q172" s="179">
        <f>VLOOKUP(A172,'OI(Value)'!A172:O390,9,0)</f>
        <v>41</v>
      </c>
      <c r="R172" s="179">
        <f>VLOOKUP(A172,'OI(Value)'!A172:O390,11,0)</f>
        <v>137</v>
      </c>
      <c r="S172" s="179">
        <f>VLOOKUP(A172,'OI(Value)'!A172:O390,11,0)</f>
        <v>137</v>
      </c>
    </row>
    <row r="173" spans="1:19" x14ac:dyDescent="0.25">
      <c r="A173" s="105" t="str">
        <f>'Data Vlaue (Cr)'!C168</f>
        <v>PRESTIGE</v>
      </c>
      <c r="B173" s="143">
        <f>VLOOKUP($A173,'Data shares'!$C:$FA,118)</f>
        <v>0.76</v>
      </c>
      <c r="C173" s="143">
        <f>VLOOKUP($A173,'Data shares'!$C:$FA,119)</f>
        <v>0.77</v>
      </c>
      <c r="D173" s="143">
        <f>VLOOKUP($A173,'Data shares'!$C:$FA,121)*100</f>
        <v>-1.3</v>
      </c>
      <c r="E173" s="143">
        <f>VLOOKUP($A173,'Data shares'!$C:$FA,124)</f>
        <v>0.26</v>
      </c>
      <c r="F173" s="143">
        <f>VLOOKUP($A173,'Data shares'!$C:$FA,125)</f>
        <v>0.34</v>
      </c>
      <c r="G173" s="143">
        <f>VLOOKUP($A173,'Data shares'!$C:$FA,127)*100</f>
        <v>-23.53</v>
      </c>
      <c r="H173" s="103">
        <f>VLOOKUP($A173,'OI(Volume)'!$A$7:$O$440,8)</f>
        <v>1773450</v>
      </c>
      <c r="I173" s="103">
        <f>VLOOKUP($A173,'OI(Volume)'!$A$7:$O$440,9)</f>
        <v>48150</v>
      </c>
      <c r="J173" s="103">
        <f>VLOOKUP($A173,'OI(Volume)'!$A$7:$O$440,11)</f>
        <v>1349100</v>
      </c>
      <c r="K173" s="103">
        <f>VLOOKUP($A173,'OI(Volume)'!$A$7:$O$440,12)</f>
        <v>20700</v>
      </c>
      <c r="L173" s="103">
        <f>VLOOKUP($A173,'OI(Value)'!$A$7:$O$323,8,0)</f>
        <v>283</v>
      </c>
      <c r="M173" s="103">
        <f>VLOOKUP($A173,'OI(Value)'!$A$7:$O$323,9,0)</f>
        <v>8</v>
      </c>
      <c r="N173" s="103">
        <f>VLOOKUP($A173,'OI(Value)'!$A$7:$O$323,11,0)</f>
        <v>216</v>
      </c>
      <c r="O173" s="103">
        <f>VLOOKUP($A173,'OI(Value)'!$A$7:$O$323,12,0)</f>
        <v>3</v>
      </c>
    </row>
    <row r="174" spans="1:19" x14ac:dyDescent="0.25">
      <c r="A174" s="105" t="str">
        <f>'Data Vlaue (Cr)'!C169</f>
        <v>RBLBANK</v>
      </c>
      <c r="B174" s="143">
        <f>VLOOKUP($A174,'Data shares'!$C:$FA,118)</f>
        <v>0.68</v>
      </c>
      <c r="C174" s="143">
        <f>VLOOKUP($A174,'Data shares'!$C:$FA,119)</f>
        <v>0.67</v>
      </c>
      <c r="D174" s="143">
        <f>VLOOKUP($A174,'Data shares'!$C:$FA,121)*100</f>
        <v>1.49</v>
      </c>
      <c r="E174" s="143">
        <f>VLOOKUP($A174,'Data shares'!$C:$FA,124)</f>
        <v>0.37</v>
      </c>
      <c r="F174" s="143">
        <f>VLOOKUP($A174,'Data shares'!$C:$FA,125)</f>
        <v>0.35</v>
      </c>
      <c r="G174" s="143">
        <f>VLOOKUP($A174,'Data shares'!$C:$FA,127)*100</f>
        <v>5.71</v>
      </c>
      <c r="H174" s="103">
        <f>VLOOKUP($A174,'OI(Volume)'!$A$7:$O$440,8)</f>
        <v>27657425</v>
      </c>
      <c r="I174" s="103">
        <f>VLOOKUP($A174,'OI(Volume)'!$A$7:$O$440,9)</f>
        <v>-558800</v>
      </c>
      <c r="J174" s="103">
        <f>VLOOKUP($A174,'OI(Volume)'!$A$7:$O$440,11)</f>
        <v>18789650</v>
      </c>
      <c r="K174" s="103">
        <f>VLOOKUP($A174,'OI(Volume)'!$A$7:$O$440,12)</f>
        <v>-190500</v>
      </c>
      <c r="L174" s="103">
        <f>VLOOKUP($A174,'OI(Value)'!$A$7:$O$323,8,0)</f>
        <v>854</v>
      </c>
      <c r="M174" s="103">
        <f>VLOOKUP($A174,'OI(Value)'!$A$7:$O$323,9,0)</f>
        <v>-17</v>
      </c>
      <c r="N174" s="103">
        <f>VLOOKUP($A174,'OI(Value)'!$A$7:$O$323,11,0)</f>
        <v>580</v>
      </c>
      <c r="O174" s="103">
        <f>VLOOKUP($A174,'OI(Value)'!$A$7:$O$323,12,0)</f>
        <v>-6</v>
      </c>
    </row>
    <row r="175" spans="1:19" x14ac:dyDescent="0.25">
      <c r="A175" s="105" t="str">
        <f>'Data Vlaue (Cr)'!C170</f>
        <v>RECLTD</v>
      </c>
      <c r="B175" s="143">
        <f>VLOOKUP($A175,'Data shares'!$C:$FA,118)</f>
        <v>0.59</v>
      </c>
      <c r="C175" s="143">
        <f>VLOOKUP($A175,'Data shares'!$C:$FA,119)</f>
        <v>0.59</v>
      </c>
      <c r="D175" s="143">
        <f>VLOOKUP($A175,'Data shares'!$C:$FA,121)*100</f>
        <v>0</v>
      </c>
      <c r="E175" s="143">
        <f>VLOOKUP($A175,'Data shares'!$C:$FA,124)</f>
        <v>0.32</v>
      </c>
      <c r="F175" s="143">
        <f>VLOOKUP($A175,'Data shares'!$C:$FA,125)</f>
        <v>0.33</v>
      </c>
      <c r="G175" s="143">
        <f>VLOOKUP($A175,'Data shares'!$C:$FA,127)*100</f>
        <v>-3.0300000000000002</v>
      </c>
      <c r="H175" s="103">
        <f>VLOOKUP($A175,'OI(Volume)'!$A$7:$O$440,8)</f>
        <v>51619400</v>
      </c>
      <c r="I175" s="103">
        <f>VLOOKUP($A175,'OI(Volume)'!$A$7:$O$440,9)</f>
        <v>879200</v>
      </c>
      <c r="J175" s="103">
        <f>VLOOKUP($A175,'OI(Volume)'!$A$7:$O$440,11)</f>
        <v>30202200</v>
      </c>
      <c r="K175" s="103">
        <f>VLOOKUP($A175,'OI(Volume)'!$A$7:$O$440,12)</f>
        <v>333200</v>
      </c>
      <c r="L175" s="103">
        <f>VLOOKUP($A175,'OI(Value)'!$A$7:$O$323,8,0)</f>
        <v>1834</v>
      </c>
      <c r="M175" s="103">
        <f>VLOOKUP($A175,'OI(Value)'!$A$7:$O$323,9,0)</f>
        <v>31</v>
      </c>
      <c r="N175" s="103">
        <f>VLOOKUP($A175,'OI(Value)'!$A$7:$O$323,11,0)</f>
        <v>1073</v>
      </c>
      <c r="O175" s="103">
        <f>VLOOKUP($A175,'OI(Value)'!$A$7:$O$323,12,0)</f>
        <v>12</v>
      </c>
    </row>
    <row r="176" spans="1:19" x14ac:dyDescent="0.25">
      <c r="A176" s="105" t="str">
        <f>'Data Vlaue (Cr)'!C171</f>
        <v>RELIANCE</v>
      </c>
      <c r="B176" s="143">
        <f>VLOOKUP($A176,'Data shares'!$C:$FA,118)</f>
        <v>0.6</v>
      </c>
      <c r="C176" s="143">
        <f>VLOOKUP($A176,'Data shares'!$C:$FA,119)</f>
        <v>0.56000000000000005</v>
      </c>
      <c r="D176" s="143">
        <f>VLOOKUP($A176,'Data shares'!$C:$FA,121)*100</f>
        <v>7.1400000000000006</v>
      </c>
      <c r="E176" s="143">
        <f>VLOOKUP($A176,'Data shares'!$C:$FA,124)</f>
        <v>0.62</v>
      </c>
      <c r="F176" s="143">
        <f>VLOOKUP($A176,'Data shares'!$C:$FA,125)</f>
        <v>0.72</v>
      </c>
      <c r="G176" s="143">
        <f>VLOOKUP($A176,'Data shares'!$C:$FA,127)*100</f>
        <v>-13.889999999999999</v>
      </c>
      <c r="H176" s="103">
        <f>VLOOKUP($A176,'OI(Volume)'!$A$7:$O$440,8)</f>
        <v>55153500</v>
      </c>
      <c r="I176" s="103">
        <f>VLOOKUP($A176,'OI(Volume)'!$A$7:$O$440,9)</f>
        <v>-1820500</v>
      </c>
      <c r="J176" s="103">
        <f>VLOOKUP($A176,'OI(Volume)'!$A$7:$O$440,11)</f>
        <v>32887000</v>
      </c>
      <c r="K176" s="103">
        <f>VLOOKUP($A176,'OI(Volume)'!$A$7:$O$440,12)</f>
        <v>1240500</v>
      </c>
      <c r="L176" s="103">
        <f>VLOOKUP($A176,'OI(Value)'!$A$7:$O$323,8,0)</f>
        <v>8109</v>
      </c>
      <c r="M176" s="103">
        <f>VLOOKUP($A176,'OI(Value)'!$A$7:$O$323,9,0)</f>
        <v>-268</v>
      </c>
      <c r="N176" s="103">
        <f>VLOOKUP($A176,'OI(Value)'!$A$7:$O$323,11,0)</f>
        <v>4835</v>
      </c>
      <c r="O176" s="103">
        <f>VLOOKUP($A176,'OI(Value)'!$A$7:$O$323,12,0)</f>
        <v>182</v>
      </c>
    </row>
    <row r="177" spans="1:15" x14ac:dyDescent="0.25">
      <c r="A177" s="105" t="str">
        <f>'Data Vlaue (Cr)'!C172</f>
        <v>RVNL</v>
      </c>
      <c r="B177" s="143">
        <f>VLOOKUP($A177,'Data shares'!$C:$FA,118)</f>
        <v>0.35</v>
      </c>
      <c r="C177" s="143">
        <f>VLOOKUP($A177,'Data shares'!$C:$FA,119)</f>
        <v>0.34</v>
      </c>
      <c r="D177" s="143">
        <f>VLOOKUP($A177,'Data shares'!$C:$FA,121)*100</f>
        <v>2.94</v>
      </c>
      <c r="E177" s="143">
        <f>VLOOKUP($A177,'Data shares'!$C:$FA,124)</f>
        <v>0.21</v>
      </c>
      <c r="F177" s="143">
        <f>VLOOKUP($A177,'Data shares'!$C:$FA,125)</f>
        <v>0.24</v>
      </c>
      <c r="G177" s="143">
        <f>VLOOKUP($A177,'Data shares'!$C:$FA,127)*100</f>
        <v>-12.5</v>
      </c>
      <c r="H177" s="103">
        <f>VLOOKUP($A177,'OI(Volume)'!$A$7:$O$440,8)</f>
        <v>66708075</v>
      </c>
      <c r="I177" s="103">
        <f>VLOOKUP($A177,'OI(Volume)'!$A$7:$O$440,9)</f>
        <v>-972950</v>
      </c>
      <c r="J177" s="103">
        <f>VLOOKUP($A177,'OI(Volume)'!$A$7:$O$440,11)</f>
        <v>23073250</v>
      </c>
      <c r="K177" s="103">
        <f>VLOOKUP($A177,'OI(Volume)'!$A$7:$O$440,12)</f>
        <v>277550</v>
      </c>
      <c r="L177" s="103">
        <f>VLOOKUP($A177,'OI(Value)'!$A$7:$O$323,8,0)</f>
        <v>1986</v>
      </c>
      <c r="M177" s="103">
        <f>VLOOKUP($A177,'OI(Value)'!$A$7:$O$323,9,0)</f>
        <v>-29</v>
      </c>
      <c r="N177" s="103">
        <f>VLOOKUP($A177,'OI(Value)'!$A$7:$O$323,11,0)</f>
        <v>687</v>
      </c>
      <c r="O177" s="103">
        <f>VLOOKUP($A177,'OI(Value)'!$A$7:$O$323,12,0)</f>
        <v>8</v>
      </c>
    </row>
    <row r="178" spans="1:15" x14ac:dyDescent="0.25">
      <c r="A178" s="105" t="str">
        <f>'Data Vlaue (Cr)'!C173</f>
        <v>SAIL</v>
      </c>
      <c r="B178" s="143">
        <f>VLOOKUP($A178,'Data shares'!$C:$FA,118)</f>
        <v>0.79</v>
      </c>
      <c r="C178" s="143">
        <f>VLOOKUP($A178,'Data shares'!$C:$FA,119)</f>
        <v>0.78</v>
      </c>
      <c r="D178" s="143">
        <f>VLOOKUP($A178,'Data shares'!$C:$FA,121)*100</f>
        <v>1.28</v>
      </c>
      <c r="E178" s="143">
        <f>VLOOKUP($A178,'Data shares'!$C:$FA,124)</f>
        <v>0.36</v>
      </c>
      <c r="F178" s="143">
        <f>VLOOKUP($A178,'Data shares'!$C:$FA,125)</f>
        <v>0.33</v>
      </c>
      <c r="G178" s="143">
        <f>VLOOKUP($A178,'Data shares'!$C:$FA,127)*100</f>
        <v>9.09</v>
      </c>
      <c r="H178" s="103">
        <f>VLOOKUP($A178,'OI(Volume)'!$A$7:$O$440,8)</f>
        <v>37994800</v>
      </c>
      <c r="I178" s="103">
        <f>VLOOKUP($A178,'OI(Volume)'!$A$7:$O$440,9)</f>
        <v>-1254900</v>
      </c>
      <c r="J178" s="103">
        <f>VLOOKUP($A178,'OI(Volume)'!$A$7:$O$440,11)</f>
        <v>30197500</v>
      </c>
      <c r="K178" s="103">
        <f>VLOOKUP($A178,'OI(Volume)'!$A$7:$O$440,12)</f>
        <v>-423000</v>
      </c>
      <c r="L178" s="103">
        <f>VLOOKUP($A178,'OI(Value)'!$A$7:$O$323,8,0)</f>
        <v>616</v>
      </c>
      <c r="M178" s="103">
        <f>VLOOKUP($A178,'OI(Value)'!$A$7:$O$323,9,0)</f>
        <v>-20</v>
      </c>
      <c r="N178" s="103">
        <f>VLOOKUP($A178,'OI(Value)'!$A$7:$O$323,11,0)</f>
        <v>490</v>
      </c>
      <c r="O178" s="103">
        <f>VLOOKUP($A178,'OI(Value)'!$A$7:$O$323,12,0)</f>
        <v>-7</v>
      </c>
    </row>
    <row r="179" spans="1:15" x14ac:dyDescent="0.25">
      <c r="A179" s="105" t="str">
        <f>'Data Vlaue (Cr)'!C174</f>
        <v>SAMMAANCAP</v>
      </c>
      <c r="B179" s="143">
        <f>VLOOKUP($A179,'Data shares'!$C:$FA,118)</f>
        <v>0.54</v>
      </c>
      <c r="C179" s="143">
        <f>VLOOKUP($A179,'Data shares'!$C:$FA,119)</f>
        <v>0.54</v>
      </c>
      <c r="D179" s="143">
        <f>VLOOKUP($A179,'Data shares'!$C:$FA,121)*100</f>
        <v>0</v>
      </c>
      <c r="E179" s="143">
        <f>VLOOKUP($A179,'Data shares'!$C:$FA,124)</f>
        <v>0.48</v>
      </c>
      <c r="F179" s="143">
        <f>VLOOKUP($A179,'Data shares'!$C:$FA,125)</f>
        <v>0.26</v>
      </c>
      <c r="G179" s="143">
        <f>VLOOKUP($A179,'Data shares'!$C:$FA,127)*100</f>
        <v>84.61999999999999</v>
      </c>
      <c r="H179" s="103">
        <f>VLOOKUP($A179,'OI(Volume)'!$A$7:$O$440,8)</f>
        <v>30925600</v>
      </c>
      <c r="I179" s="103">
        <f>VLOOKUP($A179,'OI(Volume)'!$A$7:$O$440,9)</f>
        <v>-90300</v>
      </c>
      <c r="J179" s="103">
        <f>VLOOKUP($A179,'OI(Volume)'!$A$7:$O$440,11)</f>
        <v>16791500</v>
      </c>
      <c r="K179" s="103">
        <f>VLOOKUP($A179,'OI(Volume)'!$A$7:$O$440,12)</f>
        <v>-81700</v>
      </c>
      <c r="L179" s="103">
        <f>VLOOKUP($A179,'OI(Value)'!$A$7:$O$323,8,0)</f>
        <v>460</v>
      </c>
      <c r="M179" s="103">
        <f>VLOOKUP($A179,'OI(Value)'!$A$7:$O$323,9,0)</f>
        <v>-1</v>
      </c>
      <c r="N179" s="103">
        <f>VLOOKUP($A179,'OI(Value)'!$A$7:$O$323,11,0)</f>
        <v>250</v>
      </c>
      <c r="O179" s="103">
        <f>VLOOKUP($A179,'OI(Value)'!$A$7:$O$323,12,0)</f>
        <v>-1</v>
      </c>
    </row>
    <row r="180" spans="1:15" x14ac:dyDescent="0.25">
      <c r="A180" s="105" t="str">
        <f>'Data Vlaue (Cr)'!C175</f>
        <v>SBICARD</v>
      </c>
      <c r="B180" s="143">
        <f>VLOOKUP($A180,'Data shares'!$C:$FA,118)</f>
        <v>0.57999999999999996</v>
      </c>
      <c r="C180" s="143">
        <f>VLOOKUP($A180,'Data shares'!$C:$FA,119)</f>
        <v>0.56999999999999995</v>
      </c>
      <c r="D180" s="143">
        <f>VLOOKUP($A180,'Data shares'!$C:$FA,121)*100</f>
        <v>1.7500000000000002</v>
      </c>
      <c r="E180" s="143">
        <f>VLOOKUP($A180,'Data shares'!$C:$FA,124)</f>
        <v>0.35</v>
      </c>
      <c r="F180" s="143">
        <f>VLOOKUP($A180,'Data shares'!$C:$FA,125)</f>
        <v>0.46</v>
      </c>
      <c r="G180" s="143">
        <f>VLOOKUP($A180,'Data shares'!$C:$FA,127)*100</f>
        <v>-23.91</v>
      </c>
      <c r="H180" s="103">
        <f>VLOOKUP($A180,'OI(Volume)'!$A$7:$O$440,8)</f>
        <v>8686400</v>
      </c>
      <c r="I180" s="103">
        <f>VLOOKUP($A180,'OI(Volume)'!$A$7:$O$440,9)</f>
        <v>-275200</v>
      </c>
      <c r="J180" s="103">
        <f>VLOOKUP($A180,'OI(Volume)'!$A$7:$O$440,11)</f>
        <v>5059200</v>
      </c>
      <c r="K180" s="103">
        <f>VLOOKUP($A180,'OI(Volume)'!$A$7:$O$440,12)</f>
        <v>-24000</v>
      </c>
      <c r="L180" s="103">
        <f>VLOOKUP($A180,'OI(Value)'!$A$7:$O$323,8,0)</f>
        <v>665</v>
      </c>
      <c r="M180" s="103">
        <f>VLOOKUP($A180,'OI(Value)'!$A$7:$O$323,9,0)</f>
        <v>-21</v>
      </c>
      <c r="N180" s="103">
        <f>VLOOKUP($A180,'OI(Value)'!$A$7:$O$323,11,0)</f>
        <v>387</v>
      </c>
      <c r="O180" s="103">
        <f>VLOOKUP($A180,'OI(Value)'!$A$7:$O$323,12,0)</f>
        <v>-2</v>
      </c>
    </row>
    <row r="181" spans="1:15" x14ac:dyDescent="0.25">
      <c r="A181" s="105" t="str">
        <f>'Data Vlaue (Cr)'!C176</f>
        <v>SBILIFE</v>
      </c>
      <c r="B181" s="143">
        <f>VLOOKUP($A181,'Data shares'!$C:$FA,118)</f>
        <v>0.37</v>
      </c>
      <c r="C181" s="143">
        <f>VLOOKUP($A181,'Data shares'!$C:$FA,119)</f>
        <v>0.38</v>
      </c>
      <c r="D181" s="143">
        <f>VLOOKUP($A181,'Data shares'!$C:$FA,121)*100</f>
        <v>-2.63</v>
      </c>
      <c r="E181" s="143">
        <f>VLOOKUP($A181,'Data shares'!$C:$FA,124)</f>
        <v>0.4</v>
      </c>
      <c r="F181" s="143">
        <f>VLOOKUP($A181,'Data shares'!$C:$FA,125)</f>
        <v>0.47</v>
      </c>
      <c r="G181" s="143">
        <f>VLOOKUP($A181,'Data shares'!$C:$FA,127)*100</f>
        <v>-14.89</v>
      </c>
      <c r="H181" s="103">
        <f>VLOOKUP($A181,'OI(Volume)'!$A$7:$O$440,8)</f>
        <v>5362125</v>
      </c>
      <c r="I181" s="103">
        <f>VLOOKUP($A181,'OI(Volume)'!$A$7:$O$440,9)</f>
        <v>-70875</v>
      </c>
      <c r="J181" s="103">
        <f>VLOOKUP($A181,'OI(Volume)'!$A$7:$O$440,11)</f>
        <v>2002500</v>
      </c>
      <c r="K181" s="103">
        <f>VLOOKUP($A181,'OI(Volume)'!$A$7:$O$440,12)</f>
        <v>-42375</v>
      </c>
      <c r="L181" s="103">
        <f>VLOOKUP($A181,'OI(Value)'!$A$7:$O$323,8,0)</f>
        <v>1088</v>
      </c>
      <c r="M181" s="103">
        <f>VLOOKUP($A181,'OI(Value)'!$A$7:$O$323,9,0)</f>
        <v>-14</v>
      </c>
      <c r="N181" s="103">
        <f>VLOOKUP($A181,'OI(Value)'!$A$7:$O$323,11,0)</f>
        <v>406</v>
      </c>
      <c r="O181" s="103">
        <f>VLOOKUP($A181,'OI(Value)'!$A$7:$O$323,12,0)</f>
        <v>-9</v>
      </c>
    </row>
    <row r="182" spans="1:15" x14ac:dyDescent="0.25">
      <c r="A182" s="105" t="str">
        <f>'Data Vlaue (Cr)'!C177</f>
        <v>SBIN</v>
      </c>
      <c r="B182" s="143">
        <f>VLOOKUP($A182,'Data shares'!$C:$FA,118)</f>
        <v>1.33</v>
      </c>
      <c r="C182" s="143">
        <f>VLOOKUP($A182,'Data shares'!$C:$FA,119)</f>
        <v>1.1200000000000001</v>
      </c>
      <c r="D182" s="143">
        <f>VLOOKUP($A182,'Data shares'!$C:$FA,121)*100</f>
        <v>18.75</v>
      </c>
      <c r="E182" s="143">
        <f>VLOOKUP($A182,'Data shares'!$C:$FA,124)</f>
        <v>0.61</v>
      </c>
      <c r="F182" s="143">
        <f>VLOOKUP($A182,'Data shares'!$C:$FA,125)</f>
        <v>0.69</v>
      </c>
      <c r="G182" s="143">
        <f>VLOOKUP($A182,'Data shares'!$C:$FA,127)*100</f>
        <v>-11.59</v>
      </c>
      <c r="H182" s="103">
        <f>VLOOKUP($A182,'OI(Volume)'!$A$7:$O$440,8)</f>
        <v>64020750</v>
      </c>
      <c r="I182" s="103">
        <f>VLOOKUP($A182,'OI(Volume)'!$A$7:$O$440,9)</f>
        <v>3040500</v>
      </c>
      <c r="J182" s="103">
        <f>VLOOKUP($A182,'OI(Volume)'!$A$7:$O$440,11)</f>
        <v>84981750</v>
      </c>
      <c r="K182" s="103">
        <f>VLOOKUP($A182,'OI(Volume)'!$A$7:$O$440,12)</f>
        <v>16409250</v>
      </c>
      <c r="L182" s="103">
        <f>VLOOKUP($A182,'OI(Value)'!$A$7:$O$323,8,0)</f>
        <v>7555</v>
      </c>
      <c r="M182" s="103">
        <f>VLOOKUP($A182,'OI(Value)'!$A$7:$O$323,9,0)</f>
        <v>359</v>
      </c>
      <c r="N182" s="103">
        <f>VLOOKUP($A182,'OI(Value)'!$A$7:$O$323,11,0)</f>
        <v>10029</v>
      </c>
      <c r="O182" s="103">
        <f>VLOOKUP($A182,'OI(Value)'!$A$7:$O$323,12,0)</f>
        <v>1936</v>
      </c>
    </row>
    <row r="183" spans="1:15" x14ac:dyDescent="0.25">
      <c r="A183" s="105" t="str">
        <f>'Data Vlaue (Cr)'!C178</f>
        <v>SHREECEM</v>
      </c>
      <c r="B183" s="143">
        <f>VLOOKUP($A183,'Data shares'!$C:$FA,118)</f>
        <v>0.43</v>
      </c>
      <c r="C183" s="143">
        <f>VLOOKUP($A183,'Data shares'!$C:$FA,119)</f>
        <v>0.43</v>
      </c>
      <c r="D183" s="143">
        <f>VLOOKUP($A183,'Data shares'!$C:$FA,121)*100</f>
        <v>0</v>
      </c>
      <c r="E183" s="143">
        <f>VLOOKUP($A183,'Data shares'!$C:$FA,124)</f>
        <v>0.27</v>
      </c>
      <c r="F183" s="143">
        <f>VLOOKUP($A183,'Data shares'!$C:$FA,125)</f>
        <v>0.33</v>
      </c>
      <c r="G183" s="143">
        <f>VLOOKUP($A183,'Data shares'!$C:$FA,127)*100</f>
        <v>-18.18</v>
      </c>
      <c r="H183" s="103">
        <f>VLOOKUP($A183,'OI(Volume)'!$A$7:$O$440,8)</f>
        <v>139975</v>
      </c>
      <c r="I183" s="103">
        <f>VLOOKUP($A183,'OI(Volume)'!$A$7:$O$440,9)</f>
        <v>-9025</v>
      </c>
      <c r="J183" s="103">
        <f>VLOOKUP($A183,'OI(Volume)'!$A$7:$O$440,11)</f>
        <v>59825</v>
      </c>
      <c r="K183" s="103">
        <f>VLOOKUP($A183,'OI(Volume)'!$A$7:$O$440,12)</f>
        <v>-4825</v>
      </c>
      <c r="L183" s="103">
        <f>VLOOKUP($A183,'OI(Value)'!$A$7:$O$323,8,0)</f>
        <v>373</v>
      </c>
      <c r="M183" s="103">
        <f>VLOOKUP($A183,'OI(Value)'!$A$7:$O$323,9,0)</f>
        <v>-24</v>
      </c>
      <c r="N183" s="103">
        <f>VLOOKUP($A183,'OI(Value)'!$A$7:$O$323,11,0)</f>
        <v>160</v>
      </c>
      <c r="O183" s="103">
        <f>VLOOKUP($A183,'OI(Value)'!$A$7:$O$323,12,0)</f>
        <v>-13</v>
      </c>
    </row>
    <row r="184" spans="1:15" x14ac:dyDescent="0.25">
      <c r="A184" s="105" t="str">
        <f>'Data Vlaue (Cr)'!C179</f>
        <v>SHRIRAMFIN</v>
      </c>
      <c r="B184" s="143">
        <f>VLOOKUP($A184,'Data shares'!$C:$FA,118)</f>
        <v>0.79</v>
      </c>
      <c r="C184" s="143">
        <f>VLOOKUP($A184,'Data shares'!$C:$FA,119)</f>
        <v>0.73</v>
      </c>
      <c r="D184" s="143">
        <f>VLOOKUP($A184,'Data shares'!$C:$FA,121)*100</f>
        <v>8.2199999999999989</v>
      </c>
      <c r="E184" s="143">
        <f>VLOOKUP($A184,'Data shares'!$C:$FA,124)</f>
        <v>0.37</v>
      </c>
      <c r="F184" s="143">
        <f>VLOOKUP($A184,'Data shares'!$C:$FA,125)</f>
        <v>0.63</v>
      </c>
      <c r="G184" s="143">
        <f>VLOOKUP($A184,'Data shares'!$C:$FA,127)*100</f>
        <v>-41.27</v>
      </c>
      <c r="H184" s="103">
        <f>VLOOKUP($A184,'OI(Volume)'!$A$7:$O$440,8)</f>
        <v>11368500</v>
      </c>
      <c r="I184" s="103">
        <f>VLOOKUP($A184,'OI(Volume)'!$A$7:$O$440,9)</f>
        <v>-617100</v>
      </c>
      <c r="J184" s="103">
        <f>VLOOKUP($A184,'OI(Volume)'!$A$7:$O$440,11)</f>
        <v>8999100</v>
      </c>
      <c r="K184" s="103">
        <f>VLOOKUP($A184,'OI(Volume)'!$A$7:$O$440,12)</f>
        <v>206250</v>
      </c>
      <c r="L184" s="103">
        <f>VLOOKUP($A184,'OI(Value)'!$A$7:$O$323,8,0)</f>
        <v>1202</v>
      </c>
      <c r="M184" s="103">
        <f>VLOOKUP($A184,'OI(Value)'!$A$7:$O$323,9,0)</f>
        <v>-65</v>
      </c>
      <c r="N184" s="103">
        <f>VLOOKUP($A184,'OI(Value)'!$A$7:$O$323,11,0)</f>
        <v>952</v>
      </c>
      <c r="O184" s="103">
        <f>VLOOKUP($A184,'OI(Value)'!$A$7:$O$323,12,0)</f>
        <v>22</v>
      </c>
    </row>
    <row r="185" spans="1:15" x14ac:dyDescent="0.25">
      <c r="A185" s="105" t="str">
        <f>'Data Vlaue (Cr)'!C180</f>
        <v>SIEMENS</v>
      </c>
      <c r="B185" s="143">
        <f>VLOOKUP($A185,'Data shares'!$C:$FA,118)</f>
        <v>0.56999999999999995</v>
      </c>
      <c r="C185" s="143">
        <f>VLOOKUP($A185,'Data shares'!$C:$FA,119)</f>
        <v>0.57999999999999996</v>
      </c>
      <c r="D185" s="143">
        <f>VLOOKUP($A185,'Data shares'!$C:$FA,121)*100</f>
        <v>-1.72</v>
      </c>
      <c r="E185" s="143">
        <f>VLOOKUP($A185,'Data shares'!$C:$FA,124)</f>
        <v>0.28000000000000003</v>
      </c>
      <c r="F185" s="143">
        <f>VLOOKUP($A185,'Data shares'!$C:$FA,125)</f>
        <v>0.35</v>
      </c>
      <c r="G185" s="143">
        <f>VLOOKUP($A185,'Data shares'!$C:$FA,127)*100</f>
        <v>-20</v>
      </c>
      <c r="H185" s="103">
        <f>VLOOKUP($A185,'OI(Volume)'!$A$7:$O$440,8)</f>
        <v>1956850</v>
      </c>
      <c r="I185" s="103">
        <f>VLOOKUP($A185,'OI(Volume)'!$A$7:$O$440,9)</f>
        <v>-11550</v>
      </c>
      <c r="J185" s="103">
        <f>VLOOKUP($A185,'OI(Volume)'!$A$7:$O$440,11)</f>
        <v>1116850</v>
      </c>
      <c r="K185" s="103">
        <f>VLOOKUP($A185,'OI(Volume)'!$A$7:$O$440,12)</f>
        <v>-17675</v>
      </c>
      <c r="L185" s="103">
        <f>VLOOKUP($A185,'OI(Value)'!$A$7:$O$323,8,0)</f>
        <v>618</v>
      </c>
      <c r="M185" s="103">
        <f>VLOOKUP($A185,'OI(Value)'!$A$7:$O$323,9,0)</f>
        <v>-4</v>
      </c>
      <c r="N185" s="103">
        <f>VLOOKUP($A185,'OI(Value)'!$A$7:$O$323,11,0)</f>
        <v>353</v>
      </c>
      <c r="O185" s="103">
        <f>VLOOKUP($A185,'OI(Value)'!$A$7:$O$323,12,0)</f>
        <v>-6</v>
      </c>
    </row>
    <row r="186" spans="1:15" x14ac:dyDescent="0.25">
      <c r="A186" s="105" t="str">
        <f>'Data Vlaue (Cr)'!C181</f>
        <v>SOLARINDS</v>
      </c>
      <c r="B186" s="143">
        <f>VLOOKUP($A186,'Data shares'!$C:$FA,118)</f>
        <v>0.47</v>
      </c>
      <c r="C186" s="143">
        <f>VLOOKUP($A186,'Data shares'!$C:$FA,119)</f>
        <v>0.47</v>
      </c>
      <c r="D186" s="143">
        <f>VLOOKUP($A186,'Data shares'!$C:$FA,121)*100</f>
        <v>0</v>
      </c>
      <c r="E186" s="143">
        <f>VLOOKUP($A186,'Data shares'!$C:$FA,124)</f>
        <v>0.33</v>
      </c>
      <c r="F186" s="143">
        <f>VLOOKUP($A186,'Data shares'!$C:$FA,125)</f>
        <v>0.44</v>
      </c>
      <c r="G186" s="143">
        <f>VLOOKUP($A186,'Data shares'!$C:$FA,127)*100</f>
        <v>-25</v>
      </c>
      <c r="H186" s="103">
        <f>VLOOKUP($A186,'OI(Volume)'!$A$7:$O$440,8)</f>
        <v>551200</v>
      </c>
      <c r="I186" s="103">
        <f>VLOOKUP($A186,'OI(Volume)'!$A$7:$O$440,9)</f>
        <v>-5600</v>
      </c>
      <c r="J186" s="103">
        <f>VLOOKUP($A186,'OI(Volume)'!$A$7:$O$440,11)</f>
        <v>261700</v>
      </c>
      <c r="K186" s="103">
        <f>VLOOKUP($A186,'OI(Volume)'!$A$7:$O$440,12)</f>
        <v>-2150</v>
      </c>
      <c r="L186" s="103">
        <f>VLOOKUP($A186,'OI(Value)'!$A$7:$O$323,8,0)</f>
        <v>741</v>
      </c>
      <c r="M186" s="103">
        <f>VLOOKUP($A186,'OI(Value)'!$A$7:$O$323,9,0)</f>
        <v>-8</v>
      </c>
      <c r="N186" s="103">
        <f>VLOOKUP($A186,'OI(Value)'!$A$7:$O$323,11,0)</f>
        <v>352</v>
      </c>
      <c r="O186" s="103">
        <f>VLOOKUP($A186,'OI(Value)'!$A$7:$O$323,12,0)</f>
        <v>-3</v>
      </c>
    </row>
    <row r="187" spans="1:15" x14ac:dyDescent="0.25">
      <c r="A187" s="105" t="str">
        <f>'Data Vlaue (Cr)'!C182</f>
        <v>SONACOMS</v>
      </c>
      <c r="B187" s="143">
        <f>VLOOKUP($A187,'Data shares'!$C:$FA,118)</f>
        <v>0.66</v>
      </c>
      <c r="C187" s="143">
        <f>VLOOKUP($A187,'Data shares'!$C:$FA,119)</f>
        <v>0.66</v>
      </c>
      <c r="D187" s="143">
        <f>VLOOKUP($A187,'Data shares'!$C:$FA,121)*100</f>
        <v>0</v>
      </c>
      <c r="E187" s="143">
        <f>VLOOKUP($A187,'Data shares'!$C:$FA,124)</f>
        <v>0.22</v>
      </c>
      <c r="F187" s="143">
        <f>VLOOKUP($A187,'Data shares'!$C:$FA,125)</f>
        <v>0.5</v>
      </c>
      <c r="G187" s="143">
        <f>VLOOKUP($A187,'Data shares'!$C:$FA,127)*100</f>
        <v>-56.000000000000007</v>
      </c>
      <c r="H187" s="103">
        <f>VLOOKUP($A187,'OI(Volume)'!$A$7:$O$440,8)</f>
        <v>5924100</v>
      </c>
      <c r="I187" s="103">
        <f>VLOOKUP($A187,'OI(Volume)'!$A$7:$O$440,9)</f>
        <v>68600</v>
      </c>
      <c r="J187" s="103">
        <f>VLOOKUP($A187,'OI(Volume)'!$A$7:$O$440,11)</f>
        <v>3910200</v>
      </c>
      <c r="K187" s="103">
        <f>VLOOKUP($A187,'OI(Volume)'!$A$7:$O$440,12)</f>
        <v>41650</v>
      </c>
      <c r="L187" s="103">
        <f>VLOOKUP($A187,'OI(Value)'!$A$7:$O$323,8,0)</f>
        <v>320</v>
      </c>
      <c r="M187" s="103">
        <f>VLOOKUP($A187,'OI(Value)'!$A$7:$O$323,9,0)</f>
        <v>4</v>
      </c>
      <c r="N187" s="103">
        <f>VLOOKUP($A187,'OI(Value)'!$A$7:$O$323,11,0)</f>
        <v>211</v>
      </c>
      <c r="O187" s="103">
        <f>VLOOKUP($A187,'OI(Value)'!$A$7:$O$323,12,0)</f>
        <v>2</v>
      </c>
    </row>
    <row r="188" spans="1:15" x14ac:dyDescent="0.25">
      <c r="A188" s="105" t="str">
        <f>'Data Vlaue (Cr)'!C183</f>
        <v>SRF</v>
      </c>
      <c r="B188" s="143">
        <f>VLOOKUP($A188,'Data shares'!$C:$FA,118)</f>
        <v>0.61</v>
      </c>
      <c r="C188" s="143">
        <f>VLOOKUP($A188,'Data shares'!$C:$FA,119)</f>
        <v>0.64</v>
      </c>
      <c r="D188" s="143">
        <f>VLOOKUP($A188,'Data shares'!$C:$FA,121)*100</f>
        <v>-4.6899999999999995</v>
      </c>
      <c r="E188" s="143">
        <f>VLOOKUP($A188,'Data shares'!$C:$FA,124)</f>
        <v>0.5</v>
      </c>
      <c r="F188" s="143">
        <f>VLOOKUP($A188,'Data shares'!$C:$FA,125)</f>
        <v>0.32</v>
      </c>
      <c r="G188" s="143">
        <f>VLOOKUP($A188,'Data shares'!$C:$FA,127)*100</f>
        <v>56.25</v>
      </c>
      <c r="H188" s="103">
        <f>VLOOKUP($A188,'OI(Volume)'!$A$7:$O$440,8)</f>
        <v>1303800</v>
      </c>
      <c r="I188" s="103">
        <f>VLOOKUP($A188,'OI(Volume)'!$A$7:$O$440,9)</f>
        <v>73400</v>
      </c>
      <c r="J188" s="103">
        <f>VLOOKUP($A188,'OI(Volume)'!$A$7:$O$440,11)</f>
        <v>792400</v>
      </c>
      <c r="K188" s="103">
        <f>VLOOKUP($A188,'OI(Volume)'!$A$7:$O$440,12)</f>
        <v>5800</v>
      </c>
      <c r="L188" s="103">
        <f>VLOOKUP($A188,'OI(Value)'!$A$7:$O$323,8,0)</f>
        <v>385</v>
      </c>
      <c r="M188" s="103">
        <f>VLOOKUP($A188,'OI(Value)'!$A$7:$O$323,9,0)</f>
        <v>22</v>
      </c>
      <c r="N188" s="103">
        <f>VLOOKUP($A188,'OI(Value)'!$A$7:$O$323,11,0)</f>
        <v>234</v>
      </c>
      <c r="O188" s="103">
        <f>VLOOKUP($A188,'OI(Value)'!$A$7:$O$323,12,0)</f>
        <v>2</v>
      </c>
    </row>
    <row r="189" spans="1:15" x14ac:dyDescent="0.25">
      <c r="A189" s="105" t="str">
        <f>'Data Vlaue (Cr)'!C184</f>
        <v>SUNPHARMA</v>
      </c>
      <c r="B189" s="143">
        <f>VLOOKUP($A189,'Data shares'!$C:$FA,118)</f>
        <v>0.57999999999999996</v>
      </c>
      <c r="C189" s="143">
        <f>VLOOKUP($A189,'Data shares'!$C:$FA,119)</f>
        <v>0.59</v>
      </c>
      <c r="D189" s="143">
        <f>VLOOKUP($A189,'Data shares'!$C:$FA,121)*100</f>
        <v>-1.69</v>
      </c>
      <c r="E189" s="143">
        <f>VLOOKUP($A189,'Data shares'!$C:$FA,124)</f>
        <v>0.64</v>
      </c>
      <c r="F189" s="143">
        <f>VLOOKUP($A189,'Data shares'!$C:$FA,125)</f>
        <v>0.51</v>
      </c>
      <c r="G189" s="143">
        <f>VLOOKUP($A189,'Data shares'!$C:$FA,127)*100</f>
        <v>25.490000000000002</v>
      </c>
      <c r="H189" s="103">
        <f>VLOOKUP($A189,'OI(Volume)'!$A$7:$O$440,8)</f>
        <v>14551250</v>
      </c>
      <c r="I189" s="103">
        <f>VLOOKUP($A189,'OI(Volume)'!$A$7:$O$440,9)</f>
        <v>7700</v>
      </c>
      <c r="J189" s="103">
        <f>VLOOKUP($A189,'OI(Volume)'!$A$7:$O$440,11)</f>
        <v>8441300</v>
      </c>
      <c r="K189" s="103">
        <f>VLOOKUP($A189,'OI(Volume)'!$A$7:$O$440,12)</f>
        <v>-94850</v>
      </c>
      <c r="L189" s="103">
        <f>VLOOKUP($A189,'OI(Value)'!$A$7:$O$323,8,0)</f>
        <v>2491</v>
      </c>
      <c r="M189" s="103">
        <f>VLOOKUP($A189,'OI(Value)'!$A$7:$O$323,9,0)</f>
        <v>1</v>
      </c>
      <c r="N189" s="103">
        <f>VLOOKUP($A189,'OI(Value)'!$A$7:$O$323,11,0)</f>
        <v>1445</v>
      </c>
      <c r="O189" s="103">
        <f>VLOOKUP($A189,'OI(Value)'!$A$7:$O$323,12,0)</f>
        <v>-16</v>
      </c>
    </row>
    <row r="190" spans="1:15" x14ac:dyDescent="0.25">
      <c r="A190" s="105" t="str">
        <f>'Data Vlaue (Cr)'!C185</f>
        <v>SUPREMEIND</v>
      </c>
      <c r="B190" s="143">
        <f>VLOOKUP($A190,'Data shares'!$C:$FA,118)</f>
        <v>0.71</v>
      </c>
      <c r="C190" s="143">
        <f>VLOOKUP($A190,'Data shares'!$C:$FA,119)</f>
        <v>0.54</v>
      </c>
      <c r="D190" s="143">
        <f>VLOOKUP($A190,'Data shares'!$C:$FA,121)*100</f>
        <v>31.480000000000004</v>
      </c>
      <c r="E190" s="143">
        <f>VLOOKUP($A190,'Data shares'!$C:$FA,124)</f>
        <v>0.21</v>
      </c>
      <c r="F190" s="143">
        <f>VLOOKUP($A190,'Data shares'!$C:$FA,125)</f>
        <v>0.21</v>
      </c>
      <c r="G190" s="143">
        <f>VLOOKUP($A190,'Data shares'!$C:$FA,127)*100</f>
        <v>0</v>
      </c>
      <c r="H190" s="103">
        <f>VLOOKUP($A190,'OI(Volume)'!$A$7:$O$440,8)</f>
        <v>739550</v>
      </c>
      <c r="I190" s="103">
        <f>VLOOKUP($A190,'OI(Volume)'!$A$7:$O$440,9)</f>
        <v>-70700</v>
      </c>
      <c r="J190" s="103">
        <f>VLOOKUP($A190,'OI(Volume)'!$A$7:$O$440,11)</f>
        <v>525700</v>
      </c>
      <c r="K190" s="103">
        <f>VLOOKUP($A190,'OI(Volume)'!$A$7:$O$440,12)</f>
        <v>88375</v>
      </c>
      <c r="L190" s="103">
        <f>VLOOKUP($A190,'OI(Value)'!$A$7:$O$323,8,0)</f>
        <v>285</v>
      </c>
      <c r="M190" s="103">
        <f>VLOOKUP($A190,'OI(Value)'!$A$7:$O$323,9,0)</f>
        <v>-27</v>
      </c>
      <c r="N190" s="103">
        <f>VLOOKUP($A190,'OI(Value)'!$A$7:$O$323,11,0)</f>
        <v>202</v>
      </c>
      <c r="O190" s="103">
        <f>VLOOKUP($A190,'OI(Value)'!$A$7:$O$323,12,0)</f>
        <v>34</v>
      </c>
    </row>
    <row r="191" spans="1:15" x14ac:dyDescent="0.25">
      <c r="A191" s="105" t="str">
        <f>'Data Vlaue (Cr)'!C186</f>
        <v>SUZLON</v>
      </c>
      <c r="B191" s="143">
        <f>VLOOKUP($A191,'Data shares'!$C:$FA,118)</f>
        <v>0.31</v>
      </c>
      <c r="C191" s="143">
        <f>VLOOKUP($A191,'Data shares'!$C:$FA,119)</f>
        <v>0.31</v>
      </c>
      <c r="D191" s="143">
        <f>VLOOKUP($A191,'Data shares'!$C:$FA,121)*100</f>
        <v>0</v>
      </c>
      <c r="E191" s="143">
        <f>VLOOKUP($A191,'Data shares'!$C:$FA,124)</f>
        <v>0.24</v>
      </c>
      <c r="F191" s="143">
        <f>VLOOKUP($A191,'Data shares'!$C:$FA,125)</f>
        <v>0.19</v>
      </c>
      <c r="G191" s="143">
        <f>VLOOKUP($A191,'Data shares'!$C:$FA,127)*100</f>
        <v>26.32</v>
      </c>
      <c r="H191" s="103">
        <f>VLOOKUP($A191,'OI(Volume)'!$A$7:$O$440,8)</f>
        <v>228332500</v>
      </c>
      <c r="I191" s="103">
        <f>VLOOKUP($A191,'OI(Volume)'!$A$7:$O$440,9)</f>
        <v>6732650</v>
      </c>
      <c r="J191" s="103">
        <f>VLOOKUP($A191,'OI(Volume)'!$A$7:$O$440,11)</f>
        <v>70936500</v>
      </c>
      <c r="K191" s="103">
        <f>VLOOKUP($A191,'OI(Volume)'!$A$7:$O$440,12)</f>
        <v>1471075</v>
      </c>
      <c r="L191" s="103">
        <f>VLOOKUP($A191,'OI(Value)'!$A$7:$O$323,8,0)</f>
        <v>1083</v>
      </c>
      <c r="M191" s="103">
        <f>VLOOKUP($A191,'OI(Value)'!$A$7:$O$323,9,0)</f>
        <v>32</v>
      </c>
      <c r="N191" s="103">
        <f>VLOOKUP($A191,'OI(Value)'!$A$7:$O$323,11,0)</f>
        <v>337</v>
      </c>
      <c r="O191" s="103">
        <f>VLOOKUP($A191,'OI(Value)'!$A$7:$O$323,12,0)</f>
        <v>7</v>
      </c>
    </row>
    <row r="192" spans="1:15" x14ac:dyDescent="0.25">
      <c r="A192" s="105" t="str">
        <f>'Data Vlaue (Cr)'!C187</f>
        <v>SWIGGY</v>
      </c>
      <c r="B192" s="143">
        <f>VLOOKUP($A192,'Data shares'!$C:$FA,118)</f>
        <v>1.1100000000000001</v>
      </c>
      <c r="C192" s="143">
        <f>VLOOKUP($A192,'Data shares'!$C:$FA,119)</f>
        <v>0.99</v>
      </c>
      <c r="D192" s="143">
        <f>VLOOKUP($A192,'Data shares'!$C:$FA,121)*100</f>
        <v>12.120000000000001</v>
      </c>
      <c r="E192" s="143">
        <f>VLOOKUP($A192,'Data shares'!$C:$FA,124)</f>
        <v>0.65</v>
      </c>
      <c r="F192" s="143">
        <f>VLOOKUP($A192,'Data shares'!$C:$FA,125)</f>
        <v>0.35</v>
      </c>
      <c r="G192" s="143">
        <f>VLOOKUP($A192,'Data shares'!$C:$FA,127)*100</f>
        <v>85.71</v>
      </c>
      <c r="H192" s="103">
        <f>VLOOKUP($A192,'OI(Volume)'!$A$7:$O$440,8)</f>
        <v>6658600</v>
      </c>
      <c r="I192" s="103">
        <f>VLOOKUP($A192,'OI(Volume)'!$A$7:$O$440,9)</f>
        <v>-686400</v>
      </c>
      <c r="J192" s="103">
        <f>VLOOKUP($A192,'OI(Volume)'!$A$7:$O$440,11)</f>
        <v>7376200</v>
      </c>
      <c r="K192" s="103">
        <f>VLOOKUP($A192,'OI(Volume)'!$A$7:$O$440,12)</f>
        <v>119600</v>
      </c>
      <c r="L192" s="103">
        <f>VLOOKUP($A192,'OI(Value)'!$A$7:$O$323,8,0)</f>
        <v>227</v>
      </c>
      <c r="M192" s="103">
        <f>VLOOKUP($A192,'OI(Value)'!$A$7:$O$323,9,0)</f>
        <v>-23</v>
      </c>
      <c r="N192" s="103">
        <f>VLOOKUP($A192,'OI(Value)'!$A$7:$O$323,11,0)</f>
        <v>252</v>
      </c>
      <c r="O192" s="103">
        <f>VLOOKUP($A192,'OI(Value)'!$A$7:$O$323,12,0)</f>
        <v>4</v>
      </c>
    </row>
    <row r="193" spans="1:15" x14ac:dyDescent="0.25">
      <c r="A193" s="105" t="str">
        <f>'Data Vlaue (Cr)'!C188</f>
        <v>SYNGENE</v>
      </c>
      <c r="B193" s="143">
        <f>VLOOKUP($A193,'Data shares'!$C:$FA,118)</f>
        <v>0.56000000000000005</v>
      </c>
      <c r="C193" s="143">
        <f>VLOOKUP($A193,'Data shares'!$C:$FA,119)</f>
        <v>0.56000000000000005</v>
      </c>
      <c r="D193" s="143">
        <f>VLOOKUP($A193,'Data shares'!$C:$FA,121)*100</f>
        <v>0</v>
      </c>
      <c r="E193" s="143">
        <f>VLOOKUP($A193,'Data shares'!$C:$FA,124)</f>
        <v>0.28000000000000003</v>
      </c>
      <c r="F193" s="143">
        <f>VLOOKUP($A193,'Data shares'!$C:$FA,125)</f>
        <v>0.31</v>
      </c>
      <c r="G193" s="143">
        <f>VLOOKUP($A193,'Data shares'!$C:$FA,127)*100</f>
        <v>-9.68</v>
      </c>
      <c r="H193" s="103">
        <f>VLOOKUP($A193,'OI(Volume)'!$A$7:$O$440,8)</f>
        <v>9864000</v>
      </c>
      <c r="I193" s="103">
        <f>VLOOKUP($A193,'OI(Volume)'!$A$7:$O$440,9)</f>
        <v>246000</v>
      </c>
      <c r="J193" s="103">
        <f>VLOOKUP($A193,'OI(Volume)'!$A$7:$O$440,11)</f>
        <v>5537000</v>
      </c>
      <c r="K193" s="103">
        <f>VLOOKUP($A193,'OI(Volume)'!$A$7:$O$440,12)</f>
        <v>111000</v>
      </c>
      <c r="L193" s="103">
        <f>VLOOKUP($A193,'OI(Value)'!$A$7:$O$323,8,0)</f>
        <v>451</v>
      </c>
      <c r="M193" s="103">
        <f>VLOOKUP($A193,'OI(Value)'!$A$7:$O$323,9,0)</f>
        <v>11</v>
      </c>
      <c r="N193" s="103">
        <f>VLOOKUP($A193,'OI(Value)'!$A$7:$O$323,11,0)</f>
        <v>253</v>
      </c>
      <c r="O193" s="103">
        <f>VLOOKUP($A193,'OI(Value)'!$A$7:$O$323,12,0)</f>
        <v>5</v>
      </c>
    </row>
    <row r="194" spans="1:15" x14ac:dyDescent="0.25">
      <c r="A194" s="105" t="str">
        <f>'Data Vlaue (Cr)'!C189</f>
        <v>TATACONSUM</v>
      </c>
      <c r="B194" s="143">
        <f>VLOOKUP($A194,'Data shares'!$C:$FA,118)</f>
        <v>0.75</v>
      </c>
      <c r="C194" s="143">
        <f>VLOOKUP($A194,'Data shares'!$C:$FA,119)</f>
        <v>0.77</v>
      </c>
      <c r="D194" s="143">
        <f>VLOOKUP($A194,'Data shares'!$C:$FA,121)*100</f>
        <v>-2.6</v>
      </c>
      <c r="E194" s="143">
        <f>VLOOKUP($A194,'Data shares'!$C:$FA,124)</f>
        <v>0.3</v>
      </c>
      <c r="F194" s="143">
        <f>VLOOKUP($A194,'Data shares'!$C:$FA,125)</f>
        <v>0.56999999999999995</v>
      </c>
      <c r="G194" s="143">
        <f>VLOOKUP($A194,'Data shares'!$C:$FA,127)*100</f>
        <v>-47.370000000000005</v>
      </c>
      <c r="H194" s="103">
        <f>VLOOKUP($A194,'OI(Volume)'!$A$7:$O$440,8)</f>
        <v>4543000</v>
      </c>
      <c r="I194" s="103">
        <f>VLOOKUP($A194,'OI(Volume)'!$A$7:$O$440,9)</f>
        <v>106700</v>
      </c>
      <c r="J194" s="103">
        <f>VLOOKUP($A194,'OI(Volume)'!$A$7:$O$440,11)</f>
        <v>3399550</v>
      </c>
      <c r="K194" s="103">
        <f>VLOOKUP($A194,'OI(Volume)'!$A$7:$O$440,12)</f>
        <v>0</v>
      </c>
      <c r="L194" s="103">
        <f>VLOOKUP($A194,'OI(Value)'!$A$7:$O$323,8,0)</f>
        <v>525</v>
      </c>
      <c r="M194" s="103">
        <f>VLOOKUP($A194,'OI(Value)'!$A$7:$O$323,9,0)</f>
        <v>12</v>
      </c>
      <c r="N194" s="103">
        <f>VLOOKUP($A194,'OI(Value)'!$A$7:$O$323,11,0)</f>
        <v>393</v>
      </c>
      <c r="O194" s="103">
        <f>VLOOKUP($A194,'OI(Value)'!$A$7:$O$323,12,0)</f>
        <v>0</v>
      </c>
    </row>
    <row r="195" spans="1:15" x14ac:dyDescent="0.25">
      <c r="A195" s="105" t="str">
        <f>'Data Vlaue (Cr)'!C190</f>
        <v>TATAELXSI</v>
      </c>
      <c r="B195" s="143">
        <f>VLOOKUP($A195,'Data shares'!$C:$FA,118)</f>
        <v>0.27</v>
      </c>
      <c r="C195" s="143">
        <f>VLOOKUP($A195,'Data shares'!$C:$FA,119)</f>
        <v>0.31</v>
      </c>
      <c r="D195" s="143">
        <f>VLOOKUP($A195,'Data shares'!$C:$FA,121)*100</f>
        <v>-12.9</v>
      </c>
      <c r="E195" s="143">
        <f>VLOOKUP($A195,'Data shares'!$C:$FA,124)</f>
        <v>0.31</v>
      </c>
      <c r="F195" s="143">
        <f>VLOOKUP($A195,'Data shares'!$C:$FA,125)</f>
        <v>0.19</v>
      </c>
      <c r="G195" s="143">
        <f>VLOOKUP($A195,'Data shares'!$C:$FA,127)*100</f>
        <v>63.160000000000004</v>
      </c>
      <c r="H195" s="103">
        <f>VLOOKUP($A195,'OI(Volume)'!$A$7:$O$440,8)</f>
        <v>1941500</v>
      </c>
      <c r="I195" s="103">
        <f>VLOOKUP($A195,'OI(Volume)'!$A$7:$O$440,9)</f>
        <v>185400</v>
      </c>
      <c r="J195" s="103">
        <f>VLOOKUP($A195,'OI(Volume)'!$A$7:$O$440,11)</f>
        <v>532000</v>
      </c>
      <c r="K195" s="103">
        <f>VLOOKUP($A195,'OI(Volume)'!$A$7:$O$440,12)</f>
        <v>-8100</v>
      </c>
      <c r="L195" s="103">
        <f>VLOOKUP($A195,'OI(Value)'!$A$7:$O$323,8,0)</f>
        <v>1017</v>
      </c>
      <c r="M195" s="103">
        <f>VLOOKUP($A195,'OI(Value)'!$A$7:$O$323,9,0)</f>
        <v>97</v>
      </c>
      <c r="N195" s="103">
        <f>VLOOKUP($A195,'OI(Value)'!$A$7:$O$323,11,0)</f>
        <v>279</v>
      </c>
      <c r="O195" s="103">
        <f>VLOOKUP($A195,'OI(Value)'!$A$7:$O$323,12,0)</f>
        <v>-4</v>
      </c>
    </row>
    <row r="196" spans="1:15" x14ac:dyDescent="0.25">
      <c r="A196" s="105" t="str">
        <f>'Data Vlaue (Cr)'!C191</f>
        <v>TATAPOWER</v>
      </c>
      <c r="B196" s="143">
        <f>VLOOKUP($A196,'Data shares'!$C:$FA,118)</f>
        <v>0.79</v>
      </c>
      <c r="C196" s="143">
        <f>VLOOKUP($A196,'Data shares'!$C:$FA,119)</f>
        <v>0.81</v>
      </c>
      <c r="D196" s="143">
        <f>VLOOKUP($A196,'Data shares'!$C:$FA,121)*100</f>
        <v>-2.4699999999999998</v>
      </c>
      <c r="E196" s="143">
        <f>VLOOKUP($A196,'Data shares'!$C:$FA,124)</f>
        <v>0.39</v>
      </c>
      <c r="F196" s="143">
        <f>VLOOKUP($A196,'Data shares'!$C:$FA,125)</f>
        <v>0.62</v>
      </c>
      <c r="G196" s="143">
        <f>VLOOKUP($A196,'Data shares'!$C:$FA,127)*100</f>
        <v>-37.1</v>
      </c>
      <c r="H196" s="103">
        <f>VLOOKUP($A196,'OI(Volume)'!$A$7:$O$440,8)</f>
        <v>35477150</v>
      </c>
      <c r="I196" s="103">
        <f>VLOOKUP($A196,'OI(Volume)'!$A$7:$O$440,9)</f>
        <v>1322400</v>
      </c>
      <c r="J196" s="103">
        <f>VLOOKUP($A196,'OI(Volume)'!$A$7:$O$440,11)</f>
        <v>28015450</v>
      </c>
      <c r="K196" s="103">
        <f>VLOOKUP($A196,'OI(Volume)'!$A$7:$O$440,12)</f>
        <v>240700</v>
      </c>
      <c r="L196" s="103">
        <f>VLOOKUP($A196,'OI(Value)'!$A$7:$O$323,8,0)</f>
        <v>1337</v>
      </c>
      <c r="M196" s="103">
        <f>VLOOKUP($A196,'OI(Value)'!$A$7:$O$323,9,0)</f>
        <v>50</v>
      </c>
      <c r="N196" s="103">
        <f>VLOOKUP($A196,'OI(Value)'!$A$7:$O$323,11,0)</f>
        <v>1056</v>
      </c>
      <c r="O196" s="103">
        <f>VLOOKUP($A196,'OI(Value)'!$A$7:$O$323,12,0)</f>
        <v>9</v>
      </c>
    </row>
    <row r="197" spans="1:15" x14ac:dyDescent="0.25">
      <c r="A197" s="105" t="str">
        <f>'Data Vlaue (Cr)'!C192</f>
        <v>TATASTEEL</v>
      </c>
      <c r="B197" s="143">
        <f>VLOOKUP($A197,'Data shares'!$C:$FA,118)</f>
        <v>0.82</v>
      </c>
      <c r="C197" s="143">
        <f>VLOOKUP($A197,'Data shares'!$C:$FA,119)</f>
        <v>0.81</v>
      </c>
      <c r="D197" s="143">
        <f>VLOOKUP($A197,'Data shares'!$C:$FA,121)*100</f>
        <v>1.23</v>
      </c>
      <c r="E197" s="143">
        <f>VLOOKUP($A197,'Data shares'!$C:$FA,124)</f>
        <v>0.56000000000000005</v>
      </c>
      <c r="F197" s="143">
        <f>VLOOKUP($A197,'Data shares'!$C:$FA,125)</f>
        <v>0.45</v>
      </c>
      <c r="G197" s="143">
        <f>VLOOKUP($A197,'Data shares'!$C:$FA,127)*100</f>
        <v>24.44</v>
      </c>
      <c r="H197" s="103">
        <f>VLOOKUP($A197,'OI(Volume)'!$A$7:$O$440,8)</f>
        <v>141982500</v>
      </c>
      <c r="I197" s="103">
        <f>VLOOKUP($A197,'OI(Volume)'!$A$7:$O$440,9)</f>
        <v>-27500</v>
      </c>
      <c r="J197" s="103">
        <f>VLOOKUP($A197,'OI(Volume)'!$A$7:$O$440,11)</f>
        <v>116616500</v>
      </c>
      <c r="K197" s="103">
        <f>VLOOKUP($A197,'OI(Volume)'!$A$7:$O$440,12)</f>
        <v>1820500</v>
      </c>
      <c r="L197" s="103">
        <f>VLOOKUP($A197,'OI(Value)'!$A$7:$O$323,8,0)</f>
        <v>2955</v>
      </c>
      <c r="M197" s="103">
        <f>VLOOKUP($A197,'OI(Value)'!$A$7:$O$323,9,0)</f>
        <v>-1</v>
      </c>
      <c r="N197" s="103">
        <f>VLOOKUP($A197,'OI(Value)'!$A$7:$O$323,11,0)</f>
        <v>2427</v>
      </c>
      <c r="O197" s="103">
        <f>VLOOKUP($A197,'OI(Value)'!$A$7:$O$323,12,0)</f>
        <v>38</v>
      </c>
    </row>
    <row r="198" spans="1:15" x14ac:dyDescent="0.25">
      <c r="A198" s="105" t="str">
        <f>'Data Vlaue (Cr)'!C193</f>
        <v>TATATECH</v>
      </c>
      <c r="B198" s="143">
        <f>VLOOKUP($A198,'Data shares'!$C:$FA,118)</f>
        <v>0.68</v>
      </c>
      <c r="C198" s="143">
        <f>VLOOKUP($A198,'Data shares'!$C:$FA,119)</f>
        <v>0.67</v>
      </c>
      <c r="D198" s="143">
        <f>VLOOKUP($A198,'Data shares'!$C:$FA,121)*100</f>
        <v>1.49</v>
      </c>
      <c r="E198" s="143">
        <f>VLOOKUP($A198,'Data shares'!$C:$FA,124)</f>
        <v>0.62</v>
      </c>
      <c r="F198" s="143">
        <f>VLOOKUP($A198,'Data shares'!$C:$FA,125)</f>
        <v>0.33</v>
      </c>
      <c r="G198" s="143">
        <f>VLOOKUP($A198,'Data shares'!$C:$FA,127)*100</f>
        <v>87.88</v>
      </c>
      <c r="H198" s="103">
        <f>VLOOKUP($A198,'OI(Volume)'!$A$7:$O$440,8)</f>
        <v>5234400</v>
      </c>
      <c r="I198" s="103">
        <f>VLOOKUP($A198,'OI(Volume)'!$A$7:$O$440,9)</f>
        <v>38400</v>
      </c>
      <c r="J198" s="103">
        <f>VLOOKUP($A198,'OI(Volume)'!$A$7:$O$440,11)</f>
        <v>3539200</v>
      </c>
      <c r="K198" s="103">
        <f>VLOOKUP($A198,'OI(Volume)'!$A$7:$O$440,12)</f>
        <v>58400</v>
      </c>
      <c r="L198" s="103">
        <f>VLOOKUP($A198,'OI(Value)'!$A$7:$O$323,8,0)</f>
        <v>329</v>
      </c>
      <c r="M198" s="103">
        <f>VLOOKUP($A198,'OI(Value)'!$A$7:$O$323,9,0)</f>
        <v>2</v>
      </c>
      <c r="N198" s="103">
        <f>VLOOKUP($A198,'OI(Value)'!$A$7:$O$323,11,0)</f>
        <v>222</v>
      </c>
      <c r="O198" s="103">
        <f>VLOOKUP($A198,'OI(Value)'!$A$7:$O$323,12,0)</f>
        <v>4</v>
      </c>
    </row>
    <row r="199" spans="1:15" x14ac:dyDescent="0.25">
      <c r="A199" s="105" t="str">
        <f>'Data Vlaue (Cr)'!C194</f>
        <v>TCS</v>
      </c>
      <c r="B199" s="143">
        <f>VLOOKUP($A199,'Data shares'!$C:$FA,118)</f>
        <v>0.56999999999999995</v>
      </c>
      <c r="C199" s="143">
        <f>VLOOKUP($A199,'Data shares'!$C:$FA,119)</f>
        <v>0.56999999999999995</v>
      </c>
      <c r="D199" s="143">
        <f>VLOOKUP($A199,'Data shares'!$C:$FA,121)*100</f>
        <v>0</v>
      </c>
      <c r="E199" s="143">
        <f>VLOOKUP($A199,'Data shares'!$C:$FA,124)</f>
        <v>0.63</v>
      </c>
      <c r="F199" s="143">
        <f>VLOOKUP($A199,'Data shares'!$C:$FA,125)</f>
        <v>0.45</v>
      </c>
      <c r="G199" s="143">
        <f>VLOOKUP($A199,'Data shares'!$C:$FA,127)*100</f>
        <v>40</v>
      </c>
      <c r="H199" s="103">
        <f>VLOOKUP($A199,'OI(Volume)'!$A$7:$O$440,8)</f>
        <v>22135750</v>
      </c>
      <c r="I199" s="103">
        <f>VLOOKUP($A199,'OI(Volume)'!$A$7:$O$440,9)</f>
        <v>1856575</v>
      </c>
      <c r="J199" s="103">
        <f>VLOOKUP($A199,'OI(Volume)'!$A$7:$O$440,11)</f>
        <v>12608400</v>
      </c>
      <c r="K199" s="103">
        <f>VLOOKUP($A199,'OI(Volume)'!$A$7:$O$440,12)</f>
        <v>1000125</v>
      </c>
      <c r="L199" s="103">
        <f>VLOOKUP($A199,'OI(Value)'!$A$7:$O$323,8,0)</f>
        <v>6460</v>
      </c>
      <c r="M199" s="103">
        <f>VLOOKUP($A199,'OI(Value)'!$A$7:$O$323,9,0)</f>
        <v>542</v>
      </c>
      <c r="N199" s="103">
        <f>VLOOKUP($A199,'OI(Value)'!$A$7:$O$323,11,0)</f>
        <v>3680</v>
      </c>
      <c r="O199" s="103">
        <f>VLOOKUP($A199,'OI(Value)'!$A$7:$O$323,12,0)</f>
        <v>292</v>
      </c>
    </row>
    <row r="200" spans="1:15" x14ac:dyDescent="0.25">
      <c r="A200" s="105" t="str">
        <f>'Data Vlaue (Cr)'!C195</f>
        <v>TECHM</v>
      </c>
      <c r="B200" s="143">
        <f>VLOOKUP($A200,'Data shares'!$C:$FA,118)</f>
        <v>0.62</v>
      </c>
      <c r="C200" s="143">
        <f>VLOOKUP($A200,'Data shares'!$C:$FA,119)</f>
        <v>0.62</v>
      </c>
      <c r="D200" s="143">
        <f>VLOOKUP($A200,'Data shares'!$C:$FA,121)*100</f>
        <v>0</v>
      </c>
      <c r="E200" s="143">
        <f>VLOOKUP($A200,'Data shares'!$C:$FA,124)</f>
        <v>0.8</v>
      </c>
      <c r="F200" s="143">
        <f>VLOOKUP($A200,'Data shares'!$C:$FA,125)</f>
        <v>0.44</v>
      </c>
      <c r="G200" s="143">
        <f>VLOOKUP($A200,'Data shares'!$C:$FA,127)*100</f>
        <v>81.820000000000007</v>
      </c>
      <c r="H200" s="103">
        <f>VLOOKUP($A200,'OI(Volume)'!$A$7:$O$440,8)</f>
        <v>9282600</v>
      </c>
      <c r="I200" s="103">
        <f>VLOOKUP($A200,'OI(Volume)'!$A$7:$O$440,9)</f>
        <v>193200</v>
      </c>
      <c r="J200" s="103">
        <f>VLOOKUP($A200,'OI(Volume)'!$A$7:$O$440,11)</f>
        <v>5728200</v>
      </c>
      <c r="K200" s="103">
        <f>VLOOKUP($A200,'OI(Volume)'!$A$7:$O$440,12)</f>
        <v>136800</v>
      </c>
      <c r="L200" s="103">
        <f>VLOOKUP($A200,'OI(Value)'!$A$7:$O$323,8,0)</f>
        <v>1517</v>
      </c>
      <c r="M200" s="103">
        <f>VLOOKUP($A200,'OI(Value)'!$A$7:$O$323,9,0)</f>
        <v>32</v>
      </c>
      <c r="N200" s="103">
        <f>VLOOKUP($A200,'OI(Value)'!$A$7:$O$323,11,0)</f>
        <v>936</v>
      </c>
      <c r="O200" s="103">
        <f>VLOOKUP($A200,'OI(Value)'!$A$7:$O$323,12,0)</f>
        <v>22</v>
      </c>
    </row>
    <row r="201" spans="1:15" x14ac:dyDescent="0.25">
      <c r="A201" s="105" t="str">
        <f>'Data Vlaue (Cr)'!C196</f>
        <v>TIINDIA</v>
      </c>
      <c r="B201" s="143">
        <f>VLOOKUP($A201,'Data shares'!$C:$FA,118)</f>
        <v>0.55000000000000004</v>
      </c>
      <c r="C201" s="143">
        <f>VLOOKUP($A201,'Data shares'!$C:$FA,119)</f>
        <v>0.54</v>
      </c>
      <c r="D201" s="143">
        <f>VLOOKUP($A201,'Data shares'!$C:$FA,121)*100</f>
        <v>1.8499999999999999</v>
      </c>
      <c r="E201" s="143">
        <f>VLOOKUP($A201,'Data shares'!$C:$FA,124)</f>
        <v>0.27</v>
      </c>
      <c r="F201" s="143">
        <f>VLOOKUP($A201,'Data shares'!$C:$FA,125)</f>
        <v>0.38</v>
      </c>
      <c r="G201" s="143">
        <f>VLOOKUP($A201,'Data shares'!$C:$FA,127)*100</f>
        <v>-28.95</v>
      </c>
      <c r="H201" s="103">
        <f>VLOOKUP($A201,'OI(Volume)'!$A$7:$O$440,8)</f>
        <v>1609600</v>
      </c>
      <c r="I201" s="103">
        <f>VLOOKUP($A201,'OI(Volume)'!$A$7:$O$440,9)</f>
        <v>-96000</v>
      </c>
      <c r="J201" s="103">
        <f>VLOOKUP($A201,'OI(Volume)'!$A$7:$O$440,11)</f>
        <v>889600</v>
      </c>
      <c r="K201" s="103">
        <f>VLOOKUP($A201,'OI(Volume)'!$A$7:$O$440,12)</f>
        <v>-35400</v>
      </c>
      <c r="L201" s="103">
        <f>VLOOKUP($A201,'OI(Value)'!$A$7:$O$323,8,0)</f>
        <v>395</v>
      </c>
      <c r="M201" s="103">
        <f>VLOOKUP($A201,'OI(Value)'!$A$7:$O$323,9,0)</f>
        <v>-24</v>
      </c>
      <c r="N201" s="103">
        <f>VLOOKUP($A201,'OI(Value)'!$A$7:$O$323,11,0)</f>
        <v>218</v>
      </c>
      <c r="O201" s="103">
        <f>VLOOKUP($A201,'OI(Value)'!$A$7:$O$323,12,0)</f>
        <v>-9</v>
      </c>
    </row>
    <row r="202" spans="1:15" x14ac:dyDescent="0.25">
      <c r="A202" s="105" t="str">
        <f>'Data Vlaue (Cr)'!C197</f>
        <v>TITAN</v>
      </c>
      <c r="B202" s="143">
        <f>VLOOKUP($A202,'Data shares'!$C:$FA,118)</f>
        <v>0.49</v>
      </c>
      <c r="C202" s="143">
        <f>VLOOKUP($A202,'Data shares'!$C:$FA,119)</f>
        <v>0.57999999999999996</v>
      </c>
      <c r="D202" s="143">
        <f>VLOOKUP($A202,'Data shares'!$C:$FA,121)*100</f>
        <v>-15.52</v>
      </c>
      <c r="E202" s="143">
        <f>VLOOKUP($A202,'Data shares'!$C:$FA,124)</f>
        <v>0.49</v>
      </c>
      <c r="F202" s="143">
        <f>VLOOKUP($A202,'Data shares'!$C:$FA,125)</f>
        <v>0.31</v>
      </c>
      <c r="G202" s="143">
        <f>VLOOKUP($A202,'Data shares'!$C:$FA,127)*100</f>
        <v>58.06</v>
      </c>
      <c r="H202" s="103">
        <f>VLOOKUP($A202,'OI(Volume)'!$A$7:$O$440,8)</f>
        <v>8510600</v>
      </c>
      <c r="I202" s="103">
        <f>VLOOKUP($A202,'OI(Volume)'!$A$7:$O$440,9)</f>
        <v>2309475</v>
      </c>
      <c r="J202" s="103">
        <f>VLOOKUP($A202,'OI(Volume)'!$A$7:$O$440,11)</f>
        <v>4207350</v>
      </c>
      <c r="K202" s="103">
        <f>VLOOKUP($A202,'OI(Volume)'!$A$7:$O$440,12)</f>
        <v>616700</v>
      </c>
      <c r="L202" s="103">
        <f>VLOOKUP($A202,'OI(Value)'!$A$7:$O$323,8,0)</f>
        <v>3619</v>
      </c>
      <c r="M202" s="103">
        <f>VLOOKUP($A202,'OI(Value)'!$A$7:$O$323,9,0)</f>
        <v>982</v>
      </c>
      <c r="N202" s="103">
        <f>VLOOKUP($A202,'OI(Value)'!$A$7:$O$323,11,0)</f>
        <v>1789</v>
      </c>
      <c r="O202" s="103">
        <f>VLOOKUP($A202,'OI(Value)'!$A$7:$O$323,12,0)</f>
        <v>262</v>
      </c>
    </row>
    <row r="203" spans="1:15" x14ac:dyDescent="0.25">
      <c r="A203" s="105" t="str">
        <f>'Data Vlaue (Cr)'!C198</f>
        <v>TMPV</v>
      </c>
      <c r="B203" s="143">
        <f>VLOOKUP($A203,'Data shares'!$C:$FA,118)</f>
        <v>0.84</v>
      </c>
      <c r="C203" s="143">
        <f>VLOOKUP($A203,'Data shares'!$C:$FA,119)</f>
        <v>0.87</v>
      </c>
      <c r="D203" s="143">
        <f>VLOOKUP($A203,'Data shares'!$C:$FA,121)*100</f>
        <v>-3.45</v>
      </c>
      <c r="E203" s="143">
        <f>VLOOKUP($A203,'Data shares'!$C:$FA,124)</f>
        <v>0.5</v>
      </c>
      <c r="F203" s="143">
        <f>VLOOKUP($A203,'Data shares'!$C:$FA,125)</f>
        <v>0.53</v>
      </c>
      <c r="G203" s="143">
        <f>VLOOKUP($A203,'Data shares'!$C:$FA,127)*100</f>
        <v>-5.66</v>
      </c>
      <c r="H203" s="103">
        <f>VLOOKUP($A203,'OI(Volume)'!$A$7:$O$440,8)</f>
        <v>36900800</v>
      </c>
      <c r="I203" s="103">
        <f>VLOOKUP($A203,'OI(Volume)'!$A$7:$O$440,9)</f>
        <v>156800</v>
      </c>
      <c r="J203" s="103">
        <f>VLOOKUP($A203,'OI(Volume)'!$A$7:$O$440,11)</f>
        <v>31059200</v>
      </c>
      <c r="K203" s="103">
        <f>VLOOKUP($A203,'OI(Volume)'!$A$7:$O$440,12)</f>
        <v>-756800</v>
      </c>
      <c r="L203" s="103">
        <f>VLOOKUP($A203,'OI(Value)'!$A$7:$O$323,8,0)</f>
        <v>1423</v>
      </c>
      <c r="M203" s="103">
        <f>VLOOKUP($A203,'OI(Value)'!$A$7:$O$323,9,0)</f>
        <v>6</v>
      </c>
      <c r="N203" s="103">
        <f>VLOOKUP($A203,'OI(Value)'!$A$7:$O$323,11,0)</f>
        <v>1198</v>
      </c>
      <c r="O203" s="103">
        <f>VLOOKUP($A203,'OI(Value)'!$A$7:$O$323,12,0)</f>
        <v>-29</v>
      </c>
    </row>
    <row r="204" spans="1:15" x14ac:dyDescent="0.25">
      <c r="A204" s="105" t="str">
        <f>'Data Vlaue (Cr)'!C199</f>
        <v>TORNTPHARM</v>
      </c>
      <c r="B204" s="143">
        <f>VLOOKUP($A204,'Data shares'!$C:$FA,118)</f>
        <v>0.55000000000000004</v>
      </c>
      <c r="C204" s="143">
        <f>VLOOKUP($A204,'Data shares'!$C:$FA,119)</f>
        <v>0.59</v>
      </c>
      <c r="D204" s="143">
        <f>VLOOKUP($A204,'Data shares'!$C:$FA,121)*100</f>
        <v>-6.78</v>
      </c>
      <c r="E204" s="143">
        <f>VLOOKUP($A204,'Data shares'!$C:$FA,124)</f>
        <v>0.31</v>
      </c>
      <c r="F204" s="143">
        <f>VLOOKUP($A204,'Data shares'!$C:$FA,125)</f>
        <v>0.17</v>
      </c>
      <c r="G204" s="143">
        <f>VLOOKUP($A204,'Data shares'!$C:$FA,127)*100</f>
        <v>82.35</v>
      </c>
      <c r="H204" s="103">
        <f>VLOOKUP($A204,'OI(Volume)'!$A$7:$O$440,8)</f>
        <v>674250</v>
      </c>
      <c r="I204" s="103">
        <f>VLOOKUP($A204,'OI(Volume)'!$A$7:$O$440,9)</f>
        <v>110500</v>
      </c>
      <c r="J204" s="103">
        <f>VLOOKUP($A204,'OI(Volume)'!$A$7:$O$440,11)</f>
        <v>373500</v>
      </c>
      <c r="K204" s="103">
        <f>VLOOKUP($A204,'OI(Volume)'!$A$7:$O$440,12)</f>
        <v>39250</v>
      </c>
      <c r="L204" s="103">
        <f>VLOOKUP($A204,'OI(Value)'!$A$7:$O$323,8,0)</f>
        <v>271</v>
      </c>
      <c r="M204" s="103">
        <f>VLOOKUP($A204,'OI(Value)'!$A$7:$O$323,9,0)</f>
        <v>44</v>
      </c>
      <c r="N204" s="103">
        <f>VLOOKUP($A204,'OI(Value)'!$A$7:$O$323,11,0)</f>
        <v>150</v>
      </c>
      <c r="O204" s="103">
        <f>VLOOKUP($A204,'OI(Value)'!$A$7:$O$323,12,0)</f>
        <v>16</v>
      </c>
    </row>
    <row r="205" spans="1:15" x14ac:dyDescent="0.25">
      <c r="A205" s="105" t="str">
        <f>'Data Vlaue (Cr)'!C200</f>
        <v>TORNTPOWER</v>
      </c>
      <c r="B205" s="143">
        <f>VLOOKUP($A205,'Data shares'!$C:$FA,118)</f>
        <v>0.55000000000000004</v>
      </c>
      <c r="C205" s="143">
        <f>VLOOKUP($A205,'Data shares'!$C:$FA,119)</f>
        <v>0.84</v>
      </c>
      <c r="D205" s="143">
        <f>VLOOKUP($A205,'Data shares'!$C:$FA,121)*100</f>
        <v>-34.520000000000003</v>
      </c>
      <c r="E205" s="143">
        <f>VLOOKUP($A205,'Data shares'!$C:$FA,124)</f>
        <v>0.52</v>
      </c>
      <c r="F205" s="143">
        <f>VLOOKUP($A205,'Data shares'!$C:$FA,125)</f>
        <v>0.35</v>
      </c>
      <c r="G205" s="143">
        <f>VLOOKUP($A205,'Data shares'!$C:$FA,127)*100</f>
        <v>48.57</v>
      </c>
      <c r="H205" s="103">
        <f>VLOOKUP($A205,'OI(Volume)'!$A$7:$O$440,8)</f>
        <v>3719175</v>
      </c>
      <c r="I205" s="103">
        <f>VLOOKUP($A205,'OI(Volume)'!$A$7:$O$440,9)</f>
        <v>1316225</v>
      </c>
      <c r="J205" s="103">
        <f>VLOOKUP($A205,'OI(Volume)'!$A$7:$O$440,11)</f>
        <v>2043400</v>
      </c>
      <c r="K205" s="103">
        <f>VLOOKUP($A205,'OI(Volume)'!$A$7:$O$440,12)</f>
        <v>35700</v>
      </c>
      <c r="L205" s="103">
        <f>VLOOKUP($A205,'OI(Value)'!$A$7:$O$323,8,0)</f>
        <v>526</v>
      </c>
      <c r="M205" s="103">
        <f>VLOOKUP($A205,'OI(Value)'!$A$7:$O$323,9,0)</f>
        <v>186</v>
      </c>
      <c r="N205" s="103">
        <f>VLOOKUP($A205,'OI(Value)'!$A$7:$O$323,11,0)</f>
        <v>289</v>
      </c>
      <c r="O205" s="103">
        <f>VLOOKUP($A205,'OI(Value)'!$A$7:$O$323,12,0)</f>
        <v>5</v>
      </c>
    </row>
    <row r="206" spans="1:15" x14ac:dyDescent="0.25">
      <c r="A206" s="105" t="str">
        <f>'Data Vlaue (Cr)'!C201</f>
        <v>TRENT</v>
      </c>
      <c r="B206" s="143">
        <f>VLOOKUP($A206,'Data shares'!$C:$FA,118)</f>
        <v>0.74</v>
      </c>
      <c r="C206" s="143">
        <f>VLOOKUP($A206,'Data shares'!$C:$FA,119)</f>
        <v>0.68</v>
      </c>
      <c r="D206" s="143">
        <f>VLOOKUP($A206,'Data shares'!$C:$FA,121)*100</f>
        <v>8.82</v>
      </c>
      <c r="E206" s="143">
        <f>VLOOKUP($A206,'Data shares'!$C:$FA,124)</f>
        <v>0.5</v>
      </c>
      <c r="F206" s="143">
        <f>VLOOKUP($A206,'Data shares'!$C:$FA,125)</f>
        <v>0.59</v>
      </c>
      <c r="G206" s="143">
        <f>VLOOKUP($A206,'Data shares'!$C:$FA,127)*100</f>
        <v>-15.25</v>
      </c>
      <c r="H206" s="103">
        <f>VLOOKUP($A206,'OI(Volume)'!$A$7:$O$440,8)</f>
        <v>0</v>
      </c>
      <c r="I206" s="103">
        <f>VLOOKUP($A206,'OI(Volume)'!$A$7:$O$440,9)</f>
        <v>0</v>
      </c>
      <c r="J206" s="103">
        <f>VLOOKUP($A206,'OI(Volume)'!$A$7:$O$440,11)</f>
        <v>0</v>
      </c>
      <c r="K206" s="103">
        <f>VLOOKUP($A206,'OI(Volume)'!$A$7:$O$440,12)</f>
        <v>0</v>
      </c>
      <c r="L206" s="103">
        <f>VLOOKUP($A206,'OI(Value)'!$A$7:$O$323,8,0)</f>
        <v>1731</v>
      </c>
      <c r="M206" s="103">
        <f>VLOOKUP($A206,'OI(Value)'!$A$7:$O$323,9,0)</f>
        <v>-88</v>
      </c>
      <c r="N206" s="103">
        <f>VLOOKUP($A206,'OI(Value)'!$A$7:$O$323,11,0)</f>
        <v>1277</v>
      </c>
      <c r="O206" s="103">
        <f>VLOOKUP($A206,'OI(Value)'!$A$7:$O$323,12,0)</f>
        <v>34</v>
      </c>
    </row>
    <row r="207" spans="1:15" x14ac:dyDescent="0.25">
      <c r="A207" s="105" t="str">
        <f>'Data Vlaue (Cr)'!C202</f>
        <v>TVSMOTOR</v>
      </c>
      <c r="B207" s="143">
        <f>VLOOKUP($A207,'Data shares'!$C:$FA,118)</f>
        <v>0.68</v>
      </c>
      <c r="C207" s="143">
        <f>VLOOKUP($A207,'Data shares'!$C:$FA,119)</f>
        <v>0.7</v>
      </c>
      <c r="D207" s="143">
        <f>VLOOKUP($A207,'Data shares'!$C:$FA,121)*100</f>
        <v>-2.86</v>
      </c>
      <c r="E207" s="143">
        <f>VLOOKUP($A207,'Data shares'!$C:$FA,124)</f>
        <v>0.26</v>
      </c>
      <c r="F207" s="143">
        <f>VLOOKUP($A207,'Data shares'!$C:$FA,125)</f>
        <v>0.43</v>
      </c>
      <c r="G207" s="143">
        <f>VLOOKUP($A207,'Data shares'!$C:$FA,127)*100</f>
        <v>-39.53</v>
      </c>
      <c r="H207" s="103">
        <f>VLOOKUP($A207,'OI(Volume)'!$A$7:$O$440,8)</f>
        <v>0</v>
      </c>
      <c r="I207" s="103">
        <f>VLOOKUP($A207,'OI(Volume)'!$A$7:$O$440,9)</f>
        <v>0</v>
      </c>
      <c r="J207" s="103">
        <f>VLOOKUP($A207,'OI(Volume)'!$A$7:$O$440,11)</f>
        <v>0</v>
      </c>
      <c r="K207" s="103">
        <f>VLOOKUP($A207,'OI(Volume)'!$A$7:$O$440,12)</f>
        <v>0</v>
      </c>
      <c r="L207" s="103">
        <f>VLOOKUP($A207,'OI(Value)'!$A$7:$O$323,8,0)</f>
        <v>800</v>
      </c>
      <c r="M207" s="103">
        <f>VLOOKUP($A207,'OI(Value)'!$A$7:$O$323,9,0)</f>
        <v>106</v>
      </c>
      <c r="N207" s="103">
        <f>VLOOKUP($A207,'OI(Value)'!$A$7:$O$323,11,0)</f>
        <v>542</v>
      </c>
      <c r="O207" s="103">
        <f>VLOOKUP($A207,'OI(Value)'!$A$7:$O$323,12,0)</f>
        <v>58</v>
      </c>
    </row>
    <row r="208" spans="1:15" x14ac:dyDescent="0.25">
      <c r="A208" s="105" t="str">
        <f>'Data Vlaue (Cr)'!C203</f>
        <v>ULTRACEMCO</v>
      </c>
      <c r="B208" s="143">
        <f>VLOOKUP($A208,'Data shares'!$C:$FA,118)</f>
        <v>0.66</v>
      </c>
      <c r="C208" s="143">
        <f>VLOOKUP($A208,'Data shares'!$C:$FA,119)</f>
        <v>0.71</v>
      </c>
      <c r="D208" s="143">
        <f>VLOOKUP($A208,'Data shares'!$C:$FA,121)*100</f>
        <v>-7.04</v>
      </c>
      <c r="E208" s="143">
        <f>VLOOKUP($A208,'Data shares'!$C:$FA,124)</f>
        <v>0.6</v>
      </c>
      <c r="F208" s="143">
        <f>VLOOKUP($A208,'Data shares'!$C:$FA,125)</f>
        <v>0.56999999999999995</v>
      </c>
      <c r="G208" s="143">
        <f>VLOOKUP($A208,'Data shares'!$C:$FA,127)*100</f>
        <v>5.26</v>
      </c>
      <c r="H208" s="103">
        <f>VLOOKUP($A208,'OI(Volume)'!$A$7:$O$440,8)</f>
        <v>0</v>
      </c>
      <c r="I208" s="103">
        <f>VLOOKUP($A208,'OI(Volume)'!$A$7:$O$440,9)</f>
        <v>0</v>
      </c>
      <c r="J208" s="103">
        <f>VLOOKUP($A208,'OI(Volume)'!$A$7:$O$440,11)</f>
        <v>0</v>
      </c>
      <c r="K208" s="103">
        <f>VLOOKUP($A208,'OI(Volume)'!$A$7:$O$440,12)</f>
        <v>0</v>
      </c>
      <c r="L208" s="103">
        <f>VLOOKUP($A208,'OI(Value)'!$A$7:$O$323,8,0)</f>
        <v>993</v>
      </c>
      <c r="M208" s="103">
        <f>VLOOKUP($A208,'OI(Value)'!$A$7:$O$323,9,0)</f>
        <v>40</v>
      </c>
      <c r="N208" s="103">
        <f>VLOOKUP($A208,'OI(Value)'!$A$7:$O$323,11,0)</f>
        <v>660</v>
      </c>
      <c r="O208" s="103">
        <f>VLOOKUP($A208,'OI(Value)'!$A$7:$O$323,12,0)</f>
        <v>-18</v>
      </c>
    </row>
    <row r="209" spans="1:15" x14ac:dyDescent="0.25">
      <c r="A209" s="105" t="str">
        <f>'Data Vlaue (Cr)'!C204</f>
        <v>UNIONBANK</v>
      </c>
      <c r="B209" s="143">
        <f>VLOOKUP($A209,'Data shares'!$C:$FA,118)</f>
        <v>0.64</v>
      </c>
      <c r="C209" s="143">
        <f>VLOOKUP($A209,'Data shares'!$C:$FA,119)</f>
        <v>0.57999999999999996</v>
      </c>
      <c r="D209" s="143">
        <f>VLOOKUP($A209,'Data shares'!$C:$FA,121)*100</f>
        <v>10.34</v>
      </c>
      <c r="E209" s="143">
        <f>VLOOKUP($A209,'Data shares'!$C:$FA,124)</f>
        <v>0.28000000000000003</v>
      </c>
      <c r="F209" s="143">
        <f>VLOOKUP($A209,'Data shares'!$C:$FA,125)</f>
        <v>0.35</v>
      </c>
      <c r="G209" s="143">
        <f>VLOOKUP($A209,'Data shares'!$C:$FA,127)*100</f>
        <v>-20</v>
      </c>
      <c r="H209" s="103">
        <f>VLOOKUP($A209,'OI(Volume)'!$A$7:$O$440,8)</f>
        <v>0</v>
      </c>
      <c r="I209" s="103">
        <f>VLOOKUP($A209,'OI(Volume)'!$A$7:$O$440,9)</f>
        <v>0</v>
      </c>
      <c r="J209" s="103">
        <f>VLOOKUP($A209,'OI(Volume)'!$A$7:$O$440,11)</f>
        <v>0</v>
      </c>
      <c r="K209" s="103">
        <f>VLOOKUP($A209,'OI(Volume)'!$A$7:$O$440,12)</f>
        <v>0</v>
      </c>
      <c r="L209" s="103">
        <f>VLOOKUP($A209,'OI(Value)'!$A$7:$O$323,8,0)</f>
        <v>795</v>
      </c>
      <c r="M209" s="103">
        <f>VLOOKUP($A209,'OI(Value)'!$A$7:$O$323,9,0)</f>
        <v>-48</v>
      </c>
      <c r="N209" s="103">
        <f>VLOOKUP($A209,'OI(Value)'!$A$7:$O$323,11,0)</f>
        <v>510</v>
      </c>
      <c r="O209" s="103">
        <f>VLOOKUP($A209,'OI(Value)'!$A$7:$O$323,12,0)</f>
        <v>20</v>
      </c>
    </row>
    <row r="210" spans="1:15" x14ac:dyDescent="0.25">
      <c r="A210" s="105" t="str">
        <f>'Data Vlaue (Cr)'!C205</f>
        <v>UNITDSPR</v>
      </c>
      <c r="B210" s="143">
        <f>VLOOKUP($A210,'Data shares'!$C:$FA,118)</f>
        <v>0.94</v>
      </c>
      <c r="C210" s="143">
        <f>VLOOKUP($A210,'Data shares'!$C:$FA,119)</f>
        <v>0.93</v>
      </c>
      <c r="D210" s="143">
        <f>VLOOKUP($A210,'Data shares'!$C:$FA,121)*100</f>
        <v>1.08</v>
      </c>
      <c r="E210" s="143">
        <f>VLOOKUP($A210,'Data shares'!$C:$FA,124)</f>
        <v>0.57999999999999996</v>
      </c>
      <c r="F210" s="143">
        <f>VLOOKUP($A210,'Data shares'!$C:$FA,125)</f>
        <v>0.42</v>
      </c>
      <c r="G210" s="143">
        <f>VLOOKUP($A210,'Data shares'!$C:$FA,127)*100</f>
        <v>38.1</v>
      </c>
      <c r="H210" s="103">
        <f>VLOOKUP($A210,'OI(Volume)'!$A$7:$O$440,8)</f>
        <v>0</v>
      </c>
      <c r="I210" s="103">
        <f>VLOOKUP($A210,'OI(Volume)'!$A$7:$O$440,9)</f>
        <v>0</v>
      </c>
      <c r="J210" s="103">
        <f>VLOOKUP($A210,'OI(Volume)'!$A$7:$O$440,11)</f>
        <v>0</v>
      </c>
      <c r="K210" s="103">
        <f>VLOOKUP($A210,'OI(Volume)'!$A$7:$O$440,12)</f>
        <v>0</v>
      </c>
      <c r="L210" s="103">
        <f>VLOOKUP($A210,'OI(Value)'!$A$7:$O$323,8,0)</f>
        <v>380</v>
      </c>
      <c r="M210" s="103">
        <f>VLOOKUP($A210,'OI(Value)'!$A$7:$O$323,9,0)</f>
        <v>0</v>
      </c>
      <c r="N210" s="103">
        <f>VLOOKUP($A210,'OI(Value)'!$A$7:$O$323,11,0)</f>
        <v>356</v>
      </c>
      <c r="O210" s="103">
        <f>VLOOKUP($A210,'OI(Value)'!$A$7:$O$323,12,0)</f>
        <v>1</v>
      </c>
    </row>
    <row r="211" spans="1:15" x14ac:dyDescent="0.25">
      <c r="A211" s="105" t="str">
        <f>'Data Vlaue (Cr)'!C206</f>
        <v>UNOMINDA</v>
      </c>
      <c r="B211" s="143">
        <f>VLOOKUP($A211,'Data shares'!$C:$FA,118)</f>
        <v>0.81</v>
      </c>
      <c r="C211" s="143">
        <f>VLOOKUP($A211,'Data shares'!$C:$FA,119)</f>
        <v>0.8</v>
      </c>
      <c r="D211" s="143">
        <f>VLOOKUP($A211,'Data shares'!$C:$FA,121)*100</f>
        <v>1.25</v>
      </c>
      <c r="E211" s="143">
        <f>VLOOKUP($A211,'Data shares'!$C:$FA,124)</f>
        <v>0.41</v>
      </c>
      <c r="F211" s="143">
        <f>VLOOKUP($A211,'Data shares'!$C:$FA,125)</f>
        <v>0.44</v>
      </c>
      <c r="G211" s="143">
        <f>VLOOKUP($A211,'Data shares'!$C:$FA,127)*100</f>
        <v>-6.8199999999999994</v>
      </c>
      <c r="H211" s="103">
        <f>VLOOKUP($A211,'OI(Volume)'!$A$7:$O$440,8)</f>
        <v>0</v>
      </c>
      <c r="I211" s="103">
        <f>VLOOKUP($A211,'OI(Volume)'!$A$7:$O$440,9)</f>
        <v>0</v>
      </c>
      <c r="J211" s="103">
        <f>VLOOKUP($A211,'OI(Volume)'!$A$7:$O$440,11)</f>
        <v>0</v>
      </c>
      <c r="K211" s="103">
        <f>VLOOKUP($A211,'OI(Volume)'!$A$7:$O$440,12)</f>
        <v>0</v>
      </c>
      <c r="L211" s="103">
        <f>VLOOKUP($A211,'OI(Value)'!$A$7:$O$323,8,0)</f>
        <v>222</v>
      </c>
      <c r="M211" s="103">
        <f>VLOOKUP($A211,'OI(Value)'!$A$7:$O$323,9,0)</f>
        <v>-8</v>
      </c>
      <c r="N211" s="103">
        <f>VLOOKUP($A211,'OI(Value)'!$A$7:$O$323,11,0)</f>
        <v>181</v>
      </c>
      <c r="O211" s="103">
        <f>VLOOKUP($A211,'OI(Value)'!$A$7:$O$323,12,0)</f>
        <v>-3</v>
      </c>
    </row>
    <row r="212" spans="1:15" x14ac:dyDescent="0.25">
      <c r="A212" s="105" t="str">
        <f>'Data Vlaue (Cr)'!C207</f>
        <v>UPL</v>
      </c>
      <c r="B212" s="143">
        <f>VLOOKUP($A212,'Data shares'!$C:$FA,118)</f>
        <v>0.59</v>
      </c>
      <c r="C212" s="143">
        <f>VLOOKUP($A212,'Data shares'!$C:$FA,119)</f>
        <v>0.57999999999999996</v>
      </c>
      <c r="D212" s="143">
        <f>VLOOKUP($A212,'Data shares'!$C:$FA,121)*100</f>
        <v>1.72</v>
      </c>
      <c r="E212" s="143">
        <f>VLOOKUP($A212,'Data shares'!$C:$FA,124)</f>
        <v>0.31</v>
      </c>
      <c r="F212" s="143">
        <f>VLOOKUP($A212,'Data shares'!$C:$FA,125)</f>
        <v>0.42</v>
      </c>
      <c r="G212" s="143">
        <f>VLOOKUP($A212,'Data shares'!$C:$FA,127)*100</f>
        <v>-26.19</v>
      </c>
      <c r="H212" s="103">
        <f>VLOOKUP($A212,'OI(Volume)'!$A$7:$O$440,8)</f>
        <v>0</v>
      </c>
      <c r="I212" s="103">
        <f>VLOOKUP($A212,'OI(Volume)'!$A$7:$O$440,9)</f>
        <v>0</v>
      </c>
      <c r="J212" s="103">
        <f>VLOOKUP($A212,'OI(Volume)'!$A$7:$O$440,11)</f>
        <v>0</v>
      </c>
      <c r="K212" s="103">
        <f>VLOOKUP($A212,'OI(Volume)'!$A$7:$O$440,12)</f>
        <v>0</v>
      </c>
      <c r="L212" s="103">
        <f>VLOOKUP($A212,'OI(Value)'!$A$7:$O$323,8,0)</f>
        <v>995</v>
      </c>
      <c r="M212" s="103">
        <f>VLOOKUP($A212,'OI(Value)'!$A$7:$O$323,9,0)</f>
        <v>-14</v>
      </c>
      <c r="N212" s="103">
        <f>VLOOKUP($A212,'OI(Value)'!$A$7:$O$323,11,0)</f>
        <v>585</v>
      </c>
      <c r="O212" s="103">
        <f>VLOOKUP($A212,'OI(Value)'!$A$7:$O$323,12,0)</f>
        <v>-2</v>
      </c>
    </row>
    <row r="213" spans="1:15" x14ac:dyDescent="0.25">
      <c r="A213" s="105" t="str">
        <f>'Data Vlaue (Cr)'!C208</f>
        <v>VBL</v>
      </c>
      <c r="B213" s="143">
        <f>VLOOKUP($A213,'Data shares'!$C:$FA,118)</f>
        <v>0.54</v>
      </c>
      <c r="C213" s="143">
        <f>VLOOKUP($A213,'Data shares'!$C:$FA,119)</f>
        <v>0.56000000000000005</v>
      </c>
      <c r="D213" s="143">
        <f>VLOOKUP($A213,'Data shares'!$C:$FA,121)*100</f>
        <v>-3.5700000000000003</v>
      </c>
      <c r="E213" s="143">
        <f>VLOOKUP($A213,'Data shares'!$C:$FA,124)</f>
        <v>0.37</v>
      </c>
      <c r="F213" s="143">
        <f>VLOOKUP($A213,'Data shares'!$C:$FA,125)</f>
        <v>0.51</v>
      </c>
      <c r="G213" s="143">
        <f>VLOOKUP($A213,'Data shares'!$C:$FA,127)*100</f>
        <v>-27.450000000000003</v>
      </c>
      <c r="H213" s="103">
        <f>VLOOKUP($A213,'OI(Volume)'!$A$7:$O$440,8)</f>
        <v>0</v>
      </c>
      <c r="I213" s="103">
        <f>VLOOKUP($A213,'OI(Volume)'!$A$7:$O$440,9)</f>
        <v>0</v>
      </c>
      <c r="J213" s="103">
        <f>VLOOKUP($A213,'OI(Volume)'!$A$7:$O$440,11)</f>
        <v>0</v>
      </c>
      <c r="K213" s="103">
        <f>VLOOKUP($A213,'OI(Volume)'!$A$7:$O$440,12)</f>
        <v>0</v>
      </c>
      <c r="L213" s="103">
        <f>VLOOKUP($A213,'OI(Value)'!$A$7:$O$323,8,0)</f>
        <v>1067</v>
      </c>
      <c r="M213" s="103">
        <f>VLOOKUP($A213,'OI(Value)'!$A$7:$O$323,9,0)</f>
        <v>8</v>
      </c>
      <c r="N213" s="103">
        <f>VLOOKUP($A213,'OI(Value)'!$A$7:$O$323,11,0)</f>
        <v>574</v>
      </c>
      <c r="O213" s="103">
        <f>VLOOKUP($A213,'OI(Value)'!$A$7:$O$323,12,0)</f>
        <v>-17</v>
      </c>
    </row>
    <row r="214" spans="1:15" x14ac:dyDescent="0.25">
      <c r="A214" s="105" t="str">
        <f>'Data Vlaue (Cr)'!C209</f>
        <v>VEDL</v>
      </c>
      <c r="B214" s="143">
        <f>VLOOKUP($A214,'Data shares'!$C:$FA,118)</f>
        <v>0.63</v>
      </c>
      <c r="C214" s="143">
        <f>VLOOKUP($A214,'Data shares'!$C:$FA,119)</f>
        <v>0.61</v>
      </c>
      <c r="D214" s="143">
        <f>VLOOKUP($A214,'Data shares'!$C:$FA,121)*100</f>
        <v>3.2800000000000002</v>
      </c>
      <c r="E214" s="143">
        <f>VLOOKUP($A214,'Data shares'!$C:$FA,124)</f>
        <v>0.48</v>
      </c>
      <c r="F214" s="143">
        <f>VLOOKUP($A214,'Data shares'!$C:$FA,125)</f>
        <v>0.55000000000000004</v>
      </c>
      <c r="G214" s="143">
        <f>VLOOKUP($A214,'Data shares'!$C:$FA,127)*100</f>
        <v>-12.73</v>
      </c>
      <c r="H214" s="103">
        <f>VLOOKUP($A214,'OI(Volume)'!$A$7:$O$440,8)</f>
        <v>0</v>
      </c>
      <c r="I214" s="103">
        <f>VLOOKUP($A214,'OI(Volume)'!$A$7:$O$440,9)</f>
        <v>0</v>
      </c>
      <c r="J214" s="103">
        <f>VLOOKUP($A214,'OI(Volume)'!$A$7:$O$440,11)</f>
        <v>0</v>
      </c>
      <c r="K214" s="103">
        <f>VLOOKUP($A214,'OI(Volume)'!$A$7:$O$440,12)</f>
        <v>0</v>
      </c>
      <c r="L214" s="103">
        <f>VLOOKUP($A214,'OI(Value)'!$A$7:$O$323,8,0)</f>
        <v>3897</v>
      </c>
      <c r="M214" s="103">
        <f>VLOOKUP($A214,'OI(Value)'!$A$7:$O$323,9,0)</f>
        <v>-159</v>
      </c>
      <c r="N214" s="103">
        <f>VLOOKUP($A214,'OI(Value)'!$A$7:$O$323,11,0)</f>
        <v>2467</v>
      </c>
      <c r="O214" s="103">
        <f>VLOOKUP($A214,'OI(Value)'!$A$7:$O$323,12,0)</f>
        <v>-19</v>
      </c>
    </row>
    <row r="215" spans="1:15" x14ac:dyDescent="0.25">
      <c r="A215" s="105" t="str">
        <f>'Data Vlaue (Cr)'!C210</f>
        <v>VOLTAS</v>
      </c>
      <c r="B215" s="143">
        <f>VLOOKUP($A215,'Data shares'!$C:$FA,118)</f>
        <v>1.04</v>
      </c>
      <c r="C215" s="143">
        <f>VLOOKUP($A215,'Data shares'!$C:$FA,119)</f>
        <v>0.97</v>
      </c>
      <c r="D215" s="143">
        <f>VLOOKUP($A215,'Data shares'!$C:$FA,121)*100</f>
        <v>7.22</v>
      </c>
      <c r="E215" s="143">
        <f>VLOOKUP($A215,'Data shares'!$C:$FA,124)</f>
        <v>0.55000000000000004</v>
      </c>
      <c r="F215" s="143">
        <f>VLOOKUP($A215,'Data shares'!$C:$FA,125)</f>
        <v>0.64</v>
      </c>
      <c r="G215" s="143">
        <f>VLOOKUP($A215,'Data shares'!$C:$FA,127)*100</f>
        <v>-14.06</v>
      </c>
      <c r="H215" s="103">
        <f>VLOOKUP($A215,'OI(Volume)'!$A$7:$O$440,8)</f>
        <v>0</v>
      </c>
      <c r="I215" s="103">
        <f>VLOOKUP($A215,'OI(Volume)'!$A$7:$O$440,9)</f>
        <v>0</v>
      </c>
      <c r="J215" s="103">
        <f>VLOOKUP($A215,'OI(Volume)'!$A$7:$O$440,11)</f>
        <v>0</v>
      </c>
      <c r="K215" s="103">
        <f>VLOOKUP($A215,'OI(Volume)'!$A$7:$O$440,12)</f>
        <v>0</v>
      </c>
      <c r="L215" s="103">
        <f>VLOOKUP($A215,'OI(Value)'!$A$7:$O$323,8,0)</f>
        <v>522</v>
      </c>
      <c r="M215" s="103">
        <f>VLOOKUP($A215,'OI(Value)'!$A$7:$O$323,9,0)</f>
        <v>-3</v>
      </c>
      <c r="N215" s="103">
        <f>VLOOKUP($A215,'OI(Value)'!$A$7:$O$323,11,0)</f>
        <v>543</v>
      </c>
      <c r="O215" s="103">
        <f>VLOOKUP($A215,'OI(Value)'!$A$7:$O$323,12,0)</f>
        <v>33</v>
      </c>
    </row>
    <row r="216" spans="1:15" x14ac:dyDescent="0.25">
      <c r="A216" s="105" t="str">
        <f>'Data Vlaue (Cr)'!C211</f>
        <v>WAAREEENER</v>
      </c>
      <c r="B216" s="143">
        <f>VLOOKUP($A216,'Data shares'!$C:$FA,118)</f>
        <v>0.67</v>
      </c>
      <c r="C216" s="143">
        <f>VLOOKUP($A216,'Data shares'!$C:$FA,119)</f>
        <v>0.65</v>
      </c>
      <c r="D216" s="143">
        <f>VLOOKUP($A216,'Data shares'!$C:$FA,121)*100</f>
        <v>3.08</v>
      </c>
      <c r="E216" s="143">
        <f>VLOOKUP($A216,'Data shares'!$C:$FA,124)</f>
        <v>0.34</v>
      </c>
      <c r="F216" s="143">
        <f>VLOOKUP($A216,'Data shares'!$C:$FA,125)</f>
        <v>0.31</v>
      </c>
      <c r="G216" s="143">
        <f>VLOOKUP($A216,'Data shares'!$C:$FA,127)*100</f>
        <v>9.68</v>
      </c>
      <c r="H216" s="103">
        <f>VLOOKUP($A216,'OI(Volume)'!$A$7:$O$440,8)</f>
        <v>0</v>
      </c>
      <c r="I216" s="103">
        <f>VLOOKUP($A216,'OI(Volume)'!$A$7:$O$440,9)</f>
        <v>0</v>
      </c>
      <c r="J216" s="103">
        <f>VLOOKUP($A216,'OI(Volume)'!$A$7:$O$440,11)</f>
        <v>0</v>
      </c>
      <c r="K216" s="103">
        <f>VLOOKUP($A216,'OI(Volume)'!$A$7:$O$440,12)</f>
        <v>0</v>
      </c>
      <c r="L216" s="103">
        <f>VLOOKUP($A216,'OI(Value)'!$A$7:$O$323,8,0)</f>
        <v>447</v>
      </c>
      <c r="M216" s="103">
        <f>VLOOKUP($A216,'OI(Value)'!$A$7:$O$323,9,0)</f>
        <v>-23</v>
      </c>
      <c r="N216" s="103">
        <f>VLOOKUP($A216,'OI(Value)'!$A$7:$O$323,11,0)</f>
        <v>301</v>
      </c>
      <c r="O216" s="103">
        <f>VLOOKUP($A216,'OI(Value)'!$A$7:$O$323,12,0)</f>
        <v>-4</v>
      </c>
    </row>
    <row r="217" spans="1:15" x14ac:dyDescent="0.25">
      <c r="A217" s="105" t="str">
        <f>'Data Vlaue (Cr)'!C212</f>
        <v>WIPRO</v>
      </c>
      <c r="B217" s="143">
        <f>VLOOKUP($A217,'Data shares'!$C:$FA,118)</f>
        <v>0.55000000000000004</v>
      </c>
      <c r="C217" s="143">
        <f>VLOOKUP($A217,'Data shares'!$C:$FA,119)</f>
        <v>0.55000000000000004</v>
      </c>
      <c r="D217" s="143">
        <f>VLOOKUP($A217,'Data shares'!$C:$FA,121)*100</f>
        <v>0</v>
      </c>
      <c r="E217" s="143">
        <f>VLOOKUP($A217,'Data shares'!$C:$FA,124)</f>
        <v>0.6</v>
      </c>
      <c r="F217" s="143">
        <f>VLOOKUP($A217,'Data shares'!$C:$FA,125)</f>
        <v>0.47</v>
      </c>
      <c r="G217" s="143">
        <f>VLOOKUP($A217,'Data shares'!$C:$FA,127)*100</f>
        <v>27.66</v>
      </c>
      <c r="H217" s="103">
        <f>VLOOKUP($A217,'OI(Volume)'!$A$7:$O$440,8)</f>
        <v>0</v>
      </c>
      <c r="I217" s="103">
        <f>VLOOKUP($A217,'OI(Volume)'!$A$7:$O$440,9)</f>
        <v>0</v>
      </c>
      <c r="J217" s="103">
        <f>VLOOKUP($A217,'OI(Volume)'!$A$7:$O$440,11)</f>
        <v>0</v>
      </c>
      <c r="K217" s="103">
        <f>VLOOKUP($A217,'OI(Volume)'!$A$7:$O$440,12)</f>
        <v>0</v>
      </c>
      <c r="L217" s="103">
        <f>VLOOKUP($A217,'OI(Value)'!$A$7:$O$323,8,0)</f>
        <v>2271</v>
      </c>
      <c r="M217" s="103">
        <f>VLOOKUP($A217,'OI(Value)'!$A$7:$O$323,9,0)</f>
        <v>24</v>
      </c>
      <c r="N217" s="103">
        <f>VLOOKUP($A217,'OI(Value)'!$A$7:$O$323,11,0)</f>
        <v>1257</v>
      </c>
      <c r="O217" s="103">
        <f>VLOOKUP($A217,'OI(Value)'!$A$7:$O$323,12,0)</f>
        <v>28</v>
      </c>
    </row>
    <row r="218" spans="1:15" x14ac:dyDescent="0.25">
      <c r="A218" s="105" t="str">
        <f>'Data Vlaue (Cr)'!C213</f>
        <v>YESBANK</v>
      </c>
      <c r="B218" s="143">
        <f>VLOOKUP($A218,'Data shares'!$C:$FA,118)</f>
        <v>0.51</v>
      </c>
      <c r="C218" s="143">
        <f>VLOOKUP($A218,'Data shares'!$C:$FA,119)</f>
        <v>0.52</v>
      </c>
      <c r="D218" s="143">
        <f>VLOOKUP($A218,'Data shares'!$C:$FA,121)*100</f>
        <v>-1.92</v>
      </c>
      <c r="E218" s="143">
        <f>VLOOKUP($A218,'Data shares'!$C:$FA,124)</f>
        <v>0.36</v>
      </c>
      <c r="F218" s="143">
        <f>VLOOKUP($A218,'Data shares'!$C:$FA,125)</f>
        <v>0.34</v>
      </c>
      <c r="G218" s="143">
        <f>VLOOKUP($A218,'Data shares'!$C:$FA,127)*100</f>
        <v>5.88</v>
      </c>
      <c r="H218" s="103">
        <f>VLOOKUP($A218,'OI(Volume)'!$A$7:$O$440,8)</f>
        <v>0</v>
      </c>
      <c r="I218" s="103">
        <f>VLOOKUP($A218,'OI(Volume)'!$A$7:$O$440,9)</f>
        <v>0</v>
      </c>
      <c r="J218" s="103">
        <f>VLOOKUP($A218,'OI(Volume)'!$A$7:$O$440,11)</f>
        <v>0</v>
      </c>
      <c r="K218" s="103">
        <f>VLOOKUP($A218,'OI(Volume)'!$A$7:$O$440,12)</f>
        <v>0</v>
      </c>
      <c r="L218" s="103">
        <f>VLOOKUP($A218,'OI(Value)'!$A$7:$O$323,8,0)</f>
        <v>1031</v>
      </c>
      <c r="M218" s="103">
        <f>VLOOKUP($A218,'OI(Value)'!$A$7:$O$323,9,0)</f>
        <v>5</v>
      </c>
      <c r="N218" s="103">
        <f>VLOOKUP($A218,'OI(Value)'!$A$7:$O$323,11,0)</f>
        <v>522</v>
      </c>
      <c r="O218" s="103">
        <f>VLOOKUP($A218,'OI(Value)'!$A$7:$O$323,12,0)</f>
        <v>-7</v>
      </c>
    </row>
    <row r="219" spans="1:15" x14ac:dyDescent="0.25">
      <c r="A219" s="105"/>
      <c r="B219" s="143"/>
      <c r="C219" s="143"/>
      <c r="D219" s="143"/>
      <c r="E219" s="143"/>
      <c r="F219" s="143"/>
      <c r="G219" s="143"/>
      <c r="H219" s="103"/>
      <c r="I219" s="103"/>
      <c r="J219" s="103"/>
      <c r="K219" s="103"/>
      <c r="L219" s="103"/>
      <c r="M219" s="103"/>
      <c r="N219" s="103"/>
      <c r="O219" s="103"/>
    </row>
    <row r="220" spans="1:15" x14ac:dyDescent="0.25">
      <c r="A220" s="105" t="str">
        <f>'Data Vlaue (Cr)'!C214</f>
        <v>ZYDUSLIFE</v>
      </c>
      <c r="B220" s="143">
        <f>VLOOKUP($A220,'Data shares'!$C:$FA,118)</f>
        <v>0.45</v>
      </c>
      <c r="C220" s="143">
        <f>VLOOKUP($A220,'Data shares'!$C:$FA,119)</f>
        <v>0.42</v>
      </c>
      <c r="D220" s="143">
        <f>VLOOKUP($A220,'Data shares'!$C:$FA,121)*100</f>
        <v>7.1400000000000006</v>
      </c>
      <c r="E220" s="143">
        <f>VLOOKUP($A220,'Data shares'!$C:$FA,124)</f>
        <v>0.32</v>
      </c>
      <c r="F220" s="143">
        <f>VLOOKUP($A220,'Data shares'!$C:$FA,125)</f>
        <v>0.44</v>
      </c>
      <c r="G220" s="143">
        <f>VLOOKUP($A220,'Data shares'!$C:$FA,127)*100</f>
        <v>-27.27</v>
      </c>
      <c r="H220" s="103">
        <f>VLOOKUP($A220,'OI(Volume)'!$A$7:$O$440,8)</f>
        <v>0</v>
      </c>
      <c r="I220" s="103">
        <f>VLOOKUP($A220,'OI(Volume)'!$A$7:$O$440,9)</f>
        <v>0</v>
      </c>
      <c r="J220" s="103">
        <f>VLOOKUP($A220,'OI(Volume)'!$A$7:$O$440,11)</f>
        <v>0</v>
      </c>
      <c r="K220" s="103">
        <f>VLOOKUP($A220,'OI(Volume)'!$A$7:$O$440,12)</f>
        <v>0</v>
      </c>
      <c r="L220" s="103">
        <f>VLOOKUP($A220,'OI(Value)'!$A$7:$O$323,8,0)</f>
        <v>949</v>
      </c>
      <c r="M220" s="103">
        <f>VLOOKUP($A220,'OI(Value)'!$A$7:$O$323,9,0)</f>
        <v>-125</v>
      </c>
      <c r="N220" s="103">
        <f>VLOOKUP($A220,'OI(Value)'!$A$7:$O$323,11,0)</f>
        <v>425</v>
      </c>
      <c r="O220" s="103">
        <f>VLOOKUP($A220,'OI(Value)'!$A$7:$O$323,12,0)</f>
        <v>-29</v>
      </c>
    </row>
    <row r="221" spans="1:15" x14ac:dyDescent="0.25">
      <c r="A221" s="105">
        <f>'Data Vlaue (Cr)'!C215</f>
        <v>0</v>
      </c>
      <c r="B221" s="143"/>
      <c r="C221" s="143"/>
      <c r="D221" s="143"/>
      <c r="E221" s="143"/>
      <c r="F221" s="143"/>
      <c r="G221" s="143"/>
      <c r="H221" s="103"/>
      <c r="I221" s="103"/>
      <c r="J221" s="103"/>
      <c r="K221" s="103"/>
      <c r="L221" s="103"/>
      <c r="M221" s="103"/>
      <c r="N221" s="103"/>
      <c r="O221" s="103"/>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6375919359</v>
      </c>
      <c r="I241" s="135">
        <f t="shared" si="0"/>
        <v>259614692</v>
      </c>
      <c r="J241" s="135">
        <f t="shared" si="0"/>
        <v>4046613019</v>
      </c>
      <c r="K241" s="135">
        <f t="shared" si="0"/>
        <v>173588812</v>
      </c>
      <c r="L241" s="135">
        <f t="shared" si="0"/>
        <v>872722</v>
      </c>
      <c r="M241" s="135">
        <f t="shared" si="0"/>
        <v>152138</v>
      </c>
      <c r="N241" s="135">
        <f t="shared" si="0"/>
        <v>826135</v>
      </c>
      <c r="O241" s="135">
        <f>SUM(O7:O240)</f>
        <v>124764</v>
      </c>
    </row>
    <row r="242" spans="1:15" x14ac:dyDescent="0.25">
      <c r="A242" s="126" t="s">
        <v>415</v>
      </c>
      <c r="B242" s="136"/>
      <c r="C242" s="136"/>
      <c r="D242" s="136"/>
      <c r="E242" s="136"/>
      <c r="F242" s="136"/>
      <c r="G242" s="136"/>
      <c r="H242" s="137">
        <f>H241/10000000</f>
        <v>637.59193589999995</v>
      </c>
      <c r="I242" s="137">
        <f>I241/10000000</f>
        <v>25.9614692</v>
      </c>
      <c r="J242" s="137">
        <f>J241/10000000</f>
        <v>404.66130190000001</v>
      </c>
      <c r="K242" s="137">
        <f>K241/10000000</f>
        <v>17.358881199999999</v>
      </c>
      <c r="L242" s="138">
        <f>L241</f>
        <v>872722</v>
      </c>
      <c r="M242" s="138">
        <f>M241</f>
        <v>152138</v>
      </c>
      <c r="N242" s="138">
        <f>N241</f>
        <v>826135</v>
      </c>
      <c r="O242" s="138">
        <f>O241</f>
        <v>124764</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2026-02-12T03:29:52Z</dcterms:modified>
</cp:coreProperties>
</file>